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tt\Dropbox\Body Condition Thesis copy\"/>
    </mc:Choice>
  </mc:AlternateContent>
  <xr:revisionPtr revIDLastSave="0" documentId="13_ncr:1_{7F48E0CB-D841-4CDB-B061-02FAB46B6AD1}" xr6:coauthVersionLast="45" xr6:coauthVersionMax="45" xr10:uidLastSave="{00000000-0000-0000-0000-000000000000}"/>
  <bookViews>
    <workbookView xWindow="-110" yWindow="-110" windowWidth="19420" windowHeight="10420" xr2:uid="{07D06E97-5FBE-4873-A906-4220187161B1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697" i="1" l="1"/>
  <c r="Q8696" i="1"/>
  <c r="Q8639" i="1"/>
  <c r="Q8638" i="1"/>
  <c r="Q8637" i="1"/>
  <c r="Q8636" i="1"/>
  <c r="Q8635" i="1"/>
  <c r="Q8634" i="1"/>
  <c r="Q8633" i="1"/>
  <c r="Q8632" i="1"/>
  <c r="Q8631" i="1"/>
  <c r="Q8630" i="1"/>
  <c r="Q8629" i="1"/>
  <c r="Q8628" i="1"/>
  <c r="Q8627" i="1"/>
  <c r="Q8625" i="1"/>
  <c r="Q8622" i="1"/>
  <c r="Q8621" i="1"/>
  <c r="Q8620" i="1"/>
  <c r="Q8619" i="1"/>
  <c r="Q8618" i="1"/>
  <c r="Q8616" i="1"/>
  <c r="Q8615" i="1"/>
  <c r="Q8614" i="1"/>
  <c r="Q8613" i="1"/>
  <c r="Q8612" i="1"/>
  <c r="Q8611" i="1"/>
  <c r="Q8610" i="1"/>
  <c r="Q8609" i="1"/>
  <c r="Q8607" i="1"/>
  <c r="Q8606" i="1"/>
  <c r="Q8605" i="1"/>
  <c r="Q8604" i="1"/>
  <c r="Q8603" i="1"/>
  <c r="Q8602" i="1"/>
  <c r="Q8601" i="1"/>
  <c r="Q8600" i="1"/>
  <c r="Q8599" i="1"/>
  <c r="Q8598" i="1"/>
  <c r="Q8596" i="1"/>
  <c r="Q8595" i="1"/>
  <c r="Q8594" i="1"/>
  <c r="Q8593" i="1"/>
  <c r="Q8592" i="1"/>
  <c r="Q8591" i="1"/>
  <c r="Q8590" i="1"/>
  <c r="Q8587" i="1"/>
  <c r="Q8586" i="1"/>
  <c r="Q8585" i="1"/>
  <c r="Q8584" i="1"/>
  <c r="Q8583" i="1"/>
  <c r="Q8582" i="1"/>
  <c r="Q8581" i="1"/>
  <c r="Q8580" i="1"/>
  <c r="Q8579" i="1"/>
  <c r="Q8578" i="1"/>
  <c r="Q8576" i="1"/>
  <c r="Q8575" i="1"/>
  <c r="Q8530" i="1"/>
  <c r="Q8529" i="1"/>
  <c r="Q8528" i="1"/>
  <c r="Q8527" i="1"/>
  <c r="Q8526" i="1"/>
  <c r="Q8525" i="1"/>
  <c r="Q8524" i="1"/>
  <c r="Q8523" i="1"/>
  <c r="Q8522" i="1"/>
  <c r="Q8521" i="1"/>
  <c r="Q8520" i="1"/>
  <c r="Q8519" i="1"/>
  <c r="Q8518" i="1"/>
  <c r="Q8517" i="1"/>
  <c r="Q8516" i="1"/>
  <c r="Q8515" i="1"/>
  <c r="Q8514" i="1"/>
  <c r="Q8513" i="1"/>
  <c r="Q8512" i="1"/>
  <c r="Q8511" i="1"/>
  <c r="Q8510" i="1"/>
  <c r="Q8509" i="1"/>
  <c r="Q8508" i="1"/>
  <c r="Q8507" i="1"/>
  <c r="Q8506" i="1"/>
  <c r="Q8505" i="1"/>
  <c r="Q8504" i="1"/>
  <c r="Q8503" i="1"/>
  <c r="Q8502" i="1"/>
  <c r="Q8501" i="1"/>
  <c r="Q8500" i="1"/>
  <c r="Q8499" i="1"/>
  <c r="Q8498" i="1"/>
  <c r="Q8497" i="1"/>
  <c r="Q8496" i="1"/>
  <c r="Q8495" i="1"/>
  <c r="Q8494" i="1"/>
  <c r="Q8493" i="1"/>
  <c r="Q8492" i="1"/>
  <c r="Q8491" i="1"/>
  <c r="Q8490" i="1"/>
  <c r="Q8489" i="1"/>
  <c r="Q8488" i="1"/>
  <c r="Q8487" i="1"/>
  <c r="Q8485" i="1"/>
  <c r="Q8484" i="1"/>
  <c r="Q8483" i="1"/>
  <c r="Q8482" i="1"/>
  <c r="Q8480" i="1"/>
  <c r="Q8479" i="1"/>
  <c r="Q8478" i="1"/>
  <c r="Q8477" i="1"/>
  <c r="Q8476" i="1"/>
  <c r="Q8475" i="1"/>
  <c r="Q8442" i="1"/>
  <c r="Q8441" i="1"/>
  <c r="Q8439" i="1"/>
  <c r="Q8438" i="1"/>
  <c r="Q8437" i="1"/>
  <c r="Q8436" i="1"/>
  <c r="Q8435" i="1"/>
  <c r="Q8434" i="1"/>
  <c r="Q8433" i="1"/>
  <c r="Q8432" i="1"/>
  <c r="Q8431" i="1"/>
  <c r="Q8430" i="1"/>
  <c r="Q8429" i="1"/>
  <c r="Q8428" i="1"/>
  <c r="Q8427" i="1"/>
  <c r="Q8426" i="1"/>
  <c r="Q8425" i="1"/>
  <c r="Q8424" i="1"/>
  <c r="Q8423" i="1"/>
  <c r="Q8422" i="1"/>
  <c r="Q8421" i="1"/>
  <c r="Q8420" i="1"/>
  <c r="Q8419" i="1"/>
  <c r="Q8418" i="1"/>
  <c r="Q8417" i="1"/>
  <c r="Q8416" i="1"/>
  <c r="Q8415" i="1"/>
  <c r="Q8414" i="1"/>
  <c r="Q8413" i="1"/>
  <c r="Q8412" i="1"/>
  <c r="Q8411" i="1"/>
  <c r="Q8410" i="1"/>
  <c r="Q8409" i="1"/>
  <c r="Q8408" i="1"/>
  <c r="Q8407" i="1"/>
  <c r="Q8406" i="1"/>
  <c r="Q8405" i="1"/>
  <c r="Q8352" i="1"/>
  <c r="Q8351" i="1"/>
  <c r="Q8350" i="1"/>
  <c r="Q8349" i="1"/>
  <c r="Q8348" i="1"/>
  <c r="Q8347" i="1"/>
  <c r="Q8346" i="1"/>
  <c r="Q8345" i="1"/>
  <c r="Q8344" i="1"/>
  <c r="Q8343" i="1"/>
  <c r="Q8342" i="1"/>
  <c r="Q8341" i="1"/>
  <c r="Q8340" i="1"/>
  <c r="Q8339" i="1"/>
  <c r="Q8338" i="1"/>
  <c r="Q8336" i="1"/>
  <c r="Q8335" i="1"/>
  <c r="Q8334" i="1"/>
  <c r="Q8333" i="1"/>
  <c r="Q8332" i="1"/>
  <c r="Q8331" i="1"/>
  <c r="Q8330" i="1"/>
  <c r="Q8329" i="1"/>
  <c r="Q8328" i="1"/>
  <c r="Q8327" i="1"/>
  <c r="Q8325" i="1"/>
  <c r="Q8324" i="1"/>
  <c r="Q8323" i="1"/>
  <c r="Q8322" i="1"/>
  <c r="Q8321" i="1"/>
  <c r="Q8320" i="1"/>
  <c r="Q8319" i="1"/>
  <c r="Q8318" i="1"/>
  <c r="Q8317" i="1"/>
  <c r="Q8316" i="1"/>
  <c r="Q8315" i="1"/>
  <c r="Q8314" i="1"/>
  <c r="Q8313" i="1"/>
  <c r="Q8312" i="1"/>
  <c r="Q8311" i="1"/>
  <c r="Q8310" i="1"/>
  <c r="Q8309" i="1"/>
  <c r="Q8308" i="1"/>
  <c r="Q8307" i="1"/>
  <c r="Q8251" i="1"/>
  <c r="Q8250" i="1"/>
  <c r="Q8249" i="1"/>
  <c r="Q8248" i="1"/>
  <c r="Q8247" i="1"/>
  <c r="Q8246" i="1"/>
  <c r="Q8245" i="1"/>
  <c r="Q8244" i="1"/>
  <c r="Q8243" i="1"/>
  <c r="Q8242" i="1"/>
  <c r="Q8241" i="1"/>
  <c r="Q8240" i="1"/>
  <c r="Q8239" i="1"/>
  <c r="Q8238" i="1"/>
  <c r="Q8237" i="1"/>
  <c r="Q8236" i="1"/>
  <c r="Q8235" i="1"/>
  <c r="Q8234" i="1"/>
  <c r="Q8233" i="1"/>
  <c r="Q8232" i="1"/>
  <c r="Q8231" i="1"/>
  <c r="Q8230" i="1"/>
  <c r="Q8229" i="1"/>
  <c r="Q8228" i="1"/>
  <c r="Q8227" i="1"/>
  <c r="Q8226" i="1"/>
  <c r="Q8225" i="1"/>
  <c r="Q8224" i="1"/>
  <c r="Q8223" i="1"/>
  <c r="Q8222" i="1"/>
  <c r="Q8221" i="1"/>
  <c r="Q8219" i="1"/>
  <c r="Q8218" i="1"/>
  <c r="Q8217" i="1"/>
  <c r="Q8216" i="1"/>
  <c r="Q8215" i="1"/>
  <c r="Q8214" i="1"/>
  <c r="Q8213" i="1"/>
  <c r="Q8212" i="1"/>
  <c r="Q8211" i="1"/>
  <c r="Q8210" i="1"/>
  <c r="Q8209" i="1"/>
  <c r="Q8208" i="1"/>
  <c r="Q8207" i="1"/>
  <c r="Q8206" i="1"/>
  <c r="Q8205" i="1"/>
  <c r="Q8204" i="1"/>
  <c r="Q8150" i="1"/>
  <c r="Q8149" i="1"/>
  <c r="Q8148" i="1"/>
  <c r="Q8147" i="1"/>
  <c r="Q8145" i="1"/>
  <c r="Q8144" i="1"/>
  <c r="Q8143" i="1"/>
  <c r="Q8142" i="1"/>
  <c r="Q8141" i="1"/>
  <c r="Q8140" i="1"/>
  <c r="Q8139" i="1"/>
  <c r="Q8138" i="1"/>
  <c r="Q8137" i="1"/>
  <c r="Q8136" i="1"/>
  <c r="Q8135" i="1"/>
  <c r="Q8134" i="1"/>
  <c r="Q8133" i="1"/>
  <c r="Q8132" i="1"/>
  <c r="Q8131" i="1"/>
  <c r="Q8130" i="1"/>
  <c r="Q8129" i="1"/>
  <c r="Q8128" i="1"/>
  <c r="Q8127" i="1"/>
  <c r="Q8126" i="1"/>
  <c r="Q8125" i="1"/>
  <c r="Q8124" i="1"/>
  <c r="Q8123" i="1"/>
  <c r="Q8122" i="1"/>
  <c r="Q8121" i="1"/>
  <c r="Q8101" i="1"/>
  <c r="Q8100" i="1"/>
  <c r="Q8099" i="1"/>
  <c r="Q8098" i="1"/>
  <c r="Q8097" i="1"/>
  <c r="Q8096" i="1"/>
  <c r="Q8095" i="1"/>
  <c r="Q8094" i="1"/>
  <c r="Q8093" i="1"/>
  <c r="Q8092" i="1"/>
  <c r="Q8091" i="1"/>
  <c r="Q8090" i="1"/>
  <c r="Q8089" i="1"/>
  <c r="Q8088" i="1"/>
  <c r="Q8087" i="1"/>
  <c r="Q8086" i="1"/>
  <c r="Q8085" i="1"/>
  <c r="Q8084" i="1"/>
  <c r="Q8083" i="1"/>
  <c r="Q8082" i="1"/>
  <c r="Q8081" i="1"/>
  <c r="Q8080" i="1"/>
  <c r="Q8079" i="1"/>
  <c r="Q8078" i="1"/>
  <c r="Q8077" i="1"/>
  <c r="Q8076" i="1"/>
  <c r="Q8075" i="1"/>
  <c r="Q8074" i="1"/>
  <c r="Q8073" i="1"/>
  <c r="Q8072" i="1"/>
  <c r="Q8071" i="1"/>
  <c r="Q8070" i="1"/>
  <c r="Q8035" i="1"/>
  <c r="Q8034" i="1"/>
  <c r="Q8033" i="1"/>
  <c r="Q8032" i="1"/>
  <c r="Q8031" i="1"/>
  <c r="Q8030" i="1"/>
  <c r="Q8029" i="1"/>
  <c r="Q8028" i="1"/>
  <c r="Q8027" i="1"/>
  <c r="Q8026" i="1"/>
  <c r="Q8025" i="1"/>
  <c r="Q8024" i="1"/>
  <c r="Q8023" i="1"/>
  <c r="Q8022" i="1"/>
  <c r="Q8021" i="1"/>
  <c r="Q8020" i="1"/>
  <c r="Q8019" i="1"/>
  <c r="Q8018" i="1"/>
  <c r="Q8017" i="1"/>
  <c r="Q8016" i="1"/>
  <c r="Q8015" i="1"/>
  <c r="Q8014" i="1"/>
  <c r="Q8013" i="1"/>
  <c r="Q8012" i="1"/>
  <c r="Q8011" i="1"/>
  <c r="Q8010" i="1"/>
  <c r="Q8009" i="1"/>
  <c r="Q7969" i="1"/>
  <c r="Q7968" i="1"/>
  <c r="Q7967" i="1"/>
  <c r="Q7966" i="1"/>
  <c r="Q7965" i="1"/>
  <c r="Q7964" i="1"/>
  <c r="Q7963" i="1"/>
  <c r="Q7962" i="1"/>
  <c r="Q7961" i="1"/>
  <c r="Q7960" i="1"/>
  <c r="Q7959" i="1"/>
  <c r="Q7958" i="1"/>
  <c r="Q7957" i="1"/>
  <c r="Q7956" i="1"/>
  <c r="Q7955" i="1"/>
  <c r="Q7954" i="1"/>
  <c r="Q7953" i="1"/>
  <c r="Q7937" i="1"/>
  <c r="Q7936" i="1"/>
  <c r="Q7935" i="1"/>
  <c r="Q7934" i="1"/>
  <c r="Q7933" i="1"/>
  <c r="Q7932" i="1"/>
  <c r="Q7931" i="1"/>
  <c r="Q7930" i="1"/>
  <c r="Q7929" i="1"/>
  <c r="Q7928" i="1"/>
  <c r="Q7927" i="1"/>
  <c r="Q7926" i="1"/>
  <c r="Q7925" i="1"/>
  <c r="Q7924" i="1"/>
  <c r="Q7923" i="1"/>
  <c r="Q7922" i="1"/>
  <c r="Q7921" i="1"/>
  <c r="Q7920" i="1"/>
  <c r="Q7919" i="1"/>
  <c r="Q7904" i="1"/>
  <c r="Q7903" i="1"/>
  <c r="Q7902" i="1"/>
  <c r="Q7901" i="1"/>
  <c r="Q7900" i="1"/>
  <c r="Q7899" i="1"/>
  <c r="Q7898" i="1"/>
  <c r="Q7897" i="1"/>
  <c r="Q7896" i="1"/>
  <c r="Q7895" i="1"/>
  <c r="Q7894" i="1"/>
  <c r="Q7893" i="1"/>
  <c r="Q7892" i="1"/>
  <c r="Q7891" i="1"/>
  <c r="Q7890" i="1"/>
  <c r="Q7889" i="1"/>
  <c r="Q7876" i="1"/>
  <c r="Q7875" i="1"/>
  <c r="Q7874" i="1"/>
  <c r="Q7873" i="1"/>
  <c r="Q7872" i="1"/>
  <c r="Q7871" i="1"/>
  <c r="Q7870" i="1"/>
  <c r="Q7869" i="1"/>
  <c r="Q7868" i="1"/>
  <c r="Q7867" i="1"/>
  <c r="Q7819" i="1"/>
  <c r="Q7818" i="1"/>
  <c r="Q7816" i="1"/>
  <c r="Q7815" i="1"/>
  <c r="Q7814" i="1"/>
  <c r="Q7813" i="1"/>
  <c r="Q7812" i="1"/>
  <c r="Q7811" i="1"/>
  <c r="Q7809" i="1"/>
  <c r="Q7808" i="1"/>
  <c r="Q7807" i="1"/>
  <c r="Q7806" i="1"/>
  <c r="Q7805" i="1"/>
  <c r="Q7804" i="1"/>
  <c r="Q7803" i="1"/>
  <c r="Q7802" i="1"/>
  <c r="Q7801" i="1"/>
  <c r="Q7800" i="1"/>
  <c r="Q7799" i="1"/>
  <c r="P7799" i="1"/>
  <c r="Q7798" i="1"/>
  <c r="Q7797" i="1"/>
  <c r="Q7796" i="1"/>
  <c r="Q7795" i="1"/>
  <c r="Q7794" i="1"/>
  <c r="Q7792" i="1"/>
  <c r="Q7791" i="1"/>
  <c r="Q7789" i="1"/>
  <c r="Q7788" i="1"/>
  <c r="Q7787" i="1"/>
  <c r="Q7786" i="1"/>
  <c r="Q7785" i="1"/>
  <c r="Q7784" i="1"/>
  <c r="Q7783" i="1"/>
  <c r="Q7782" i="1"/>
  <c r="Q7722" i="1"/>
  <c r="Q7721" i="1"/>
  <c r="Q7720" i="1"/>
  <c r="Q7719" i="1"/>
  <c r="Q7718" i="1"/>
  <c r="Q7717" i="1"/>
  <c r="Q7716" i="1"/>
  <c r="Q7715" i="1"/>
  <c r="Q7714" i="1"/>
  <c r="Q7713" i="1"/>
  <c r="Q7712" i="1"/>
  <c r="Q7711" i="1"/>
  <c r="Q7710" i="1"/>
  <c r="Q7709" i="1"/>
  <c r="Q7708" i="1"/>
  <c r="Q7707" i="1"/>
  <c r="Q7706" i="1"/>
  <c r="Q7705" i="1"/>
  <c r="Q7704" i="1"/>
  <c r="Q7703" i="1"/>
  <c r="Q7701" i="1"/>
  <c r="Q7700" i="1"/>
  <c r="Q7699" i="1"/>
  <c r="Q7677" i="1"/>
  <c r="Q7676" i="1"/>
  <c r="Q7675" i="1"/>
  <c r="Q7674" i="1"/>
  <c r="Q7673" i="1"/>
  <c r="Q7672" i="1"/>
  <c r="Q7671" i="1"/>
  <c r="Q7670" i="1"/>
  <c r="Q7669" i="1"/>
  <c r="Q7668" i="1"/>
  <c r="Q7667" i="1"/>
  <c r="Q7666" i="1"/>
  <c r="Q7665" i="1"/>
  <c r="Q7664" i="1"/>
  <c r="Q7663" i="1"/>
  <c r="Q7662" i="1"/>
  <c r="Q7661" i="1"/>
  <c r="Q7660" i="1"/>
  <c r="Q7659" i="1"/>
  <c r="Q7658" i="1"/>
  <c r="Q7657" i="1"/>
  <c r="Q7656" i="1"/>
  <c r="Q7655" i="1"/>
  <c r="Q7654" i="1"/>
  <c r="Q7653" i="1"/>
  <c r="Q7652" i="1"/>
  <c r="Q7651" i="1"/>
  <c r="Q7650" i="1"/>
  <c r="Q7649" i="1"/>
  <c r="Q7648" i="1"/>
  <c r="Q7647" i="1"/>
  <c r="Q7645" i="1"/>
  <c r="Q7614" i="1"/>
  <c r="Q7613" i="1"/>
  <c r="Q7612" i="1"/>
  <c r="Q7611" i="1"/>
  <c r="Q7610" i="1"/>
  <c r="Q7609" i="1"/>
  <c r="Q7607" i="1"/>
  <c r="Q7604" i="1"/>
  <c r="Q7603" i="1"/>
  <c r="Q7601" i="1"/>
  <c r="Q7600" i="1"/>
  <c r="Q7599" i="1"/>
  <c r="Q7598" i="1"/>
  <c r="Q7597" i="1"/>
  <c r="Q7595" i="1"/>
  <c r="Q7594" i="1"/>
  <c r="Q7592" i="1"/>
  <c r="Q7590" i="1"/>
  <c r="Q7564" i="1"/>
  <c r="Q7561" i="1"/>
  <c r="Q7559" i="1"/>
  <c r="Q7558" i="1"/>
  <c r="Q7557" i="1"/>
  <c r="Q7556" i="1"/>
  <c r="Q7555" i="1"/>
  <c r="Q7554" i="1"/>
  <c r="Q7553" i="1"/>
  <c r="Q7552" i="1"/>
  <c r="Q7551" i="1"/>
  <c r="Q7550" i="1"/>
  <c r="Q7549" i="1"/>
  <c r="Q7530" i="1"/>
  <c r="Q7529" i="1"/>
  <c r="Q7528" i="1"/>
  <c r="Q7527" i="1"/>
  <c r="Q7526" i="1"/>
  <c r="Q7525" i="1"/>
  <c r="Q7523" i="1"/>
  <c r="Q7522" i="1"/>
  <c r="Q7521" i="1"/>
  <c r="Q7520" i="1"/>
  <c r="Q7519" i="1"/>
  <c r="Q7518" i="1"/>
  <c r="Q7517" i="1"/>
  <c r="Q7515" i="1"/>
  <c r="Q7512" i="1"/>
  <c r="Q7494" i="1"/>
  <c r="Q7493" i="1"/>
  <c r="Q7492" i="1"/>
  <c r="Q7491" i="1"/>
  <c r="Q7489" i="1"/>
  <c r="Q7488" i="1"/>
  <c r="Q7486" i="1"/>
  <c r="Q7484" i="1"/>
  <c r="Q7483" i="1"/>
  <c r="Q7482" i="1"/>
  <c r="Q7481" i="1"/>
  <c r="Q7453" i="1"/>
  <c r="Q7452" i="1"/>
  <c r="Q7451" i="1"/>
  <c r="Q7450" i="1"/>
  <c r="Q7449" i="1"/>
  <c r="Q7448" i="1"/>
  <c r="Q7447" i="1"/>
  <c r="Q7446" i="1"/>
  <c r="Q7445" i="1"/>
  <c r="Q7444" i="1"/>
  <c r="Q7395" i="1"/>
  <c r="Q7394" i="1"/>
  <c r="Q7393" i="1"/>
  <c r="Q7392" i="1"/>
  <c r="Q7391" i="1"/>
  <c r="Q7390" i="1"/>
  <c r="Q7389" i="1"/>
  <c r="Q7388" i="1"/>
  <c r="Q7387" i="1"/>
  <c r="Q7386" i="1"/>
  <c r="Q7385" i="1"/>
  <c r="Q7383" i="1"/>
  <c r="Q7382" i="1"/>
  <c r="Q7381" i="1"/>
  <c r="Q7380" i="1"/>
  <c r="Q7379" i="1"/>
  <c r="Q7378" i="1"/>
  <c r="Q7377" i="1"/>
  <c r="Q7376" i="1"/>
  <c r="Q7375" i="1"/>
  <c r="Q7374" i="1"/>
  <c r="Q7373" i="1"/>
  <c r="Q7372" i="1"/>
  <c r="Q7371" i="1"/>
  <c r="Q7370" i="1"/>
  <c r="Q7369" i="1"/>
  <c r="Q7368" i="1"/>
  <c r="Q7367" i="1"/>
  <c r="Q7366" i="1"/>
  <c r="Q7365" i="1"/>
  <c r="Q7364" i="1"/>
  <c r="Q7363" i="1"/>
  <c r="Q7362" i="1"/>
  <c r="Q7361" i="1"/>
  <c r="Q7360" i="1"/>
  <c r="Q7359" i="1"/>
  <c r="Q7358" i="1"/>
  <c r="Q7357" i="1"/>
  <c r="Q7356" i="1"/>
  <c r="Q7355" i="1"/>
  <c r="Q7354" i="1"/>
  <c r="Q7353" i="1"/>
  <c r="Q7352" i="1"/>
  <c r="Q7299" i="1"/>
  <c r="Q7298" i="1"/>
  <c r="Q7297" i="1"/>
  <c r="Q7296" i="1"/>
  <c r="Q7295" i="1"/>
  <c r="Q7294" i="1"/>
  <c r="N7294" i="1"/>
  <c r="Q7293" i="1"/>
  <c r="Q7292" i="1"/>
  <c r="Q7291" i="1"/>
  <c r="Q7290" i="1"/>
  <c r="Q7289" i="1"/>
  <c r="Q7288" i="1"/>
  <c r="Q7287" i="1"/>
  <c r="Q7285" i="1"/>
  <c r="Q7284" i="1"/>
  <c r="Q7283" i="1"/>
  <c r="Q7282" i="1"/>
  <c r="Q7280" i="1"/>
  <c r="Q7279" i="1"/>
  <c r="Q7278" i="1"/>
  <c r="Q7276" i="1"/>
  <c r="Q7275" i="1"/>
  <c r="Q7273" i="1"/>
  <c r="Q7272" i="1"/>
  <c r="Q7271" i="1"/>
  <c r="Q7270" i="1"/>
  <c r="Q7269" i="1"/>
  <c r="Q7268" i="1"/>
  <c r="Q7267" i="1"/>
  <c r="Q7266" i="1"/>
  <c r="Q7265" i="1"/>
  <c r="Q7264" i="1"/>
  <c r="Q7263" i="1"/>
  <c r="Q7262" i="1"/>
  <c r="Q7261" i="1"/>
  <c r="Q7260" i="1"/>
  <c r="Q7259" i="1"/>
  <c r="Q7258" i="1"/>
  <c r="Q7257" i="1"/>
  <c r="Q7256" i="1"/>
  <c r="Q7255" i="1"/>
  <c r="Q7197" i="1"/>
  <c r="Q7196" i="1"/>
  <c r="Q7195" i="1"/>
  <c r="Q7194" i="1"/>
  <c r="Q7193" i="1"/>
  <c r="Q7192" i="1"/>
  <c r="Q7191" i="1"/>
  <c r="Q7188" i="1"/>
  <c r="Q7187" i="1"/>
  <c r="Q7186" i="1"/>
  <c r="Q7185" i="1"/>
  <c r="Q7184" i="1"/>
  <c r="Q7183" i="1"/>
  <c r="Q7182" i="1"/>
  <c r="Q7181" i="1"/>
  <c r="Q7179" i="1"/>
  <c r="Q7178" i="1"/>
  <c r="Q7175" i="1"/>
  <c r="Q7174" i="1"/>
  <c r="Q7173" i="1"/>
  <c r="Q7172" i="1"/>
  <c r="Q7171" i="1"/>
  <c r="Q7170" i="1"/>
  <c r="Q7169" i="1"/>
  <c r="Q7168" i="1"/>
  <c r="Q7167" i="1"/>
  <c r="Q7166" i="1"/>
  <c r="Q7165" i="1"/>
  <c r="Q7164" i="1"/>
  <c r="Q7163" i="1"/>
  <c r="Q7132" i="1"/>
  <c r="Q7131" i="1"/>
  <c r="Q7130" i="1"/>
  <c r="Q7128" i="1"/>
  <c r="Q7127" i="1"/>
  <c r="Q7126" i="1"/>
  <c r="Q7121" i="1"/>
  <c r="Q7120" i="1"/>
  <c r="Q7119" i="1"/>
  <c r="Q7118" i="1"/>
  <c r="Q7117" i="1"/>
  <c r="Q7116" i="1"/>
  <c r="Q7115" i="1"/>
  <c r="Q7114" i="1"/>
  <c r="Q7113" i="1"/>
  <c r="Q7112" i="1"/>
  <c r="Q7111" i="1"/>
  <c r="Q7110" i="1"/>
  <c r="Q7109" i="1"/>
  <c r="Q7108" i="1"/>
  <c r="Q7107" i="1"/>
  <c r="Q7106" i="1"/>
  <c r="Q7105" i="1"/>
  <c r="Q7104" i="1"/>
  <c r="Q7103" i="1"/>
  <c r="Q7102" i="1"/>
  <c r="Q7101" i="1"/>
  <c r="Q7100" i="1"/>
  <c r="Q7099" i="1"/>
  <c r="Q7098" i="1"/>
  <c r="Q7097" i="1"/>
  <c r="Q7096" i="1"/>
  <c r="Q7095" i="1"/>
  <c r="Q7094" i="1"/>
  <c r="Q7093" i="1"/>
  <c r="Q7092" i="1"/>
  <c r="Q7091" i="1"/>
  <c r="Q7090" i="1"/>
  <c r="Q7089" i="1"/>
  <c r="Q7088" i="1"/>
  <c r="Q7087" i="1"/>
  <c r="Q7086" i="1"/>
  <c r="Q7085" i="1"/>
  <c r="Q7084" i="1"/>
  <c r="Q7083" i="1"/>
  <c r="Q7082" i="1"/>
  <c r="Q7081" i="1"/>
  <c r="Q7080" i="1"/>
  <c r="Q7079" i="1"/>
  <c r="Q7078" i="1"/>
  <c r="Q7077" i="1"/>
  <c r="Q7042" i="1"/>
  <c r="Q7041" i="1"/>
  <c r="Q7040" i="1"/>
  <c r="Q7039" i="1"/>
  <c r="Q7038" i="1"/>
  <c r="Q7037" i="1"/>
  <c r="Q7036" i="1"/>
  <c r="Q7035" i="1"/>
  <c r="Q7034" i="1"/>
  <c r="Q7033" i="1"/>
  <c r="Q7032" i="1"/>
  <c r="Q7030" i="1"/>
  <c r="Q7029" i="1"/>
  <c r="Q7028" i="1"/>
  <c r="Q7027" i="1"/>
  <c r="Q7026" i="1"/>
  <c r="Q7025" i="1"/>
  <c r="Q7024" i="1"/>
  <c r="Q7023" i="1"/>
  <c r="Q7022" i="1"/>
  <c r="Q7021" i="1"/>
  <c r="Q7020" i="1"/>
  <c r="Q7019" i="1"/>
  <c r="Q7018" i="1"/>
  <c r="Q7017" i="1"/>
  <c r="Q7016" i="1"/>
  <c r="Q7015" i="1"/>
  <c r="Q7014" i="1"/>
  <c r="Q7013" i="1"/>
  <c r="Q7012" i="1"/>
  <c r="Q7011" i="1"/>
  <c r="Q7010" i="1"/>
  <c r="Q7008" i="1"/>
  <c r="Q7007" i="1"/>
  <c r="Q7006" i="1"/>
  <c r="Q7005" i="1"/>
  <c r="Q7004" i="1"/>
  <c r="Q7003" i="1"/>
  <c r="Q6977" i="1"/>
  <c r="Q6976" i="1"/>
  <c r="Q6974" i="1"/>
  <c r="Q6973" i="1"/>
  <c r="Q6972" i="1"/>
  <c r="Q6971" i="1"/>
  <c r="Q6970" i="1"/>
  <c r="Q6969" i="1"/>
  <c r="Q6968" i="1"/>
  <c r="Q6967" i="1"/>
  <c r="Q6966" i="1"/>
  <c r="Q6965" i="1"/>
  <c r="Q6964" i="1"/>
  <c r="Q6963" i="1"/>
  <c r="Q6962" i="1"/>
  <c r="Q6961" i="1"/>
  <c r="Q6960" i="1"/>
  <c r="Q6959" i="1"/>
  <c r="Q6958" i="1"/>
  <c r="Q6957" i="1"/>
  <c r="Q6956" i="1"/>
  <c r="Q6955" i="1"/>
  <c r="Q6954" i="1"/>
  <c r="Q6953" i="1"/>
  <c r="Q6952" i="1"/>
  <c r="Q6951" i="1"/>
  <c r="Q6950" i="1"/>
  <c r="Q6949" i="1"/>
  <c r="Q6948" i="1"/>
  <c r="Q6902" i="1"/>
  <c r="Q6901" i="1"/>
  <c r="Q6900" i="1"/>
  <c r="Q6899" i="1"/>
  <c r="Q6898" i="1"/>
  <c r="Q6896" i="1"/>
  <c r="Q6894" i="1"/>
  <c r="Q6893" i="1"/>
  <c r="Q6892" i="1"/>
  <c r="Q6891" i="1"/>
  <c r="Q6890" i="1"/>
  <c r="Q6889" i="1"/>
  <c r="Q6888" i="1"/>
  <c r="Q6887" i="1"/>
  <c r="Q6886" i="1"/>
  <c r="Q6885" i="1"/>
  <c r="Q6884" i="1"/>
  <c r="Q6883" i="1"/>
  <c r="Q6882" i="1"/>
  <c r="Q6880" i="1"/>
  <c r="Q6865" i="1"/>
  <c r="Q6864" i="1"/>
  <c r="Q6863" i="1"/>
  <c r="Q6862" i="1"/>
  <c r="Q6861" i="1"/>
  <c r="Q6860" i="1"/>
  <c r="Q6859" i="1"/>
  <c r="Q6858" i="1"/>
  <c r="Q6857" i="1"/>
  <c r="Q6856" i="1"/>
  <c r="Q6855" i="1"/>
  <c r="Q6854" i="1"/>
  <c r="Q6852" i="1"/>
  <c r="Q6851" i="1"/>
  <c r="Q6850" i="1"/>
  <c r="Q6849" i="1"/>
  <c r="Q6848" i="1"/>
  <c r="Q6847" i="1"/>
  <c r="Q6846" i="1"/>
  <c r="Q6845" i="1"/>
  <c r="Q6844" i="1"/>
  <c r="Q6843" i="1"/>
  <c r="Q6842" i="1"/>
  <c r="Q6833" i="1"/>
  <c r="Q6832" i="1"/>
  <c r="Q6831" i="1"/>
  <c r="Q6830" i="1"/>
  <c r="Q6829" i="1"/>
  <c r="Q6828" i="1"/>
  <c r="Q6827" i="1"/>
  <c r="Q6826" i="1"/>
  <c r="Q6825" i="1"/>
  <c r="Q6824" i="1"/>
  <c r="Q6823" i="1"/>
  <c r="Q6822" i="1"/>
  <c r="Q6821" i="1"/>
  <c r="Q6818" i="1"/>
  <c r="Q6817" i="1"/>
  <c r="Q6816" i="1"/>
  <c r="Q6815" i="1"/>
  <c r="Q6814" i="1"/>
  <c r="Q6813" i="1"/>
  <c r="Q6812" i="1"/>
  <c r="Q6811" i="1"/>
  <c r="Q6810" i="1"/>
  <c r="Q6788" i="1"/>
  <c r="Q6787" i="1"/>
  <c r="Q6786" i="1"/>
  <c r="Q6785" i="1"/>
  <c r="Q6783" i="1"/>
  <c r="Q6782" i="1"/>
  <c r="Q6781" i="1"/>
  <c r="Q6780" i="1"/>
  <c r="Q6779" i="1"/>
  <c r="Q6777" i="1"/>
  <c r="Q6776" i="1"/>
  <c r="Q6775" i="1"/>
  <c r="Q6774" i="1"/>
  <c r="Q6773" i="1"/>
  <c r="Q6772" i="1"/>
  <c r="Q6771" i="1"/>
  <c r="Q6770" i="1"/>
  <c r="Q6769" i="1"/>
  <c r="Q6768" i="1"/>
  <c r="Q6767" i="1"/>
  <c r="Q6766" i="1"/>
  <c r="Q6765" i="1"/>
  <c r="Q6764" i="1"/>
  <c r="Q6763" i="1"/>
  <c r="Q6762" i="1"/>
  <c r="Q6761" i="1"/>
  <c r="Q6760" i="1"/>
  <c r="Q6759" i="1"/>
  <c r="Q6758" i="1"/>
  <c r="Q6756" i="1"/>
  <c r="Q6734" i="1"/>
  <c r="Q6733" i="1"/>
  <c r="Q6732" i="1"/>
  <c r="Q6731" i="1"/>
  <c r="Q6730" i="1"/>
  <c r="Q6729" i="1"/>
  <c r="Q6728" i="1"/>
  <c r="Q6727" i="1"/>
  <c r="Q6726" i="1"/>
  <c r="Q6725" i="1"/>
  <c r="Q6724" i="1"/>
  <c r="Q6722" i="1"/>
  <c r="Q6721" i="1"/>
  <c r="Q6720" i="1"/>
  <c r="Q6719" i="1"/>
  <c r="Q6718" i="1"/>
  <c r="Q6717" i="1"/>
  <c r="Q6716" i="1"/>
  <c r="Q6715" i="1"/>
  <c r="Q6714" i="1"/>
  <c r="Q6713" i="1"/>
  <c r="Q6712" i="1"/>
  <c r="Q6711" i="1"/>
  <c r="Q6710" i="1"/>
  <c r="Q6709" i="1"/>
  <c r="Q6708" i="1"/>
  <c r="Q6690" i="1"/>
  <c r="Q6689" i="1"/>
  <c r="Q6686" i="1"/>
  <c r="Q6685" i="1"/>
  <c r="Q6684" i="1"/>
  <c r="Q6683" i="1"/>
  <c r="Q6682" i="1"/>
  <c r="Q6680" i="1"/>
  <c r="Q6679" i="1"/>
  <c r="Q6678" i="1"/>
  <c r="Q6677" i="1"/>
  <c r="Q6676" i="1"/>
  <c r="Q6675" i="1"/>
  <c r="Q6674" i="1"/>
  <c r="Q6673" i="1"/>
  <c r="Q6672" i="1"/>
  <c r="Q6671" i="1"/>
  <c r="Q6670" i="1"/>
  <c r="Q6669" i="1"/>
  <c r="Q6668" i="1"/>
  <c r="Q6635" i="1"/>
  <c r="Q6634" i="1"/>
  <c r="Q6633" i="1"/>
  <c r="Q6632" i="1"/>
  <c r="Q6631" i="1"/>
  <c r="Q6630" i="1"/>
  <c r="Q6629" i="1"/>
  <c r="Q6628" i="1"/>
  <c r="Q6627" i="1"/>
  <c r="Q6626" i="1"/>
  <c r="Q6625" i="1"/>
  <c r="Q6624" i="1"/>
  <c r="Q6623" i="1"/>
  <c r="Q6622" i="1"/>
  <c r="Q6621" i="1"/>
  <c r="Q6620" i="1"/>
  <c r="Q6619" i="1"/>
  <c r="Q6618" i="1"/>
  <c r="Q6617" i="1"/>
  <c r="Q6616" i="1"/>
  <c r="Q6615" i="1"/>
  <c r="Q6593" i="1"/>
  <c r="Q6592" i="1"/>
  <c r="Q6591" i="1"/>
  <c r="Q6590" i="1"/>
  <c r="Q6589" i="1"/>
  <c r="Q6586" i="1"/>
  <c r="Q6585" i="1"/>
  <c r="Q6584" i="1"/>
  <c r="Q6583" i="1"/>
  <c r="Q6582" i="1"/>
  <c r="Q6581" i="1"/>
  <c r="Q6580" i="1"/>
  <c r="Q6579" i="1"/>
  <c r="Q6578" i="1"/>
  <c r="Q6577" i="1"/>
  <c r="Q6576" i="1"/>
  <c r="Q6575" i="1"/>
  <c r="Q6574" i="1"/>
  <c r="Q6573" i="1"/>
  <c r="Q6572" i="1"/>
  <c r="Q6570" i="1"/>
  <c r="Q6569" i="1"/>
  <c r="Q6550" i="1"/>
  <c r="Q6549" i="1"/>
  <c r="Q6548" i="1"/>
  <c r="Q6547" i="1"/>
  <c r="Q6546" i="1"/>
  <c r="Q6545" i="1"/>
  <c r="Q6544" i="1"/>
  <c r="Q6543" i="1"/>
  <c r="Q6542" i="1"/>
  <c r="Q6541" i="1"/>
  <c r="Q6540" i="1"/>
  <c r="Q6509" i="1"/>
  <c r="Q6508" i="1"/>
  <c r="Q6507" i="1"/>
  <c r="Q6506" i="1"/>
  <c r="Q6505" i="1"/>
  <c r="Q6504" i="1"/>
  <c r="Q6503" i="1"/>
  <c r="Q6502" i="1"/>
  <c r="Q6501" i="1"/>
  <c r="Q6500" i="1"/>
  <c r="Q6499" i="1"/>
  <c r="Q6498" i="1"/>
  <c r="Q6497" i="1"/>
  <c r="Q6496" i="1"/>
  <c r="Q6495" i="1"/>
  <c r="Q6494" i="1"/>
  <c r="Q6493" i="1"/>
  <c r="Q6492" i="1"/>
  <c r="Q6491" i="1"/>
  <c r="Q6490" i="1"/>
  <c r="Q6489" i="1"/>
  <c r="Q6488" i="1"/>
  <c r="Q6487" i="1"/>
  <c r="Q6486" i="1"/>
  <c r="Q6454" i="1"/>
  <c r="Q6453" i="1"/>
  <c r="Q6450" i="1"/>
  <c r="Q6449" i="1"/>
  <c r="Q6448" i="1"/>
  <c r="Q6447" i="1"/>
  <c r="Q6446" i="1"/>
  <c r="Q6445" i="1"/>
  <c r="Q6444" i="1"/>
  <c r="Q6442" i="1"/>
  <c r="Q6441" i="1"/>
  <c r="Q6440" i="1"/>
  <c r="Q6439" i="1"/>
  <c r="Q6438" i="1"/>
  <c r="Q6436" i="1"/>
  <c r="Q6407" i="1"/>
  <c r="Q6406" i="1"/>
  <c r="Q6405" i="1"/>
  <c r="Q6404" i="1"/>
  <c r="Q6403" i="1"/>
  <c r="Q6402" i="1"/>
  <c r="Q6401" i="1"/>
  <c r="Q6400" i="1"/>
  <c r="Q6399" i="1"/>
  <c r="Q6397" i="1"/>
  <c r="Q6395" i="1"/>
  <c r="Q6393" i="1"/>
  <c r="Q6392" i="1"/>
  <c r="Q6391" i="1"/>
  <c r="Q6390" i="1"/>
  <c r="Q6389" i="1"/>
  <c r="Q6368" i="1"/>
  <c r="Q6367" i="1"/>
  <c r="Q6363" i="1"/>
  <c r="Q6362" i="1"/>
  <c r="Q6361" i="1"/>
  <c r="Q6360" i="1"/>
  <c r="Q6341" i="1"/>
  <c r="Q6340" i="1"/>
  <c r="Q6339" i="1"/>
  <c r="Q6338" i="1"/>
  <c r="Q6337" i="1"/>
  <c r="Q6319" i="1"/>
  <c r="Q6318" i="1"/>
  <c r="Q6317" i="1"/>
  <c r="Q6316" i="1"/>
  <c r="Q6312" i="1"/>
  <c r="Q6311" i="1"/>
  <c r="Q6310" i="1"/>
  <c r="Q6309" i="1"/>
  <c r="Q6295" i="1"/>
  <c r="Q6294" i="1"/>
  <c r="Q6292" i="1"/>
  <c r="Q6291" i="1"/>
  <c r="Q6289" i="1"/>
  <c r="Q6288" i="1"/>
  <c r="Q6285" i="1"/>
  <c r="Q6284" i="1"/>
  <c r="Q6283" i="1"/>
  <c r="Q6282" i="1"/>
  <c r="Q6281" i="1"/>
  <c r="Q6280" i="1"/>
  <c r="Q6279" i="1"/>
  <c r="Q6278" i="1"/>
  <c r="Q6277" i="1"/>
  <c r="Q6276" i="1"/>
  <c r="Q6275" i="1"/>
  <c r="Q6255" i="1"/>
  <c r="Q6253" i="1"/>
  <c r="Q6252" i="1"/>
  <c r="Q6251" i="1"/>
  <c r="Q6250" i="1"/>
  <c r="Q6249" i="1"/>
  <c r="Q6248" i="1"/>
  <c r="Q6247" i="1"/>
  <c r="Q6246" i="1"/>
  <c r="Q6245" i="1"/>
  <c r="Q6244" i="1"/>
  <c r="Q6243" i="1"/>
  <c r="Q6242" i="1"/>
  <c r="Q6241" i="1"/>
  <c r="Q6240" i="1"/>
  <c r="Q6239" i="1"/>
  <c r="Q6213" i="1"/>
  <c r="Q6212" i="1"/>
  <c r="Q6211" i="1"/>
  <c r="Q6210" i="1"/>
  <c r="Q6209" i="1"/>
  <c r="Q6208" i="1"/>
  <c r="Q6207" i="1"/>
  <c r="Q6206" i="1"/>
  <c r="Q6205" i="1"/>
  <c r="Q6195" i="1"/>
  <c r="Q6194" i="1"/>
  <c r="Q6193" i="1"/>
  <c r="Q6192" i="1"/>
  <c r="Q6191" i="1"/>
  <c r="Q6184" i="1"/>
  <c r="Q6183" i="1"/>
  <c r="Q6179" i="1"/>
  <c r="Q6178" i="1"/>
  <c r="Q6177" i="1"/>
  <c r="Q6176" i="1"/>
  <c r="Q6174" i="1"/>
  <c r="Q6166" i="1"/>
  <c r="Q6165" i="1"/>
  <c r="Q6164" i="1"/>
  <c r="Q6161" i="1"/>
  <c r="Q6160" i="1"/>
  <c r="Q6137" i="1"/>
  <c r="Q6135" i="1"/>
  <c r="Q6134" i="1"/>
  <c r="Q6133" i="1"/>
  <c r="Q6125" i="1"/>
  <c r="Q6124" i="1"/>
  <c r="Q6122" i="1"/>
  <c r="Q6121" i="1"/>
  <c r="Q6117" i="1"/>
  <c r="Q6107" i="1"/>
  <c r="Q6106" i="1"/>
  <c r="Q6092" i="1"/>
  <c r="Q6086" i="1"/>
  <c r="Q6080" i="1"/>
  <c r="Q6079" i="1"/>
  <c r="Q6076" i="1"/>
  <c r="Q6075" i="1"/>
  <c r="Q6071" i="1"/>
  <c r="Q6069" i="1"/>
  <c r="Q6067" i="1"/>
  <c r="Q6066" i="1"/>
  <c r="Q6060" i="1"/>
  <c r="Q6054" i="1"/>
  <c r="Q6053" i="1"/>
  <c r="Q6050" i="1"/>
  <c r="Q6049" i="1"/>
  <c r="Q6046" i="1"/>
  <c r="Q6041" i="1"/>
  <c r="Q6040" i="1"/>
  <c r="Q6037" i="1"/>
  <c r="Q6034" i="1"/>
  <c r="Q6027" i="1"/>
  <c r="Q6023" i="1"/>
  <c r="Q6018" i="1"/>
  <c r="Q6017" i="1"/>
  <c r="Q6011" i="1"/>
  <c r="Q6006" i="1"/>
  <c r="Q6005" i="1"/>
  <c r="Q6003" i="1"/>
  <c r="Q5997" i="1"/>
  <c r="Q5996" i="1"/>
  <c r="Q5994" i="1"/>
  <c r="Q5983" i="1"/>
  <c r="Q5977" i="1"/>
  <c r="Q5974" i="1"/>
  <c r="Q5973" i="1"/>
  <c r="Q5972" i="1"/>
  <c r="Q5970" i="1"/>
  <c r="Q5948" i="1"/>
  <c r="Q5947" i="1"/>
  <c r="Q5942" i="1"/>
  <c r="Q5938" i="1"/>
  <c r="Q5935" i="1"/>
  <c r="Q5934" i="1"/>
  <c r="Q5930" i="1"/>
  <c r="Q5922" i="1"/>
  <c r="Q5917" i="1"/>
  <c r="Q5916" i="1"/>
  <c r="Q5910" i="1"/>
  <c r="Q5909" i="1"/>
  <c r="Q5900" i="1"/>
  <c r="Q5894" i="1"/>
  <c r="Q5891" i="1"/>
  <c r="Q5886" i="1"/>
  <c r="Q5883" i="1"/>
  <c r="Q5882" i="1"/>
  <c r="Q5877" i="1"/>
  <c r="Q5866" i="1"/>
  <c r="Q5862" i="1"/>
  <c r="Q5859" i="1"/>
  <c r="Q5858" i="1"/>
  <c r="Q5853" i="1"/>
  <c r="Q5852" i="1"/>
  <c r="Q5847" i="1"/>
  <c r="Q5843" i="1"/>
  <c r="Q5841" i="1"/>
  <c r="Q5837" i="1"/>
  <c r="Q5836" i="1"/>
  <c r="Q5834" i="1"/>
  <c r="Q5831" i="1"/>
  <c r="Q5830" i="1"/>
  <c r="Q5817" i="1"/>
  <c r="Q5815" i="1"/>
  <c r="Q5814" i="1"/>
  <c r="Q5803" i="1"/>
  <c r="Q5800" i="1"/>
  <c r="Q5765" i="1"/>
  <c r="Q5764" i="1"/>
  <c r="Q5761" i="1"/>
  <c r="Q5753" i="1"/>
  <c r="Q5748" i="1"/>
  <c r="Q5747" i="1"/>
  <c r="Q5745" i="1"/>
  <c r="Q5744" i="1"/>
  <c r="Q5738" i="1"/>
  <c r="Q5737" i="1"/>
  <c r="Q5728" i="1"/>
  <c r="Q5708" i="1"/>
  <c r="Q5704" i="1"/>
  <c r="Q5703" i="1"/>
  <c r="Q5700" i="1"/>
  <c r="Q5698" i="1"/>
  <c r="Q5697" i="1"/>
  <c r="Q5696" i="1"/>
  <c r="Q5694" i="1"/>
  <c r="Q5692" i="1"/>
  <c r="Q5689" i="1"/>
  <c r="Q5688" i="1"/>
  <c r="Q5669" i="1"/>
  <c r="Q5666" i="1"/>
  <c r="Q5658" i="1"/>
  <c r="Q5653" i="1"/>
  <c r="Q5649" i="1"/>
  <c r="Q5643" i="1"/>
  <c r="Q5624" i="1"/>
  <c r="Q5621" i="1"/>
  <c r="Q5618" i="1"/>
  <c r="Q5616" i="1"/>
  <c r="Q5615" i="1"/>
  <c r="Q5614" i="1"/>
  <c r="Q5572" i="1"/>
  <c r="Q5568" i="1"/>
  <c r="Q5564" i="1"/>
  <c r="Q5563" i="1"/>
  <c r="Q5562" i="1"/>
  <c r="Q5561" i="1"/>
  <c r="Q5558" i="1"/>
  <c r="Q5557" i="1"/>
  <c r="Q5556" i="1"/>
  <c r="Q5555" i="1"/>
  <c r="Q5553" i="1"/>
  <c r="Q5546" i="1"/>
  <c r="Q5538" i="1"/>
  <c r="Q5529" i="1"/>
  <c r="Q5524" i="1"/>
  <c r="Q5523" i="1"/>
  <c r="Q5519" i="1"/>
  <c r="Q5515" i="1"/>
  <c r="Q5514" i="1"/>
  <c r="Q5505" i="1"/>
  <c r="Q5502" i="1"/>
  <c r="Q5501" i="1"/>
  <c r="Q5499" i="1"/>
  <c r="Q5490" i="1"/>
  <c r="Q5489" i="1"/>
  <c r="Q5485" i="1"/>
  <c r="Q5484" i="1"/>
  <c r="Q5483" i="1"/>
  <c r="Q5482" i="1"/>
  <c r="Q5478" i="1"/>
  <c r="Q5471" i="1"/>
  <c r="Q5468" i="1"/>
  <c r="Q5467" i="1"/>
  <c r="Q5464" i="1"/>
  <c r="Q5461" i="1"/>
  <c r="Q5449" i="1"/>
  <c r="Q5448" i="1"/>
  <c r="Q5447" i="1"/>
  <c r="Q5443" i="1"/>
  <c r="Q5441" i="1"/>
  <c r="Q5439" i="1"/>
  <c r="Q5437" i="1"/>
  <c r="Q5429" i="1"/>
  <c r="Q5426" i="1"/>
  <c r="Q5422" i="1"/>
  <c r="Q5421" i="1"/>
  <c r="Q5417" i="1"/>
  <c r="Q5409" i="1"/>
  <c r="Q5406" i="1"/>
  <c r="Q5405" i="1"/>
  <c r="Q5399" i="1"/>
  <c r="Q5396" i="1"/>
  <c r="Q5394" i="1"/>
  <c r="Q5393" i="1"/>
  <c r="Q5391" i="1"/>
  <c r="Q5384" i="1"/>
  <c r="Q5380" i="1"/>
  <c r="Q5365" i="1"/>
  <c r="Q5361" i="1"/>
  <c r="Q5358" i="1"/>
  <c r="Q5356" i="1"/>
  <c r="Q5352" i="1"/>
  <c r="Q5349" i="1"/>
  <c r="Q5341" i="1"/>
  <c r="Q5338" i="1"/>
  <c r="Q5337" i="1"/>
  <c r="Q5336" i="1"/>
  <c r="Q5332" i="1"/>
  <c r="Q5327" i="1"/>
  <c r="Q5324" i="1"/>
  <c r="Q5323" i="1"/>
  <c r="Q5315" i="1"/>
  <c r="Q5305" i="1"/>
  <c r="Q5302" i="1"/>
  <c r="Q5299" i="1"/>
  <c r="Q5298" i="1"/>
  <c r="Q5297" i="1"/>
  <c r="Q5286" i="1"/>
  <c r="Q5283" i="1"/>
  <c r="Q5281" i="1"/>
  <c r="Q5279" i="1"/>
  <c r="Q5276" i="1"/>
  <c r="Q5275" i="1"/>
  <c r="Q5269" i="1"/>
  <c r="Q5266" i="1"/>
  <c r="Q5238" i="1"/>
  <c r="Q5231" i="1"/>
  <c r="Q5230" i="1"/>
  <c r="Q5227" i="1"/>
  <c r="Q5223" i="1"/>
  <c r="Q5219" i="1"/>
  <c r="Q5216" i="1"/>
  <c r="Q5215" i="1"/>
  <c r="Q5212" i="1"/>
  <c r="Q5211" i="1"/>
  <c r="Q5210" i="1"/>
  <c r="Q5208" i="1"/>
  <c r="Q5207" i="1"/>
  <c r="Q5197" i="1"/>
  <c r="Q5192" i="1"/>
  <c r="Q5187" i="1"/>
  <c r="Q5182" i="1"/>
  <c r="Q5142" i="1"/>
  <c r="Q5134" i="1"/>
  <c r="Q5133" i="1"/>
  <c r="Q5132" i="1"/>
  <c r="Q5130" i="1"/>
  <c r="Q5125" i="1"/>
  <c r="Q5124" i="1"/>
  <c r="Q5121" i="1"/>
  <c r="Q5116" i="1"/>
  <c r="Q5107" i="1"/>
  <c r="Q5083" i="1"/>
  <c r="Q5082" i="1"/>
  <c r="Q5076" i="1"/>
  <c r="Q5075" i="1"/>
  <c r="Q5065" i="1"/>
  <c r="Q5061" i="1"/>
  <c r="Q5037" i="1"/>
  <c r="Q5036" i="1"/>
  <c r="Q5035" i="1"/>
  <c r="Q5032" i="1"/>
  <c r="Q5031" i="1"/>
  <c r="Q5030" i="1"/>
  <c r="Q5022" i="1"/>
  <c r="Q5016" i="1"/>
  <c r="Q5013" i="1"/>
  <c r="Q5009" i="1"/>
  <c r="Q5005" i="1"/>
  <c r="Q5004" i="1"/>
  <c r="Q5001" i="1"/>
  <c r="Q4997" i="1"/>
  <c r="Q4996" i="1"/>
  <c r="Q4993" i="1"/>
  <c r="Q4992" i="1"/>
  <c r="Q4990" i="1"/>
  <c r="Q4989" i="1"/>
  <c r="Q4988" i="1"/>
  <c r="Q4987" i="1"/>
  <c r="Q4984" i="1"/>
  <c r="Q4978" i="1"/>
  <c r="Q4976" i="1"/>
  <c r="Q4971" i="1"/>
  <c r="Q4970" i="1"/>
  <c r="Q4967" i="1"/>
  <c r="Q4962" i="1"/>
  <c r="Q4957" i="1"/>
  <c r="Q4956" i="1"/>
  <c r="Q4955" i="1"/>
  <c r="Q4954" i="1"/>
  <c r="Q4953" i="1"/>
  <c r="Q4951" i="1"/>
  <c r="Q4950" i="1"/>
  <c r="Q4949" i="1"/>
  <c r="Q4948" i="1"/>
  <c r="Q4947" i="1"/>
  <c r="Q4942" i="1"/>
  <c r="Q4940" i="1"/>
  <c r="Q4938" i="1"/>
  <c r="Q4937" i="1"/>
  <c r="Q4935" i="1"/>
  <c r="Q4931" i="1"/>
  <c r="Q4927" i="1"/>
  <c r="Q4926" i="1"/>
  <c r="Q4924" i="1"/>
  <c r="Q4918" i="1"/>
  <c r="Q4910" i="1"/>
  <c r="Q4907" i="1"/>
  <c r="Q4904" i="1"/>
  <c r="Q4902" i="1"/>
  <c r="Q4900" i="1"/>
  <c r="Q4897" i="1"/>
  <c r="Q4894" i="1"/>
  <c r="Q4893" i="1"/>
  <c r="Q4892" i="1"/>
  <c r="Q4888" i="1"/>
  <c r="Q4887" i="1"/>
  <c r="Q4884" i="1"/>
  <c r="Q4883" i="1"/>
  <c r="Q4881" i="1"/>
  <c r="Q4878" i="1"/>
  <c r="Q4877" i="1"/>
  <c r="Q4876" i="1"/>
  <c r="Q4873" i="1"/>
  <c r="Q4871" i="1"/>
  <c r="Q4869" i="1"/>
  <c r="Q4868" i="1"/>
  <c r="Q4867" i="1"/>
  <c r="Q4865" i="1"/>
  <c r="Q4861" i="1"/>
  <c r="Q4858" i="1"/>
  <c r="Q4850" i="1"/>
  <c r="Q4847" i="1"/>
  <c r="Q4845" i="1"/>
  <c r="Q4844" i="1"/>
  <c r="Q4842" i="1"/>
  <c r="Q4839" i="1"/>
  <c r="Q4837" i="1"/>
  <c r="Q4836" i="1"/>
  <c r="Q4827" i="1"/>
  <c r="Q4826" i="1"/>
  <c r="Q4823" i="1"/>
  <c r="Q4819" i="1"/>
  <c r="Q4817" i="1"/>
  <c r="Q4816" i="1"/>
  <c r="Q4815" i="1"/>
  <c r="Q4810" i="1"/>
  <c r="Q4808" i="1"/>
  <c r="Q4805" i="1"/>
  <c r="Q4804" i="1"/>
  <c r="Q4801" i="1"/>
  <c r="Q4797" i="1"/>
  <c r="Q4795" i="1"/>
  <c r="Q4794" i="1"/>
  <c r="Q4791" i="1"/>
  <c r="Q4785" i="1"/>
  <c r="Q4779" i="1"/>
  <c r="Q4778" i="1"/>
  <c r="Q4776" i="1"/>
  <c r="Q4775" i="1"/>
  <c r="Q4774" i="1"/>
  <c r="Q4771" i="1"/>
  <c r="Q4768" i="1"/>
  <c r="Q4766" i="1"/>
  <c r="Q4761" i="1"/>
  <c r="Q4759" i="1"/>
  <c r="Q4757" i="1"/>
  <c r="Q4749" i="1"/>
  <c r="Q4748" i="1"/>
  <c r="Q4744" i="1"/>
  <c r="Q4742" i="1"/>
  <c r="Q4730" i="1"/>
  <c r="Q4729" i="1"/>
  <c r="Q4727" i="1"/>
  <c r="Q4726" i="1"/>
  <c r="Q4719" i="1"/>
  <c r="Q4715" i="1"/>
  <c r="Q4711" i="1"/>
  <c r="Q4708" i="1"/>
  <c r="Q4705" i="1"/>
  <c r="Q4702" i="1"/>
  <c r="Q4699" i="1"/>
  <c r="Q4696" i="1"/>
  <c r="Q4694" i="1"/>
  <c r="Q4693" i="1"/>
  <c r="Q4692" i="1"/>
  <c r="Q4690" i="1"/>
  <c r="Q4684" i="1"/>
  <c r="Q4680" i="1"/>
  <c r="Q4677" i="1"/>
  <c r="Q4676" i="1"/>
  <c r="Q4673" i="1"/>
  <c r="Q4672" i="1"/>
  <c r="Q4669" i="1"/>
  <c r="Q4667" i="1"/>
  <c r="Q4665" i="1"/>
  <c r="Q4597" i="1"/>
  <c r="Q4580" i="1"/>
  <c r="Q4576" i="1"/>
  <c r="Q4573" i="1"/>
  <c r="Q4572" i="1"/>
  <c r="Q4571" i="1"/>
  <c r="Q4569" i="1"/>
  <c r="Q4568" i="1"/>
  <c r="Q4562" i="1"/>
  <c r="Q4560" i="1"/>
  <c r="Q4556" i="1"/>
  <c r="Q4555" i="1"/>
  <c r="Q4554" i="1"/>
  <c r="Q4552" i="1"/>
  <c r="Q4551" i="1"/>
  <c r="Q4546" i="1"/>
  <c r="Q4538" i="1"/>
  <c r="Q4535" i="1"/>
  <c r="Q4533" i="1"/>
  <c r="Q4531" i="1"/>
  <c r="Q4513" i="1"/>
  <c r="Q4508" i="1"/>
  <c r="Q4507" i="1"/>
  <c r="Q4505" i="1"/>
  <c r="Q4492" i="1"/>
  <c r="Q4490" i="1"/>
  <c r="Q4489" i="1"/>
  <c r="Q4485" i="1"/>
  <c r="Q4482" i="1"/>
  <c r="Q4478" i="1"/>
  <c r="Q4475" i="1"/>
  <c r="Q4472" i="1"/>
  <c r="Q4469" i="1"/>
  <c r="Q4463" i="1"/>
  <c r="Q4461" i="1"/>
  <c r="Q4459" i="1"/>
  <c r="Q4455" i="1"/>
  <c r="Q4453" i="1"/>
  <c r="Q4452" i="1"/>
  <c r="Q4451" i="1"/>
  <c r="Q4450" i="1"/>
  <c r="Q4449" i="1"/>
  <c r="Q4441" i="1"/>
  <c r="Q4436" i="1"/>
  <c r="Q4435" i="1"/>
  <c r="Q4432" i="1"/>
  <c r="Q4430" i="1"/>
  <c r="Q4429" i="1"/>
  <c r="Q4426" i="1"/>
  <c r="Q4423" i="1"/>
  <c r="Q4422" i="1"/>
  <c r="Q4411" i="1"/>
  <c r="Q4410" i="1"/>
  <c r="Q4408" i="1"/>
  <c r="Q4398" i="1"/>
  <c r="Q4389" i="1"/>
  <c r="Q4383" i="1"/>
  <c r="Q4382" i="1"/>
  <c r="Q4381" i="1"/>
  <c r="Q4379" i="1"/>
  <c r="Q4360" i="1"/>
  <c r="Q4359" i="1"/>
  <c r="Q4358" i="1"/>
  <c r="Q4357" i="1"/>
  <c r="Q4354" i="1"/>
  <c r="Q4353" i="1"/>
  <c r="Q4352" i="1"/>
  <c r="Q4351" i="1"/>
  <c r="Q4349" i="1"/>
  <c r="Q4348" i="1"/>
  <c r="Q4347" i="1"/>
  <c r="Q4346" i="1"/>
  <c r="Q4345" i="1"/>
  <c r="Q4344" i="1"/>
  <c r="Q4343" i="1"/>
  <c r="Q4341" i="1"/>
  <c r="Q4340" i="1"/>
  <c r="Q4339" i="1"/>
  <c r="Q4337" i="1"/>
  <c r="Q4336" i="1"/>
  <c r="Q4335" i="1"/>
  <c r="Q4334" i="1"/>
  <c r="Q4332" i="1"/>
  <c r="Q4331" i="1"/>
  <c r="Q4330" i="1"/>
  <c r="Q4327" i="1"/>
  <c r="Q4325" i="1"/>
  <c r="Q4321" i="1"/>
  <c r="Q4320" i="1"/>
  <c r="Q4319" i="1"/>
  <c r="Q4318" i="1"/>
  <c r="Q4317" i="1"/>
  <c r="Q4312" i="1"/>
  <c r="Q4311" i="1"/>
  <c r="Q4310" i="1"/>
  <c r="Q4309" i="1"/>
  <c r="Q4307" i="1"/>
  <c r="Q4303" i="1"/>
  <c r="Q4290" i="1"/>
  <c r="Q4268" i="1"/>
  <c r="Q4244" i="1"/>
  <c r="Q4239" i="1"/>
  <c r="Q4228" i="1"/>
  <c r="Q4227" i="1"/>
  <c r="Q4225" i="1"/>
  <c r="Q4221" i="1"/>
  <c r="Q4219" i="1"/>
  <c r="Q4218" i="1"/>
  <c r="Q4217" i="1"/>
  <c r="Q4216" i="1"/>
  <c r="Q4215" i="1"/>
  <c r="Q4210" i="1"/>
  <c r="Q4209" i="1"/>
  <c r="Q4203" i="1"/>
  <c r="Q4202" i="1"/>
  <c r="Q4198" i="1"/>
  <c r="Q4197" i="1"/>
  <c r="Q4196" i="1"/>
  <c r="Q4195" i="1"/>
  <c r="Q4189" i="1"/>
  <c r="Q4188" i="1"/>
  <c r="Q4179" i="1"/>
  <c r="Q4176" i="1"/>
  <c r="Q4173" i="1"/>
  <c r="Q4156" i="1"/>
  <c r="Q4155" i="1"/>
  <c r="Q4154" i="1"/>
  <c r="Q4151" i="1"/>
  <c r="Q4150" i="1"/>
  <c r="Q4144" i="1"/>
  <c r="Q4143" i="1"/>
  <c r="Q4142" i="1"/>
  <c r="Q4141" i="1"/>
  <c r="Q4138" i="1"/>
  <c r="Q4137" i="1"/>
  <c r="Q4135" i="1"/>
  <c r="Q4131" i="1"/>
  <c r="Q4128" i="1"/>
  <c r="Q4124" i="1"/>
  <c r="Q4123" i="1"/>
  <c r="Q4122" i="1"/>
  <c r="Q4119" i="1"/>
  <c r="Q4116" i="1"/>
  <c r="Q4114" i="1"/>
  <c r="Q4113" i="1"/>
  <c r="Q4112" i="1"/>
  <c r="Q4111" i="1"/>
  <c r="Q4110" i="1"/>
  <c r="Q4095" i="1"/>
  <c r="Q4087" i="1"/>
  <c r="Q4086" i="1"/>
  <c r="Q4083" i="1"/>
  <c r="Q4077" i="1"/>
  <c r="Q4073" i="1"/>
  <c r="Q4067" i="1"/>
  <c r="Q4066" i="1"/>
  <c r="Q4065" i="1"/>
  <c r="Q4064" i="1"/>
  <c r="Q4063" i="1"/>
  <c r="Q4062" i="1"/>
  <c r="Q4061" i="1"/>
  <c r="Q4060" i="1"/>
  <c r="Q4059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819" i="1"/>
  <c r="Q3818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4" i="1"/>
  <c r="Q3763" i="1"/>
  <c r="Q3762" i="1"/>
  <c r="Q3761" i="1"/>
  <c r="Q3760" i="1"/>
  <c r="Q3759" i="1"/>
  <c r="Q3758" i="1"/>
  <c r="Q3678" i="1"/>
  <c r="Q3677" i="1"/>
  <c r="Q3676" i="1"/>
  <c r="Q3674" i="1"/>
  <c r="Q3673" i="1"/>
  <c r="Q3672" i="1"/>
  <c r="Q3671" i="1"/>
  <c r="Q3669" i="1"/>
  <c r="Q3668" i="1"/>
  <c r="Q3667" i="1"/>
  <c r="Q3666" i="1"/>
  <c r="Q3664" i="1"/>
  <c r="Q3663" i="1"/>
  <c r="Q3662" i="1"/>
  <c r="Q3661" i="1"/>
  <c r="Q3660" i="1"/>
  <c r="Q3659" i="1"/>
  <c r="Q3658" i="1"/>
  <c r="Q3657" i="1"/>
  <c r="Q3656" i="1"/>
  <c r="Q3654" i="1"/>
  <c r="Q3653" i="1"/>
  <c r="Q3652" i="1"/>
  <c r="Q3651" i="1"/>
  <c r="Q3650" i="1"/>
  <c r="Q3649" i="1"/>
  <c r="Q3648" i="1"/>
  <c r="Q3647" i="1"/>
  <c r="Q3645" i="1"/>
  <c r="Q3644" i="1"/>
  <c r="Q3643" i="1"/>
  <c r="Q3642" i="1"/>
  <c r="Q3641" i="1"/>
  <c r="Q3640" i="1"/>
  <c r="Q3639" i="1"/>
  <c r="Q3638" i="1"/>
  <c r="Q3637" i="1"/>
  <c r="Q3636" i="1"/>
  <c r="Q3634" i="1"/>
  <c r="Q3633" i="1"/>
  <c r="Q3632" i="1"/>
  <c r="Q3631" i="1"/>
  <c r="Q3630" i="1"/>
  <c r="Q3627" i="1"/>
  <c r="Q3626" i="1"/>
  <c r="Q3625" i="1"/>
  <c r="Q3623" i="1"/>
  <c r="Q3622" i="1"/>
  <c r="Q3621" i="1"/>
  <c r="Q3580" i="1"/>
  <c r="Q3579" i="1"/>
  <c r="Q3577" i="1"/>
  <c r="Q3576" i="1"/>
  <c r="Q3573" i="1"/>
  <c r="Q3572" i="1"/>
  <c r="Q3571" i="1"/>
  <c r="Q3570" i="1"/>
  <c r="Q3569" i="1"/>
  <c r="Q3568" i="1"/>
  <c r="Q3567" i="1"/>
  <c r="Q3565" i="1"/>
  <c r="Q3564" i="1"/>
  <c r="Q3559" i="1"/>
  <c r="Q3558" i="1"/>
  <c r="Q3554" i="1"/>
  <c r="Q3553" i="1"/>
  <c r="Q3552" i="1"/>
  <c r="Q3551" i="1"/>
  <c r="Q3550" i="1"/>
  <c r="Q3549" i="1"/>
  <c r="Q3548" i="1"/>
  <c r="Q3546" i="1"/>
  <c r="Q3545" i="1"/>
  <c r="Q3544" i="1"/>
  <c r="Q3540" i="1"/>
  <c r="Q3539" i="1"/>
  <c r="Q3538" i="1"/>
  <c r="Q3537" i="1"/>
  <c r="Q3535" i="1"/>
  <c r="Q3533" i="1"/>
  <c r="Q3532" i="1"/>
  <c r="Q3531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0" i="1"/>
  <c r="Q3509" i="1"/>
  <c r="Q3508" i="1"/>
  <c r="Q3507" i="1"/>
  <c r="Q3506" i="1"/>
  <c r="Q3505" i="1"/>
  <c r="Q3504" i="1"/>
  <c r="Q3503" i="1"/>
  <c r="Q3502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3" i="1"/>
  <c r="Q3323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5" i="1"/>
  <c r="Q3294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08" i="1"/>
  <c r="Q3207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39" i="1"/>
  <c r="Q3138" i="1"/>
  <c r="Q3137" i="1"/>
  <c r="Q3136" i="1"/>
  <c r="Q3135" i="1"/>
  <c r="Q3072" i="1"/>
  <c r="Q3071" i="1"/>
  <c r="Q3070" i="1"/>
  <c r="Q3069" i="1"/>
  <c r="Q3068" i="1"/>
  <c r="Q3067" i="1"/>
  <c r="Q3066" i="1"/>
  <c r="Q3065" i="1"/>
  <c r="Q3064" i="1"/>
  <c r="Q3063" i="1"/>
  <c r="Q3062" i="1"/>
  <c r="Q3060" i="1"/>
  <c r="Q3059" i="1"/>
  <c r="Q3058" i="1"/>
  <c r="Q3057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0" i="1"/>
  <c r="Q2909" i="1"/>
  <c r="Q2908" i="1"/>
  <c r="Q2907" i="1"/>
  <c r="Q2883" i="1"/>
  <c r="Q2881" i="1"/>
  <c r="Q2880" i="1"/>
  <c r="Q2879" i="1"/>
  <c r="Q2876" i="1"/>
  <c r="Q2875" i="1"/>
  <c r="Q2874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49" i="1"/>
  <c r="Q2848" i="1"/>
  <c r="Q2847" i="1"/>
  <c r="Q2846" i="1"/>
  <c r="Q2845" i="1"/>
  <c r="Q2844" i="1"/>
  <c r="Q2843" i="1"/>
  <c r="Q2842" i="1"/>
  <c r="Q2841" i="1"/>
  <c r="Q2828" i="1"/>
  <c r="Q2827" i="1"/>
  <c r="Q2826" i="1"/>
  <c r="Q2825" i="1"/>
  <c r="Q2824" i="1"/>
  <c r="Q2823" i="1"/>
  <c r="Q2822" i="1"/>
  <c r="Q2821" i="1"/>
  <c r="Q2819" i="1"/>
  <c r="Q2818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5" i="1"/>
  <c r="Q2794" i="1"/>
  <c r="Q2793" i="1"/>
  <c r="Q2791" i="1"/>
  <c r="Q2790" i="1"/>
  <c r="Q2789" i="1"/>
  <c r="Q2788" i="1"/>
  <c r="Q2787" i="1"/>
  <c r="Q2786" i="1"/>
  <c r="Q2785" i="1"/>
  <c r="Q2784" i="1"/>
  <c r="Q2783" i="1"/>
  <c r="Q2782" i="1"/>
  <c r="Q2781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665" i="1"/>
  <c r="Q2663" i="1"/>
  <c r="Q2662" i="1"/>
  <c r="Q2661" i="1"/>
  <c r="Q2659" i="1"/>
  <c r="Q2658" i="1"/>
  <c r="Q2657" i="1"/>
  <c r="Q2655" i="1"/>
  <c r="Q2654" i="1"/>
  <c r="Q2651" i="1"/>
  <c r="Q2650" i="1"/>
  <c r="Q2649" i="1"/>
  <c r="Q2648" i="1"/>
  <c r="Q2646" i="1"/>
  <c r="Q2645" i="1"/>
  <c r="Q2644" i="1"/>
  <c r="Q2642" i="1"/>
  <c r="Q2641" i="1"/>
  <c r="Q2640" i="1"/>
  <c r="Q2639" i="1"/>
  <c r="Q2638" i="1"/>
  <c r="Q2637" i="1"/>
  <c r="Q2636" i="1"/>
  <c r="Q2635" i="1"/>
  <c r="Q2634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5" i="1"/>
  <c r="Q2514" i="1"/>
  <c r="Q2513" i="1"/>
  <c r="Q2511" i="1"/>
  <c r="Q2510" i="1"/>
  <c r="Q2509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4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8" i="1"/>
  <c r="Q2377" i="1"/>
  <c r="Q2376" i="1"/>
  <c r="Q2375" i="1"/>
  <c r="Q2374" i="1"/>
  <c r="Q2373" i="1"/>
  <c r="Q2371" i="1"/>
  <c r="Q2370" i="1"/>
  <c r="Q2369" i="1"/>
  <c r="Q2368" i="1"/>
  <c r="Q2367" i="1"/>
  <c r="Q2366" i="1"/>
  <c r="Q2365" i="1"/>
  <c r="Q2362" i="1"/>
  <c r="Q2361" i="1"/>
  <c r="Q2360" i="1"/>
  <c r="Q2359" i="1"/>
  <c r="Q2358" i="1"/>
  <c r="Q2357" i="1"/>
  <c r="Q2305" i="1"/>
  <c r="Q2303" i="1"/>
  <c r="Q2302" i="1"/>
  <c r="Q2301" i="1"/>
  <c r="Q2300" i="1"/>
  <c r="Q2298" i="1"/>
  <c r="Q2297" i="1"/>
  <c r="Q2294" i="1"/>
  <c r="Q2292" i="1"/>
  <c r="Q2290" i="1"/>
  <c r="Q2289" i="1"/>
  <c r="Q2287" i="1"/>
  <c r="Q2286" i="1"/>
  <c r="Q2283" i="1"/>
  <c r="Q2282" i="1"/>
  <c r="Q2281" i="1"/>
  <c r="Q2280" i="1"/>
  <c r="Q2279" i="1"/>
  <c r="Q2277" i="1"/>
  <c r="Q2276" i="1"/>
  <c r="Q2275" i="1"/>
  <c r="Q2274" i="1"/>
  <c r="Q2272" i="1"/>
  <c r="Q2270" i="1"/>
  <c r="Q2269" i="1"/>
  <c r="Q2267" i="1"/>
  <c r="Q2266" i="1"/>
  <c r="Q2265" i="1"/>
  <c r="Q2264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7" i="1"/>
  <c r="Q2246" i="1"/>
  <c r="Q2189" i="1"/>
  <c r="Q2188" i="1"/>
  <c r="Q2187" i="1"/>
  <c r="Q2186" i="1"/>
  <c r="Q2185" i="1"/>
  <c r="Q2184" i="1"/>
  <c r="Q2183" i="1"/>
  <c r="Q2182" i="1"/>
  <c r="Q2181" i="1"/>
  <c r="Q2180" i="1"/>
  <c r="Q2179" i="1"/>
  <c r="Q2176" i="1"/>
  <c r="Q2175" i="1"/>
  <c r="Q2174" i="1"/>
  <c r="Q2173" i="1"/>
  <c r="Q2172" i="1"/>
  <c r="Q2170" i="1"/>
  <c r="Q2169" i="1"/>
  <c r="Q2168" i="1"/>
  <c r="Q2167" i="1"/>
  <c r="Q2166" i="1"/>
  <c r="Q2165" i="1"/>
  <c r="Q2163" i="1"/>
  <c r="Q2160" i="1"/>
  <c r="Q2159" i="1"/>
  <c r="Q2157" i="1"/>
  <c r="Q2156" i="1"/>
  <c r="Q2154" i="1"/>
  <c r="Q2153" i="1"/>
  <c r="Q2147" i="1"/>
  <c r="Q2146" i="1"/>
  <c r="Q2145" i="1"/>
  <c r="Q2143" i="1"/>
  <c r="Q2140" i="1"/>
  <c r="Q2045" i="1"/>
  <c r="Q2044" i="1"/>
  <c r="Q2043" i="1"/>
  <c r="Q2042" i="1"/>
  <c r="Q2040" i="1"/>
  <c r="Q2037" i="1"/>
  <c r="Q2036" i="1"/>
  <c r="Q2035" i="1"/>
  <c r="Q2034" i="1"/>
  <c r="Q2031" i="1"/>
  <c r="Q2030" i="1"/>
  <c r="Q2029" i="1"/>
  <c r="Q2028" i="1"/>
  <c r="Q2027" i="1"/>
  <c r="Q2026" i="1"/>
  <c r="Q2025" i="1"/>
  <c r="Q2024" i="1"/>
  <c r="Q2023" i="1"/>
  <c r="Q2022" i="1"/>
  <c r="Q2021" i="1"/>
  <c r="Q2019" i="1"/>
  <c r="Q2017" i="1"/>
  <c r="Q2016" i="1"/>
  <c r="Q2015" i="1"/>
  <c r="Q2014" i="1"/>
  <c r="Q2013" i="1"/>
  <c r="Q2012" i="1"/>
  <c r="Q2010" i="1"/>
  <c r="Q2009" i="1"/>
  <c r="Q2008" i="1"/>
  <c r="Q2007" i="1"/>
  <c r="Q2006" i="1"/>
  <c r="Q2005" i="1"/>
  <c r="Q1951" i="1"/>
  <c r="Q1950" i="1"/>
  <c r="Q1949" i="1"/>
  <c r="Q1948" i="1"/>
  <c r="Q1947" i="1"/>
  <c r="Q1946" i="1"/>
  <c r="Q1944" i="1"/>
  <c r="Q1942" i="1"/>
  <c r="Q1940" i="1"/>
  <c r="Q1939" i="1"/>
  <c r="Q1938" i="1"/>
  <c r="Q1936" i="1"/>
  <c r="Q1935" i="1"/>
  <c r="Q1934" i="1"/>
  <c r="Q1931" i="1"/>
  <c r="Q1930" i="1"/>
  <c r="Q1929" i="1"/>
  <c r="Q1926" i="1"/>
  <c r="Q1925" i="1"/>
  <c r="Q1923" i="1"/>
  <c r="Q1921" i="1"/>
  <c r="Q1920" i="1"/>
  <c r="Q1919" i="1"/>
  <c r="Q1917" i="1"/>
  <c r="Q1915" i="1"/>
  <c r="Q1914" i="1"/>
  <c r="Q1912" i="1"/>
  <c r="Q1911" i="1"/>
  <c r="Q1910" i="1"/>
  <c r="Q1909" i="1"/>
  <c r="Q1908" i="1"/>
  <c r="Q1907" i="1"/>
  <c r="Q1905" i="1"/>
  <c r="Q1903" i="1"/>
  <c r="Q1901" i="1"/>
  <c r="Q1900" i="1"/>
  <c r="Q1899" i="1"/>
  <c r="Q1898" i="1"/>
  <c r="Q1897" i="1"/>
  <c r="Q1896" i="1"/>
  <c r="Q1894" i="1"/>
  <c r="Q1889" i="1"/>
  <c r="Q1888" i="1"/>
  <c r="Q1804" i="1"/>
  <c r="Q1802" i="1"/>
  <c r="Q1798" i="1"/>
  <c r="Q1797" i="1"/>
  <c r="Q1796" i="1"/>
  <c r="Q1795" i="1"/>
  <c r="Q1794" i="1"/>
  <c r="Q1793" i="1"/>
  <c r="Q1792" i="1"/>
  <c r="Q1789" i="1"/>
  <c r="Q1788" i="1"/>
  <c r="Q1786" i="1"/>
  <c r="Q1785" i="1"/>
  <c r="Q1784" i="1"/>
  <c r="Q1783" i="1"/>
  <c r="Q1782" i="1"/>
  <c r="Q1781" i="1"/>
  <c r="Q1780" i="1"/>
  <c r="Q1709" i="1"/>
  <c r="Q1708" i="1"/>
  <c r="Q1707" i="1"/>
  <c r="Q1706" i="1"/>
  <c r="Q1703" i="1"/>
  <c r="Q1702" i="1"/>
  <c r="Q1701" i="1"/>
  <c r="Q1700" i="1"/>
  <c r="Q1699" i="1"/>
  <c r="Q1698" i="1"/>
  <c r="Q1697" i="1"/>
  <c r="Q1695" i="1"/>
  <c r="Q1694" i="1"/>
  <c r="Q1693" i="1"/>
  <c r="Q1692" i="1"/>
  <c r="Q1691" i="1"/>
  <c r="Q1688" i="1"/>
  <c r="Q1684" i="1"/>
  <c r="Q1683" i="1"/>
  <c r="Q1681" i="1"/>
  <c r="Q1680" i="1"/>
  <c r="Q1679" i="1"/>
  <c r="Q1676" i="1"/>
  <c r="Q1675" i="1"/>
  <c r="Q1674" i="1"/>
  <c r="Q1672" i="1"/>
  <c r="Q1610" i="1"/>
  <c r="Q1609" i="1"/>
  <c r="Q1608" i="1"/>
  <c r="Q1607" i="1"/>
  <c r="Q1605" i="1"/>
  <c r="Q1602" i="1"/>
  <c r="Q1601" i="1"/>
  <c r="Q1600" i="1"/>
  <c r="Q1599" i="1"/>
  <c r="Q1597" i="1"/>
  <c r="Q1596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78" i="1"/>
  <c r="Q1577" i="1"/>
  <c r="Q1574" i="1"/>
  <c r="Q1573" i="1"/>
  <c r="Q1572" i="1"/>
  <c r="Q1570" i="1"/>
  <c r="Q1569" i="1"/>
  <c r="Q1567" i="1"/>
  <c r="Q1566" i="1"/>
  <c r="Q1564" i="1"/>
  <c r="Q1562" i="1"/>
  <c r="Q1560" i="1"/>
  <c r="Q1556" i="1"/>
  <c r="Q1555" i="1"/>
  <c r="Q1554" i="1"/>
  <c r="Q1553" i="1"/>
  <c r="Q1552" i="1"/>
  <c r="Q1551" i="1"/>
  <c r="Q1550" i="1"/>
  <c r="Q1549" i="1"/>
  <c r="Q1548" i="1"/>
  <c r="Q1547" i="1"/>
  <c r="Q1545" i="1"/>
  <c r="Q1544" i="1"/>
  <c r="Q1542" i="1"/>
  <c r="Q1540" i="1"/>
  <c r="Q1478" i="1"/>
  <c r="Q1475" i="1"/>
  <c r="Q1474" i="1"/>
  <c r="Q1473" i="1"/>
  <c r="Q1472" i="1"/>
  <c r="Q1469" i="1"/>
  <c r="Q1468" i="1"/>
  <c r="Q1467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5" i="1"/>
  <c r="Q1444" i="1"/>
  <c r="Q1443" i="1"/>
  <c r="Q1442" i="1"/>
  <c r="Q1441" i="1"/>
  <c r="Q1440" i="1"/>
  <c r="Q1439" i="1"/>
  <c r="Q1437" i="1"/>
  <c r="Q1434" i="1"/>
  <c r="Q1433" i="1"/>
  <c r="Q1432" i="1"/>
  <c r="Q1431" i="1"/>
  <c r="Q1430" i="1"/>
  <c r="Q1429" i="1"/>
  <c r="Q1428" i="1"/>
  <c r="Q1427" i="1"/>
  <c r="Q1426" i="1"/>
  <c r="Q1424" i="1"/>
  <c r="Q1423" i="1"/>
  <c r="Q1422" i="1"/>
  <c r="Q1421" i="1"/>
  <c r="Q1419" i="1"/>
  <c r="Q1418" i="1"/>
  <c r="Q1364" i="1"/>
  <c r="Q1361" i="1"/>
  <c r="Q1360" i="1"/>
  <c r="Q1359" i="1"/>
  <c r="Q1358" i="1"/>
  <c r="Q1349" i="1"/>
  <c r="Q1348" i="1"/>
  <c r="Q1347" i="1"/>
  <c r="Q1346" i="1"/>
  <c r="Q1345" i="1"/>
  <c r="Q1342" i="1"/>
  <c r="Q1341" i="1"/>
  <c r="Q1338" i="1"/>
  <c r="Q1337" i="1"/>
  <c r="Q1336" i="1"/>
  <c r="Q1335" i="1"/>
  <c r="Q1334" i="1"/>
  <c r="Q1331" i="1"/>
  <c r="Q1330" i="1"/>
  <c r="Q1329" i="1"/>
  <c r="Q1326" i="1"/>
  <c r="Q1325" i="1"/>
  <c r="Q1324" i="1"/>
  <c r="Q1249" i="1"/>
  <c r="Q1248" i="1"/>
  <c r="Q1245" i="1"/>
  <c r="Q1244" i="1"/>
  <c r="Q1237" i="1"/>
  <c r="Q1235" i="1"/>
  <c r="Q1234" i="1"/>
  <c r="Q1233" i="1"/>
  <c r="Q1231" i="1"/>
  <c r="Q1229" i="1"/>
  <c r="Q1228" i="1"/>
  <c r="Q1227" i="1"/>
  <c r="Q1226" i="1"/>
  <c r="Q1221" i="1"/>
  <c r="Q1220" i="1"/>
  <c r="T1219" i="1"/>
  <c r="Q1219" i="1"/>
  <c r="Q1218" i="1"/>
  <c r="Q1215" i="1"/>
  <c r="Q1214" i="1"/>
  <c r="Q1213" i="1"/>
  <c r="Q1212" i="1"/>
  <c r="Q1163" i="1"/>
  <c r="Q1162" i="1"/>
  <c r="Q1160" i="1"/>
  <c r="Q1158" i="1"/>
  <c r="Q1157" i="1"/>
  <c r="Q1156" i="1"/>
  <c r="Q1155" i="1"/>
  <c r="Q1153" i="1"/>
  <c r="Q1152" i="1"/>
  <c r="Q1151" i="1"/>
  <c r="Q1150" i="1"/>
  <c r="Q1149" i="1"/>
  <c r="Q1148" i="1"/>
  <c r="Q1145" i="1"/>
  <c r="Q1144" i="1"/>
  <c r="Q1143" i="1"/>
  <c r="Q1142" i="1"/>
  <c r="Q1141" i="1"/>
  <c r="Q1140" i="1"/>
  <c r="Q1137" i="1"/>
  <c r="Q1136" i="1"/>
  <c r="Q1135" i="1"/>
  <c r="Q1134" i="1"/>
  <c r="Q1132" i="1"/>
  <c r="Q1131" i="1"/>
  <c r="Q1129" i="1"/>
  <c r="Q1127" i="1"/>
  <c r="Q1125" i="1"/>
  <c r="Q1124" i="1"/>
  <c r="Q1123" i="1"/>
  <c r="Q1121" i="1"/>
  <c r="Q1120" i="1"/>
  <c r="Q1118" i="1"/>
  <c r="Q1087" i="1"/>
  <c r="Q1085" i="1"/>
  <c r="Q1084" i="1"/>
  <c r="Q1083" i="1"/>
  <c r="Q1081" i="1"/>
  <c r="T1079" i="1"/>
  <c r="Q1079" i="1"/>
  <c r="Q1077" i="1"/>
  <c r="Q1075" i="1"/>
  <c r="Q1074" i="1"/>
  <c r="Q1073" i="1"/>
  <c r="Q1072" i="1"/>
  <c r="Q1070" i="1"/>
  <c r="Q1067" i="1"/>
  <c r="Q1066" i="1"/>
  <c r="Q1065" i="1"/>
  <c r="Q1062" i="1"/>
  <c r="Q1061" i="1"/>
  <c r="Q1060" i="1"/>
  <c r="Q1059" i="1"/>
  <c r="Q1058" i="1"/>
  <c r="Q1057" i="1"/>
  <c r="Q1056" i="1"/>
  <c r="Q1055" i="1"/>
  <c r="Q1054" i="1"/>
  <c r="Q1053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87" i="1"/>
  <c r="Q985" i="1"/>
  <c r="Q984" i="1"/>
  <c r="Q983" i="1"/>
  <c r="Q982" i="1"/>
  <c r="Q981" i="1"/>
  <c r="Q979" i="1"/>
  <c r="Q978" i="1"/>
  <c r="Q977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8" i="1"/>
  <c r="Q947" i="1"/>
  <c r="Q892" i="1"/>
  <c r="Q891" i="1"/>
  <c r="Q890" i="1"/>
  <c r="Q889" i="1"/>
  <c r="Q887" i="1"/>
  <c r="Q886" i="1"/>
  <c r="Q885" i="1"/>
  <c r="Q883" i="1"/>
  <c r="Q882" i="1"/>
  <c r="Q881" i="1"/>
  <c r="Q877" i="1"/>
  <c r="Q876" i="1"/>
  <c r="Q875" i="1"/>
  <c r="Q874" i="1"/>
  <c r="Q873" i="1"/>
  <c r="Q872" i="1"/>
  <c r="Q871" i="1"/>
  <c r="Q870" i="1"/>
  <c r="Q869" i="1"/>
  <c r="Q868" i="1"/>
  <c r="Q867" i="1"/>
  <c r="Q865" i="1"/>
  <c r="Q864" i="1"/>
  <c r="Q863" i="1"/>
  <c r="Q862" i="1"/>
  <c r="Q861" i="1"/>
  <c r="Q860" i="1"/>
  <c r="Q859" i="1"/>
  <c r="Q857" i="1"/>
  <c r="Q856" i="1"/>
  <c r="Q855" i="1"/>
  <c r="Q854" i="1"/>
  <c r="Q852" i="1"/>
  <c r="Q851" i="1"/>
  <c r="Q827" i="1"/>
  <c r="Q826" i="1"/>
  <c r="Q825" i="1"/>
  <c r="Q823" i="1"/>
  <c r="Q820" i="1"/>
  <c r="Q819" i="1"/>
  <c r="Q818" i="1"/>
  <c r="Q817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54" i="1"/>
  <c r="Q753" i="1"/>
  <c r="Q752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7" i="1"/>
  <c r="Q736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71" i="1"/>
  <c r="Q670" i="1"/>
  <c r="Q669" i="1"/>
  <c r="Q668" i="1"/>
  <c r="Q667" i="1"/>
  <c r="Q664" i="1"/>
  <c r="Q663" i="1"/>
  <c r="Q662" i="1"/>
  <c r="Q661" i="1"/>
  <c r="Q660" i="1"/>
  <c r="Q659" i="1"/>
  <c r="Q658" i="1"/>
  <c r="Q657" i="1"/>
  <c r="Q656" i="1"/>
  <c r="Q655" i="1"/>
  <c r="Q654" i="1"/>
  <c r="Q636" i="1"/>
  <c r="Q635" i="1"/>
  <c r="Q634" i="1"/>
  <c r="Q633" i="1"/>
  <c r="Q632" i="1"/>
  <c r="Q631" i="1"/>
  <c r="Q630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2" i="1"/>
  <c r="Q611" i="1"/>
  <c r="Q610" i="1"/>
  <c r="Q609" i="1"/>
  <c r="Q607" i="1"/>
  <c r="Q578" i="1"/>
  <c r="Q577" i="1"/>
  <c r="Q574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35" i="1"/>
  <c r="Q533" i="1"/>
  <c r="Q531" i="1"/>
  <c r="Q530" i="1"/>
  <c r="Q529" i="1"/>
  <c r="Q528" i="1"/>
  <c r="Q527" i="1"/>
  <c r="Q447" i="1"/>
  <c r="Q446" i="1"/>
  <c r="Q444" i="1"/>
  <c r="Q443" i="1"/>
  <c r="Q360" i="1"/>
  <c r="Q359" i="1"/>
  <c r="Q358" i="1"/>
  <c r="Q357" i="1"/>
  <c r="Q355" i="1"/>
  <c r="Q354" i="1"/>
  <c r="Q353" i="1"/>
  <c r="Q352" i="1"/>
  <c r="Q291" i="1"/>
  <c r="Q290" i="1"/>
  <c r="Q289" i="1"/>
  <c r="Q287" i="1"/>
  <c r="Q286" i="1"/>
  <c r="Q285" i="1"/>
  <c r="Q284" i="1"/>
  <c r="Q283" i="1"/>
  <c r="Q281" i="1"/>
  <c r="Q248" i="1"/>
  <c r="Q247" i="1"/>
  <c r="Q246" i="1"/>
  <c r="Q244" i="1"/>
  <c r="Q243" i="1"/>
  <c r="Q242" i="1"/>
  <c r="Q240" i="1"/>
  <c r="Q239" i="1"/>
  <c r="Q237" i="1"/>
  <c r="Q236" i="1"/>
  <c r="Q235" i="1"/>
  <c r="Q233" i="1"/>
  <c r="Q232" i="1"/>
  <c r="Q231" i="1"/>
  <c r="Q213" i="1"/>
  <c r="Q212" i="1"/>
  <c r="Q211" i="1"/>
  <c r="Q209" i="1"/>
  <c r="Q208" i="1"/>
  <c r="Q207" i="1"/>
  <c r="Q206" i="1"/>
  <c r="Q204" i="1"/>
  <c r="Q203" i="1"/>
  <c r="Q200" i="1"/>
  <c r="Q199" i="1"/>
  <c r="Q198" i="1"/>
  <c r="Q197" i="1"/>
  <c r="Q196" i="1"/>
  <c r="Q195" i="1"/>
  <c r="Q184" i="1"/>
  <c r="Q183" i="1"/>
  <c r="Q179" i="1"/>
  <c r="Q162" i="1"/>
  <c r="Q106" i="1"/>
  <c r="Q104" i="1"/>
  <c r="Q103" i="1"/>
  <c r="Q102" i="1"/>
  <c r="Q101" i="1"/>
  <c r="Q100" i="1"/>
  <c r="Q99" i="1"/>
  <c r="Q98" i="1"/>
  <c r="Q92" i="1"/>
  <c r="Q91" i="1"/>
  <c r="Q90" i="1"/>
  <c r="Q89" i="1"/>
  <c r="Q88" i="1"/>
  <c r="Q87" i="1"/>
  <c r="Q86" i="1"/>
  <c r="Q85" i="1"/>
  <c r="Q84" i="1"/>
  <c r="Q82" i="1"/>
  <c r="Q81" i="1"/>
  <c r="Q80" i="1"/>
  <c r="Q79" i="1"/>
  <c r="Q78" i="1"/>
  <c r="Q64" i="1"/>
  <c r="Q62" i="1"/>
  <c r="Q61" i="1"/>
  <c r="Q60" i="1"/>
  <c r="Q59" i="1"/>
  <c r="Q58" i="1"/>
  <c r="Q57" i="1"/>
  <c r="Q47" i="1"/>
  <c r="Q46" i="1"/>
  <c r="Q37" i="1"/>
  <c r="Q33" i="1"/>
  <c r="Q30" i="1"/>
  <c r="Q28" i="1"/>
  <c r="Q24" i="1"/>
  <c r="Q21" i="1"/>
  <c r="Q20" i="1"/>
  <c r="Q19" i="1"/>
  <c r="Q17" i="1"/>
  <c r="Q16" i="1"/>
  <c r="Q15" i="1"/>
  <c r="Q14" i="1"/>
  <c r="Q13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<sst xmlns="http://schemas.openxmlformats.org/spreadsheetml/2006/main" count="77884" uniqueCount="1299">
  <si>
    <t>Date</t>
  </si>
  <si>
    <t>Grid</t>
  </si>
  <si>
    <t>Trapline</t>
  </si>
  <si>
    <t>Station</t>
  </si>
  <si>
    <t>Trap</t>
  </si>
  <si>
    <t>Observer</t>
  </si>
  <si>
    <t>TrapType</t>
  </si>
  <si>
    <t>Feed Used</t>
  </si>
  <si>
    <t>Species</t>
  </si>
  <si>
    <t>Fate</t>
  </si>
  <si>
    <t>Age</t>
  </si>
  <si>
    <t>Sex</t>
  </si>
  <si>
    <t>TagChange</t>
  </si>
  <si>
    <t>Unique</t>
  </si>
  <si>
    <t>TagLeft</t>
  </si>
  <si>
    <t>TagRight</t>
  </si>
  <si>
    <t>Weight</t>
  </si>
  <si>
    <t>ReproCond</t>
  </si>
  <si>
    <t>Lactating</t>
  </si>
  <si>
    <t>Hindfoot</t>
  </si>
  <si>
    <t>Tail</t>
  </si>
  <si>
    <t>Ear</t>
  </si>
  <si>
    <t>Skull Width</t>
  </si>
  <si>
    <t>Skull Length</t>
  </si>
  <si>
    <t>Parasites</t>
  </si>
  <si>
    <t>Orange Mites (Y/N)</t>
  </si>
  <si>
    <t>Orange Mite Vial</t>
  </si>
  <si>
    <t>Weather</t>
  </si>
  <si>
    <t>Temperature</t>
  </si>
  <si>
    <t>Comments</t>
  </si>
  <si>
    <t>Falls</t>
  </si>
  <si>
    <t xml:space="preserve">AS </t>
  </si>
  <si>
    <t>Sherman</t>
  </si>
  <si>
    <t>Sunflower Seeds</t>
  </si>
  <si>
    <t>ECHIP</t>
  </si>
  <si>
    <t>New Tag</t>
  </si>
  <si>
    <t>A</t>
  </si>
  <si>
    <t>M</t>
  </si>
  <si>
    <t>SCR</t>
  </si>
  <si>
    <t>N</t>
  </si>
  <si>
    <t xml:space="preserve">Clear </t>
  </si>
  <si>
    <t>Cool</t>
  </si>
  <si>
    <t>EAS</t>
  </si>
  <si>
    <t>DM</t>
  </si>
  <si>
    <t>Recap</t>
  </si>
  <si>
    <t>F</t>
  </si>
  <si>
    <t>NR</t>
  </si>
  <si>
    <t>Clear</t>
  </si>
  <si>
    <t>Retag</t>
  </si>
  <si>
    <t>H232</t>
  </si>
  <si>
    <t>NSC</t>
  </si>
  <si>
    <t>H273</t>
  </si>
  <si>
    <t>H272</t>
  </si>
  <si>
    <t>H331</t>
  </si>
  <si>
    <t>H332</t>
  </si>
  <si>
    <t>Sorex</t>
  </si>
  <si>
    <t>Released</t>
  </si>
  <si>
    <t xml:space="preserve">Trap Mal </t>
  </si>
  <si>
    <t>RBV</t>
  </si>
  <si>
    <t>Trap Malfunction</t>
  </si>
  <si>
    <t>Partly Cloudy</t>
  </si>
  <si>
    <t>Perf</t>
  </si>
  <si>
    <t>H301</t>
  </si>
  <si>
    <t>H302</t>
  </si>
  <si>
    <t>NSCR</t>
  </si>
  <si>
    <t>RS</t>
  </si>
  <si>
    <t>Trap Death</t>
  </si>
  <si>
    <t>H645</t>
  </si>
  <si>
    <t xml:space="preserve">Cool </t>
  </si>
  <si>
    <t>H415</t>
  </si>
  <si>
    <t>H322</t>
  </si>
  <si>
    <t>H323</t>
  </si>
  <si>
    <t>STS</t>
  </si>
  <si>
    <t>Trap Disturbed - Was closed and had martin poop on top of the trap</t>
  </si>
  <si>
    <t>LAC</t>
  </si>
  <si>
    <t>FLYER</t>
  </si>
  <si>
    <t>Cold</t>
  </si>
  <si>
    <t>PREG</t>
  </si>
  <si>
    <t>Tag Change</t>
  </si>
  <si>
    <t>PERF</t>
  </si>
  <si>
    <t>NFS</t>
  </si>
  <si>
    <t>Trap Disturbed</t>
  </si>
  <si>
    <t xml:space="preserve">Trap Disturbed </t>
  </si>
  <si>
    <t>Trap Disturance</t>
  </si>
  <si>
    <t>Trap Disturbance</t>
  </si>
  <si>
    <t xml:space="preserve">Trap Disturbance </t>
  </si>
  <si>
    <t>Cloudy</t>
  </si>
  <si>
    <t>Warm</t>
  </si>
  <si>
    <t>J</t>
  </si>
  <si>
    <t>P002-16;P015-16</t>
  </si>
  <si>
    <t>BITEY!!</t>
  </si>
  <si>
    <t>P017-16;P026-16</t>
  </si>
  <si>
    <t>Escaped</t>
  </si>
  <si>
    <t>D279</t>
  </si>
  <si>
    <t>WJM</t>
  </si>
  <si>
    <t>Cloudy/Drizzling</t>
  </si>
  <si>
    <t>Handling Death</t>
  </si>
  <si>
    <t xml:space="preserve">Cloudy </t>
  </si>
  <si>
    <t>P012-16;P019-16</t>
  </si>
  <si>
    <t>H382</t>
  </si>
  <si>
    <t>H391</t>
  </si>
  <si>
    <t>P029-16;P007-16</t>
  </si>
  <si>
    <t>Y</t>
  </si>
  <si>
    <t>Cloudy/Dizzling</t>
  </si>
  <si>
    <t>MJM</t>
  </si>
  <si>
    <t>Trap not set</t>
  </si>
  <si>
    <t>Partly Clody</t>
  </si>
  <si>
    <t>Trap Distured</t>
  </si>
  <si>
    <t>WJW</t>
  </si>
  <si>
    <t>P024-16</t>
  </si>
  <si>
    <t>50346</t>
  </si>
  <si>
    <t>H236</t>
  </si>
  <si>
    <t xml:space="preserve">A </t>
  </si>
  <si>
    <t>SA</t>
  </si>
  <si>
    <t>Cloudy Cool</t>
  </si>
  <si>
    <t>P027-16</t>
  </si>
  <si>
    <t>Found foot belonging to red squirrel in trap door</t>
  </si>
  <si>
    <t>Partly cloudy</t>
  </si>
  <si>
    <t>P021-16 and P022-16</t>
  </si>
  <si>
    <t>Preg</t>
  </si>
  <si>
    <t xml:space="preserve">Trap was found under an uprooted tree. Scratch marks  in dirt </t>
  </si>
  <si>
    <t>P013-16</t>
  </si>
  <si>
    <t>ESCAPED</t>
  </si>
  <si>
    <t xml:space="preserve">Released </t>
  </si>
  <si>
    <t>When seeting the lines, noticced that the trap was deformed and thus could not e set (might have been stepped on by a moose or bear)</t>
  </si>
  <si>
    <t xml:space="preserve">Clear  </t>
  </si>
  <si>
    <t>P004-16; P003-16</t>
  </si>
  <si>
    <t>Handling death</t>
  </si>
  <si>
    <t>NFLYER</t>
  </si>
  <si>
    <t>50321</t>
  </si>
  <si>
    <t>50320</t>
  </si>
  <si>
    <t>P025-16</t>
  </si>
  <si>
    <t>P011-16</t>
  </si>
  <si>
    <t>P020-16</t>
  </si>
  <si>
    <t>Recap/ESCAPED</t>
  </si>
  <si>
    <t>H410</t>
  </si>
  <si>
    <t xml:space="preserve">Partly Cloudy </t>
  </si>
  <si>
    <t>Hot</t>
  </si>
  <si>
    <t>Party Cloudy</t>
  </si>
  <si>
    <t>Predation</t>
  </si>
  <si>
    <t>Only foot was found in the trap</t>
  </si>
  <si>
    <t>H276</t>
  </si>
  <si>
    <t>H455</t>
  </si>
  <si>
    <t>Lac</t>
  </si>
  <si>
    <t>Had a parasite on it</t>
  </si>
  <si>
    <t>Preg/Lac</t>
  </si>
  <si>
    <t>Had a tick on the right side of its face</t>
  </si>
  <si>
    <t>G196</t>
  </si>
  <si>
    <t>Escaped before measurements could be taken</t>
  </si>
  <si>
    <t>PREG/LAC</t>
  </si>
  <si>
    <t>Had a rip on the right ear which may have been from a previous tag</t>
  </si>
  <si>
    <t>P009-16</t>
  </si>
  <si>
    <t>P025-16 &amp; P031-16</t>
  </si>
  <si>
    <t>H542</t>
  </si>
  <si>
    <t>H543</t>
  </si>
  <si>
    <t>P008-16</t>
  </si>
  <si>
    <t xml:space="preserve">Partly </t>
  </si>
  <si>
    <t>Marten found at trap</t>
  </si>
  <si>
    <t>New individual (died following ear tag)</t>
  </si>
  <si>
    <t>P006-16</t>
  </si>
  <si>
    <t>Could not get accurate measurements for the skull length and skull width</t>
  </si>
  <si>
    <t>Perf/Lac</t>
  </si>
  <si>
    <t>P005-16</t>
  </si>
  <si>
    <t>H328</t>
  </si>
  <si>
    <t>H329</t>
  </si>
  <si>
    <t>Not Set</t>
  </si>
  <si>
    <t>Bear had trappled the trap</t>
  </si>
  <si>
    <t>REcap</t>
  </si>
  <si>
    <t>RIP</t>
  </si>
  <si>
    <t>Could not get skull length or width measurements</t>
  </si>
  <si>
    <t>Could not get skull length or width measurements. Vagina was bleeding</t>
  </si>
  <si>
    <t>H291</t>
  </si>
  <si>
    <t>H629</t>
  </si>
  <si>
    <t>P060-16</t>
  </si>
  <si>
    <t>Was not doing well upon release - drunk walk</t>
  </si>
  <si>
    <t>P014-16</t>
  </si>
  <si>
    <t>P050-16</t>
  </si>
  <si>
    <t>Handliong death</t>
  </si>
  <si>
    <t>Most likely one of the individuals that escaped</t>
  </si>
  <si>
    <t>RIP/RIP</t>
  </si>
  <si>
    <t>Individual was found outside the trap whit its tail caught in the door. The left foot was injusred thus hindfoot measurement is from left foot</t>
  </si>
  <si>
    <t>P041-16</t>
  </si>
  <si>
    <t>P010-16; P049-16</t>
  </si>
  <si>
    <t>Tic found on individuals neck</t>
  </si>
  <si>
    <t>Tick on right side of face</t>
  </si>
  <si>
    <t>P047-16</t>
  </si>
  <si>
    <t>Could not take skull length and skull with measurements</t>
  </si>
  <si>
    <t>Tail has regained blood and looks much better. Hindfoot was taken on rigt foot.</t>
  </si>
  <si>
    <t>P044-16; P030-16</t>
  </si>
  <si>
    <t>P042-16; P045-16</t>
  </si>
  <si>
    <t>Ticks on individual</t>
  </si>
  <si>
    <t>Had a tick on right side of face</t>
  </si>
  <si>
    <t>P058-16</t>
  </si>
  <si>
    <t>50643</t>
  </si>
  <si>
    <t>New tag on right ear</t>
  </si>
  <si>
    <t>Had tick on back of head</t>
  </si>
  <si>
    <t>F744</t>
  </si>
  <si>
    <t>Escaped after getting ear tag. Rip in left ear, possibly from previous tag</t>
  </si>
  <si>
    <t>Could not take skull length or width measurements. Individual also had a tick on the right side of its face</t>
  </si>
  <si>
    <t>Probably a successful predation</t>
  </si>
  <si>
    <t>Tag added to the right ear</t>
  </si>
  <si>
    <t>N/A</t>
  </si>
  <si>
    <t>M026-16</t>
  </si>
  <si>
    <t>M010-16</t>
  </si>
  <si>
    <t>50581</t>
  </si>
  <si>
    <t>M006-16</t>
  </si>
  <si>
    <t>New tag. Animal died after tag was given</t>
  </si>
  <si>
    <t>Tic under right ear</t>
  </si>
  <si>
    <t>M003-16</t>
  </si>
  <si>
    <t>M027-16</t>
  </si>
  <si>
    <t>M030-16</t>
  </si>
  <si>
    <t>Tick on the right side of face</t>
  </si>
  <si>
    <t>M033-16</t>
  </si>
  <si>
    <t>P032-16;P061-16</t>
  </si>
  <si>
    <t>Cloudy/Light Rain</t>
  </si>
  <si>
    <t xml:space="preserve">Cloudy/Light Rain </t>
  </si>
  <si>
    <t>Found outside trap, with tail caughtin the door</t>
  </si>
  <si>
    <t>Infection underright ear</t>
  </si>
  <si>
    <t>M035-16</t>
  </si>
  <si>
    <t>M034-16</t>
  </si>
  <si>
    <t>Infected left ear</t>
  </si>
  <si>
    <t>Rip in left ear, possibly from previoustag</t>
  </si>
  <si>
    <t>M015-16</t>
  </si>
  <si>
    <t>Rip in left ear, possibly from previus tag</t>
  </si>
  <si>
    <t>M022-16</t>
  </si>
  <si>
    <t>H230</t>
  </si>
  <si>
    <t>Rip inleft ear, possibly from previous tag</t>
  </si>
  <si>
    <t>P056-16</t>
  </si>
  <si>
    <t>P. Cloudy</t>
  </si>
  <si>
    <t>Had a cut on the right front leg</t>
  </si>
  <si>
    <t>P.Cloudy</t>
  </si>
  <si>
    <t>26,6</t>
  </si>
  <si>
    <t>Tic on right cheek</t>
  </si>
  <si>
    <t>M040-16</t>
  </si>
  <si>
    <t>M046-16</t>
  </si>
  <si>
    <t>M044-16</t>
  </si>
  <si>
    <t>M060-16</t>
  </si>
  <si>
    <t>H066</t>
  </si>
  <si>
    <t>P001-16</t>
  </si>
  <si>
    <t>P028-16;P057-16</t>
  </si>
  <si>
    <t>P059-16</t>
  </si>
  <si>
    <t>PREDATION</t>
  </si>
  <si>
    <t>Bottom half of body was stuck in the trap door</t>
  </si>
  <si>
    <t>M024-16</t>
  </si>
  <si>
    <t>M025-16</t>
  </si>
  <si>
    <t>End of tail missing and left ear was ripped possibly from a previous tag</t>
  </si>
  <si>
    <t>Fur found in trap door</t>
  </si>
  <si>
    <t>M042-16</t>
  </si>
  <si>
    <t>M013-16</t>
  </si>
  <si>
    <t xml:space="preserve">J </t>
  </si>
  <si>
    <t xml:space="preserve">M </t>
  </si>
  <si>
    <t>Rip in both ears, possibly from previous tags</t>
  </si>
  <si>
    <t>50836</t>
  </si>
  <si>
    <t>50840</t>
  </si>
  <si>
    <t>Temperature was getting too hot!</t>
  </si>
  <si>
    <t>Bot fly around anus</t>
  </si>
  <si>
    <t>M050-16</t>
  </si>
  <si>
    <t>Forgot to check for orange mites</t>
  </si>
  <si>
    <t>M008-16</t>
  </si>
  <si>
    <t>Rip in left ear, possibly from previous tag</t>
  </si>
  <si>
    <t>Mites conjergate around ear tag hole</t>
  </si>
  <si>
    <t>p.Cloudy</t>
  </si>
  <si>
    <t>P094-16</t>
  </si>
  <si>
    <t>M067-16</t>
  </si>
  <si>
    <t>Rip Iin rightear, possibly from previous tag</t>
  </si>
  <si>
    <t>PREG/PERF</t>
  </si>
  <si>
    <t>M019-16</t>
  </si>
  <si>
    <t>M056-16</t>
  </si>
  <si>
    <t>Ear tag on the left ear seems to attract mites</t>
  </si>
  <si>
    <t>M074-16</t>
  </si>
  <si>
    <t>P098-16</t>
  </si>
  <si>
    <t>M071-16</t>
  </si>
  <si>
    <t>M070-16</t>
  </si>
  <si>
    <t>Cloudy/Foggy</t>
  </si>
  <si>
    <t>Cloudy/Foogy</t>
  </si>
  <si>
    <t>Tick under right ear</t>
  </si>
  <si>
    <t>M045-16</t>
  </si>
  <si>
    <t>Escaped after receiving tag</t>
  </si>
  <si>
    <t>Bleeding on leg</t>
  </si>
  <si>
    <t>H650</t>
  </si>
  <si>
    <t>M017-16</t>
  </si>
  <si>
    <t>SW</t>
  </si>
  <si>
    <t>Had a both fly on the side of its face</t>
  </si>
  <si>
    <t>P076-16</t>
  </si>
  <si>
    <t>Rip in right ear</t>
  </si>
  <si>
    <t>M062-16</t>
  </si>
  <si>
    <t>M052-16</t>
  </si>
  <si>
    <t>M020-16</t>
  </si>
  <si>
    <t>Left ear ripped, possibly from previous tag</t>
  </si>
  <si>
    <t>Heard thunder and left the line</t>
  </si>
  <si>
    <t>P071-16</t>
  </si>
  <si>
    <t>Left eye closed (possible infection)</t>
  </si>
  <si>
    <t>M009-16</t>
  </si>
  <si>
    <t>P075-16</t>
  </si>
  <si>
    <t>P083-16</t>
  </si>
  <si>
    <t>M036-16</t>
  </si>
  <si>
    <t>Rip in left ear, possibly from previous ear tag</t>
  </si>
  <si>
    <t>M058-16</t>
  </si>
  <si>
    <t>PERF/PREG</t>
  </si>
  <si>
    <t>M012-16</t>
  </si>
  <si>
    <t>M049-16</t>
  </si>
  <si>
    <t>Bleeding on the stomach</t>
  </si>
  <si>
    <t>M075-16</t>
  </si>
  <si>
    <t>M053-16</t>
  </si>
  <si>
    <t>Ear cut up badly</t>
  </si>
  <si>
    <t>Individual got away after getting tag</t>
  </si>
  <si>
    <t>M005-16</t>
  </si>
  <si>
    <t>Bump under left front leg (possibly bot fly)</t>
  </si>
  <si>
    <t>Rip in right ear, possibly from previous tag</t>
  </si>
  <si>
    <t>M055-16</t>
  </si>
  <si>
    <t>M004-16</t>
  </si>
  <si>
    <t>04122</t>
  </si>
  <si>
    <t>04121</t>
  </si>
  <si>
    <t>04125</t>
  </si>
  <si>
    <t>04124</t>
  </si>
  <si>
    <t>AS</t>
  </si>
  <si>
    <t>04132</t>
  </si>
  <si>
    <t>04131</t>
  </si>
  <si>
    <t>04134</t>
  </si>
  <si>
    <t>04133</t>
  </si>
  <si>
    <t>Bot fly wound on left shoulder, mites in the wound!!!</t>
  </si>
  <si>
    <t>04137</t>
  </si>
  <si>
    <t>04136</t>
  </si>
  <si>
    <t>04145</t>
  </si>
  <si>
    <t>04144</t>
  </si>
  <si>
    <t>04148</t>
  </si>
  <si>
    <t>04147</t>
  </si>
  <si>
    <t>Bot flyby left front arm</t>
  </si>
  <si>
    <t>50633</t>
  </si>
  <si>
    <t>50634</t>
  </si>
  <si>
    <t>LAC/PREG</t>
  </si>
  <si>
    <t>Bot fly on stomach</t>
  </si>
  <si>
    <t>P043-16</t>
  </si>
  <si>
    <t>50930</t>
  </si>
  <si>
    <t>Released due to long handling time</t>
  </si>
  <si>
    <t>P070-16</t>
  </si>
  <si>
    <t>04146</t>
  </si>
  <si>
    <t xml:space="preserve">Bot fly near genitals </t>
  </si>
  <si>
    <t>04123</t>
  </si>
  <si>
    <t>M065-16</t>
  </si>
  <si>
    <t>04135</t>
  </si>
  <si>
    <t xml:space="preserve">Bot fly exit wound </t>
  </si>
  <si>
    <t>04139</t>
  </si>
  <si>
    <t>04141</t>
  </si>
  <si>
    <t>04143</t>
  </si>
  <si>
    <t>1b</t>
  </si>
  <si>
    <t>1a</t>
  </si>
  <si>
    <t>Tick under chin</t>
  </si>
  <si>
    <t>04138</t>
  </si>
  <si>
    <t>04149</t>
  </si>
  <si>
    <t>04150</t>
  </si>
  <si>
    <t>041142</t>
  </si>
  <si>
    <t>04102</t>
  </si>
  <si>
    <t>04101</t>
  </si>
  <si>
    <t>04104</t>
  </si>
  <si>
    <t>04103</t>
  </si>
  <si>
    <t>04107</t>
  </si>
  <si>
    <t>04106</t>
  </si>
  <si>
    <t>04109</t>
  </si>
  <si>
    <t>04108</t>
  </si>
  <si>
    <t>P099-16</t>
  </si>
  <si>
    <t>04111</t>
  </si>
  <si>
    <t>04110</t>
  </si>
  <si>
    <t>04114</t>
  </si>
  <si>
    <t>04113</t>
  </si>
  <si>
    <t>04117</t>
  </si>
  <si>
    <t>04116</t>
  </si>
  <si>
    <t>Two mice in the same trap</t>
  </si>
  <si>
    <t>04119</t>
  </si>
  <si>
    <t>04118</t>
  </si>
  <si>
    <t>Late in the morning animal was processed then released</t>
  </si>
  <si>
    <t>04128</t>
  </si>
  <si>
    <t>04127</t>
  </si>
  <si>
    <t>04130</t>
  </si>
  <si>
    <t>04129</t>
  </si>
  <si>
    <t>Bot fly by left arm</t>
  </si>
  <si>
    <t>Late in the morning animal was processed than released</t>
  </si>
  <si>
    <t>04160</t>
  </si>
  <si>
    <t>04159</t>
  </si>
  <si>
    <t>04164</t>
  </si>
  <si>
    <t>04163</t>
  </si>
  <si>
    <t>P053-16</t>
  </si>
  <si>
    <t xml:space="preserve">Trap was fpund on its side </t>
  </si>
  <si>
    <t>04166</t>
  </si>
  <si>
    <t>04165</t>
  </si>
  <si>
    <t>04168</t>
  </si>
  <si>
    <t>04167</t>
  </si>
  <si>
    <t>04170</t>
  </si>
  <si>
    <t>04169</t>
  </si>
  <si>
    <t>04172</t>
  </si>
  <si>
    <t>04171</t>
  </si>
  <si>
    <t>04174</t>
  </si>
  <si>
    <t>04175</t>
  </si>
  <si>
    <t>04178</t>
  </si>
  <si>
    <t>04177</t>
  </si>
  <si>
    <t>04200</t>
  </si>
  <si>
    <t>04199</t>
  </si>
  <si>
    <t>50497</t>
  </si>
  <si>
    <t>50496</t>
  </si>
  <si>
    <t>Bot fly beside left arm</t>
  </si>
  <si>
    <t>50520</t>
  </si>
  <si>
    <t>50519</t>
  </si>
  <si>
    <t>50572</t>
  </si>
  <si>
    <t>50571</t>
  </si>
  <si>
    <t>50595</t>
  </si>
  <si>
    <t>50594</t>
  </si>
  <si>
    <t>50709</t>
  </si>
  <si>
    <t>50708</t>
  </si>
  <si>
    <t>50721</t>
  </si>
  <si>
    <t>50720</t>
  </si>
  <si>
    <t>50825</t>
  </si>
  <si>
    <t>50824</t>
  </si>
  <si>
    <t>50829</t>
  </si>
  <si>
    <t>50828</t>
  </si>
  <si>
    <t>04105</t>
  </si>
  <si>
    <t>50854</t>
  </si>
  <si>
    <t>50853</t>
  </si>
  <si>
    <t>50895</t>
  </si>
  <si>
    <t>50894</t>
  </si>
  <si>
    <t>50897</t>
  </si>
  <si>
    <t>50896</t>
  </si>
  <si>
    <t>Bot fly under neck</t>
  </si>
  <si>
    <t>P101-16</t>
  </si>
  <si>
    <t>50956</t>
  </si>
  <si>
    <t>50955</t>
  </si>
  <si>
    <t xml:space="preserve">PREDATION </t>
  </si>
  <si>
    <t>04112</t>
  </si>
  <si>
    <t>04120</t>
  </si>
  <si>
    <t>04140</t>
  </si>
  <si>
    <t>M014-16</t>
  </si>
  <si>
    <t>04115</t>
  </si>
  <si>
    <t>04176</t>
  </si>
  <si>
    <t>50806</t>
  </si>
  <si>
    <t>04126</t>
  </si>
  <si>
    <t>M066-16</t>
  </si>
  <si>
    <t>04142</t>
  </si>
  <si>
    <t>P085-16</t>
  </si>
  <si>
    <t>04158</t>
  </si>
  <si>
    <t>04161</t>
  </si>
  <si>
    <t>M061-16</t>
  </si>
  <si>
    <t>04162</t>
  </si>
  <si>
    <t>50495</t>
  </si>
  <si>
    <t>50817</t>
  </si>
  <si>
    <t>Bot fly on chest (close to left arm)</t>
  </si>
  <si>
    <t>04152</t>
  </si>
  <si>
    <t>04151</t>
  </si>
  <si>
    <t>P074-16</t>
  </si>
  <si>
    <t>Patly Cloudy</t>
  </si>
  <si>
    <t>04154</t>
  </si>
  <si>
    <t>04153</t>
  </si>
  <si>
    <t>04157</t>
  </si>
  <si>
    <t>04156</t>
  </si>
  <si>
    <t>04173</t>
  </si>
  <si>
    <t>15797</t>
  </si>
  <si>
    <t>15796</t>
  </si>
  <si>
    <t>15799</t>
  </si>
  <si>
    <t>15798</t>
  </si>
  <si>
    <t>15975</t>
  </si>
  <si>
    <t>15974</t>
  </si>
  <si>
    <t>Trap was found on its side</t>
  </si>
  <si>
    <t>50525</t>
  </si>
  <si>
    <t>50524</t>
  </si>
  <si>
    <t>50574</t>
  </si>
  <si>
    <t>50573</t>
  </si>
  <si>
    <t>50716</t>
  </si>
  <si>
    <t>50715</t>
  </si>
  <si>
    <t>Tail inflamed from previously getting caught in trap door</t>
  </si>
  <si>
    <t>50804</t>
  </si>
  <si>
    <t>50803</t>
  </si>
  <si>
    <t>50900</t>
  </si>
  <si>
    <t>50899</t>
  </si>
  <si>
    <t>50952</t>
  </si>
  <si>
    <t>50951</t>
  </si>
  <si>
    <t>50482</t>
  </si>
  <si>
    <t>Multiple entry/exit wounds around genitals from bot flies</t>
  </si>
  <si>
    <t>Small black tic on edge of right ear</t>
  </si>
  <si>
    <t>15793</t>
  </si>
  <si>
    <t>16350</t>
  </si>
  <si>
    <t>Skin beside left side of mouth is missing fur (caused by bot fly?)</t>
  </si>
  <si>
    <t>04155</t>
  </si>
  <si>
    <t>15791</t>
  </si>
  <si>
    <t>15792</t>
  </si>
  <si>
    <t>P097-16</t>
  </si>
  <si>
    <t>15800</t>
  </si>
  <si>
    <t>50802</t>
  </si>
  <si>
    <t>2b</t>
  </si>
  <si>
    <t>Two deer mice found in trap</t>
  </si>
  <si>
    <t>04187</t>
  </si>
  <si>
    <t>04186</t>
  </si>
  <si>
    <t>04189</t>
  </si>
  <si>
    <t>04188</t>
  </si>
  <si>
    <t>04191</t>
  </si>
  <si>
    <t>04190</t>
  </si>
  <si>
    <t>04194</t>
  </si>
  <si>
    <t>04193</t>
  </si>
  <si>
    <t>04196</t>
  </si>
  <si>
    <t>04195</t>
  </si>
  <si>
    <t>15786</t>
  </si>
  <si>
    <t>15785</t>
  </si>
  <si>
    <t>15788</t>
  </si>
  <si>
    <t>15787</t>
  </si>
  <si>
    <t>P079-15</t>
  </si>
  <si>
    <t>Two deer mice found in the trap</t>
  </si>
  <si>
    <t>Clody</t>
  </si>
  <si>
    <t>50891</t>
  </si>
  <si>
    <t>50890</t>
  </si>
  <si>
    <t>50893</t>
  </si>
  <si>
    <t>50892</t>
  </si>
  <si>
    <t>Bot fly on left side of face</t>
  </si>
  <si>
    <t>50954</t>
  </si>
  <si>
    <t>50953</t>
  </si>
  <si>
    <t>M031-16</t>
  </si>
  <si>
    <t>04192</t>
  </si>
  <si>
    <t>Bot fly on genitals</t>
  </si>
  <si>
    <t>50855</t>
  </si>
  <si>
    <t>Had cut on top of ear</t>
  </si>
  <si>
    <t>15782</t>
  </si>
  <si>
    <t>15783</t>
  </si>
  <si>
    <t>M043-16</t>
  </si>
  <si>
    <t>15784</t>
  </si>
  <si>
    <t>Bot fly on chest</t>
  </si>
  <si>
    <t>P092-16</t>
  </si>
  <si>
    <t>04198</t>
  </si>
  <si>
    <t>04197</t>
  </si>
  <si>
    <t>15779</t>
  </si>
  <si>
    <t>15778</t>
  </si>
  <si>
    <t>P091-16</t>
  </si>
  <si>
    <t>15781</t>
  </si>
  <si>
    <t>15780</t>
  </si>
  <si>
    <t>17977</t>
  </si>
  <si>
    <t>17976</t>
  </si>
  <si>
    <t>17979</t>
  </si>
  <si>
    <t>17978</t>
  </si>
  <si>
    <t>50815</t>
  </si>
  <si>
    <t>50814</t>
  </si>
  <si>
    <t>Head was caught in trap door</t>
  </si>
  <si>
    <t>y</t>
  </si>
  <si>
    <t>Scabs around ear tags</t>
  </si>
  <si>
    <t>M038-16</t>
  </si>
  <si>
    <t>15773</t>
  </si>
  <si>
    <t>M002-16</t>
  </si>
  <si>
    <t>04181</t>
  </si>
  <si>
    <t>M039-16</t>
  </si>
  <si>
    <t>15777</t>
  </si>
  <si>
    <t>17980</t>
  </si>
  <si>
    <t>17903</t>
  </si>
  <si>
    <t>17902</t>
  </si>
  <si>
    <t>17905</t>
  </si>
  <si>
    <t>17904</t>
  </si>
  <si>
    <t>17908</t>
  </si>
  <si>
    <t>17907</t>
  </si>
  <si>
    <t>17994</t>
  </si>
  <si>
    <t>17993</t>
  </si>
  <si>
    <t>17996</t>
  </si>
  <si>
    <t>17995</t>
  </si>
  <si>
    <t>17998</t>
  </si>
  <si>
    <t>17997</t>
  </si>
  <si>
    <t>50384</t>
  </si>
  <si>
    <t>50383</t>
  </si>
  <si>
    <t>50470</t>
  </si>
  <si>
    <t>50469</t>
  </si>
  <si>
    <t>Bot fly wound on left side of chest</t>
  </si>
  <si>
    <t>50503</t>
  </si>
  <si>
    <t>50502</t>
  </si>
  <si>
    <t>Cut on tail</t>
  </si>
  <si>
    <t>50506</t>
  </si>
  <si>
    <t>50505</t>
  </si>
  <si>
    <t>M007-16</t>
  </si>
  <si>
    <t>50517</t>
  </si>
  <si>
    <t>50516</t>
  </si>
  <si>
    <t>50590</t>
  </si>
  <si>
    <t>50589</t>
  </si>
  <si>
    <t>50610</t>
  </si>
  <si>
    <t>50609</t>
  </si>
  <si>
    <t>50700</t>
  </si>
  <si>
    <t>50699</t>
  </si>
  <si>
    <t>50758</t>
  </si>
  <si>
    <t>50757</t>
  </si>
  <si>
    <t>50761</t>
  </si>
  <si>
    <t>50760</t>
  </si>
  <si>
    <t>50860</t>
  </si>
  <si>
    <t>50859</t>
  </si>
  <si>
    <t>50866</t>
  </si>
  <si>
    <t>50865</t>
  </si>
  <si>
    <t>50964</t>
  </si>
  <si>
    <t>50970</t>
  </si>
  <si>
    <t>Individual was barely moving, was wrapped in cotton an left by trap</t>
  </si>
  <si>
    <t>50971</t>
  </si>
  <si>
    <t>P078-16</t>
  </si>
  <si>
    <t>Bot fly on neck</t>
  </si>
  <si>
    <t>17951</t>
  </si>
  <si>
    <t>50392</t>
  </si>
  <si>
    <t>16347</t>
  </si>
  <si>
    <t>17901</t>
  </si>
  <si>
    <t>M011-16</t>
  </si>
  <si>
    <t>17990</t>
  </si>
  <si>
    <t>17991</t>
  </si>
  <si>
    <t>17992</t>
  </si>
  <si>
    <t>50738</t>
  </si>
  <si>
    <t>50756</t>
  </si>
  <si>
    <t>Left ear is ripped from previous tag</t>
  </si>
  <si>
    <t>50759</t>
  </si>
  <si>
    <t>M021-16</t>
  </si>
  <si>
    <t>50857</t>
  </si>
  <si>
    <t>50924</t>
  </si>
  <si>
    <t>50390</t>
  </si>
  <si>
    <t>M072-16</t>
  </si>
  <si>
    <t>17906</t>
  </si>
  <si>
    <t>17989</t>
  </si>
  <si>
    <t>50753</t>
  </si>
  <si>
    <t>Animal was realesed before reading tag</t>
  </si>
  <si>
    <t>Patch of skin without fur on left side of neck</t>
  </si>
  <si>
    <t>17911</t>
  </si>
  <si>
    <t>17910</t>
  </si>
  <si>
    <t>17914</t>
  </si>
  <si>
    <t>17913</t>
  </si>
  <si>
    <t xml:space="preserve">Bot fly on right side of face </t>
  </si>
  <si>
    <t>17916</t>
  </si>
  <si>
    <t>17915</t>
  </si>
  <si>
    <t>17921</t>
  </si>
  <si>
    <t>17920</t>
  </si>
  <si>
    <t>17923</t>
  </si>
  <si>
    <t>17922</t>
  </si>
  <si>
    <t>Bot fly on left side of neck</t>
  </si>
  <si>
    <t>17975</t>
  </si>
  <si>
    <t>17974</t>
  </si>
  <si>
    <t>17984</t>
  </si>
  <si>
    <t>17982</t>
  </si>
  <si>
    <t>17986</t>
  </si>
  <si>
    <t>17985</t>
  </si>
  <si>
    <t>50459</t>
  </si>
  <si>
    <t>50458</t>
  </si>
  <si>
    <t>P062-16</t>
  </si>
  <si>
    <t>50612</t>
  </si>
  <si>
    <t>50611</t>
  </si>
  <si>
    <t>50690</t>
  </si>
  <si>
    <t>50689</t>
  </si>
  <si>
    <t>50742</t>
  </si>
  <si>
    <t>50741</t>
  </si>
  <si>
    <t>50744</t>
  </si>
  <si>
    <t>50743</t>
  </si>
  <si>
    <t>P095-16</t>
  </si>
  <si>
    <t>Late in morning, animal was processed then released</t>
  </si>
  <si>
    <t>50391</t>
  </si>
  <si>
    <t>50512</t>
  </si>
  <si>
    <t>Bot fly wounds around genitals</t>
  </si>
  <si>
    <t>50734</t>
  </si>
  <si>
    <t>P105-16</t>
  </si>
  <si>
    <t xml:space="preserve">Bot flies on lower abdomen </t>
  </si>
  <si>
    <t>11976</t>
  </si>
  <si>
    <t>17912</t>
  </si>
  <si>
    <t>M018-16</t>
  </si>
  <si>
    <t>17981</t>
  </si>
  <si>
    <t>50347</t>
  </si>
  <si>
    <t>Cut on left leg</t>
  </si>
  <si>
    <t>50764</t>
  </si>
  <si>
    <t>50958</t>
  </si>
  <si>
    <t>50959</t>
  </si>
  <si>
    <t>Caught in trap door</t>
  </si>
  <si>
    <t>11977</t>
  </si>
  <si>
    <t xml:space="preserve">Bot fly beside genitals </t>
  </si>
  <si>
    <t>11978</t>
  </si>
  <si>
    <t>15776</t>
  </si>
  <si>
    <t>17909</t>
  </si>
  <si>
    <t>17917</t>
  </si>
  <si>
    <t>M073-16</t>
  </si>
  <si>
    <t>17918</t>
  </si>
  <si>
    <t>M068-16</t>
  </si>
  <si>
    <t>17919</t>
  </si>
  <si>
    <t>P051-16</t>
  </si>
  <si>
    <t>M029-16</t>
  </si>
  <si>
    <t>17973</t>
  </si>
  <si>
    <t>17988</t>
  </si>
  <si>
    <t>50735</t>
  </si>
  <si>
    <t>H481</t>
  </si>
  <si>
    <t>50615</t>
  </si>
  <si>
    <t>11982</t>
  </si>
  <si>
    <t>11981</t>
  </si>
  <si>
    <t>11984</t>
  </si>
  <si>
    <t>11983</t>
  </si>
  <si>
    <t>M079-16</t>
  </si>
  <si>
    <t>No mites but apeared to have orange (mites?) in fecal, sample collected</t>
  </si>
  <si>
    <t>11986</t>
  </si>
  <si>
    <t>11985</t>
  </si>
  <si>
    <t>11990</t>
  </si>
  <si>
    <t>11989</t>
  </si>
  <si>
    <t>11992</t>
  </si>
  <si>
    <t>11991</t>
  </si>
  <si>
    <t>Patch of fur without fur on left side of neck</t>
  </si>
  <si>
    <t>Late in morning, animal was processed and then released</t>
  </si>
  <si>
    <t>17957</t>
  </si>
  <si>
    <t>17962</t>
  </si>
  <si>
    <t>17963</t>
  </si>
  <si>
    <t>17964</t>
  </si>
  <si>
    <t>P073-16; P103-16</t>
  </si>
  <si>
    <t>17965</t>
  </si>
  <si>
    <t>17970</t>
  </si>
  <si>
    <t>17969</t>
  </si>
  <si>
    <t>Bot fly under left leg</t>
  </si>
  <si>
    <t>17972</t>
  </si>
  <si>
    <t>17971</t>
  </si>
  <si>
    <t>Bot flies on neck and near genitals</t>
  </si>
  <si>
    <t>P080-16</t>
  </si>
  <si>
    <t>50872</t>
  </si>
  <si>
    <t>50871</t>
  </si>
  <si>
    <t>50874</t>
  </si>
  <si>
    <t>50873</t>
  </si>
  <si>
    <t>Bot fly beside right arm</t>
  </si>
  <si>
    <t>50875</t>
  </si>
  <si>
    <t>50925</t>
  </si>
  <si>
    <t>Trap found on its side</t>
  </si>
  <si>
    <t>50968</t>
  </si>
  <si>
    <t>50967</t>
  </si>
  <si>
    <t>Released before reading tags</t>
  </si>
  <si>
    <t>warm</t>
  </si>
  <si>
    <t>17967</t>
  </si>
  <si>
    <t>17968</t>
  </si>
  <si>
    <t>Bot fly around genitals</t>
  </si>
  <si>
    <t>50501</t>
  </si>
  <si>
    <t>Scabs around tag (mites on the scabs)</t>
  </si>
  <si>
    <t>P048-16</t>
  </si>
  <si>
    <t>Left ear is bloody and has scabs around the ear tag</t>
  </si>
  <si>
    <t>50695</t>
  </si>
  <si>
    <t>Bot flies around genitals</t>
  </si>
  <si>
    <t>M028-16</t>
  </si>
  <si>
    <t>Bot fly near genitals</t>
  </si>
  <si>
    <t>11987</t>
  </si>
  <si>
    <t>17955</t>
  </si>
  <si>
    <t>M016-16</t>
  </si>
  <si>
    <t>11979</t>
  </si>
  <si>
    <t>11980</t>
  </si>
  <si>
    <t>M032-16</t>
  </si>
  <si>
    <t>11988</t>
  </si>
  <si>
    <t xml:space="preserve">Left side of abdomen has an area with scars and no fur (from bot fly?) </t>
  </si>
  <si>
    <t>17952</t>
  </si>
  <si>
    <t>17953</t>
  </si>
  <si>
    <t>2628</t>
  </si>
  <si>
    <t>2621</t>
  </si>
  <si>
    <t>2877</t>
  </si>
  <si>
    <t>2876</t>
  </si>
  <si>
    <t>Not OMNR tags</t>
  </si>
  <si>
    <t>Subcutaneous botfly in genital region</t>
  </si>
  <si>
    <t>Raining</t>
  </si>
  <si>
    <t>raining</t>
  </si>
  <si>
    <t>11953</t>
  </si>
  <si>
    <t>11952</t>
  </si>
  <si>
    <t>P112-16</t>
  </si>
  <si>
    <t xml:space="preserve">Raining </t>
  </si>
  <si>
    <t>50359</t>
  </si>
  <si>
    <t>50538</t>
  </si>
  <si>
    <t>50491</t>
  </si>
  <si>
    <t>50357</t>
  </si>
  <si>
    <t>50665</t>
  </si>
  <si>
    <t>50664</t>
  </si>
  <si>
    <t>P118-16; P119-16</t>
  </si>
  <si>
    <t>Tail very short, partially torn off</t>
  </si>
  <si>
    <t>50780</t>
  </si>
  <si>
    <t>50779</t>
  </si>
  <si>
    <t>Released before looking for mites</t>
  </si>
  <si>
    <t>50786</t>
  </si>
  <si>
    <t>50785</t>
  </si>
  <si>
    <t>No measurements taken because of rain</t>
  </si>
  <si>
    <t>50935</t>
  </si>
  <si>
    <t>50841</t>
  </si>
  <si>
    <t>50950</t>
  </si>
  <si>
    <t>50842</t>
  </si>
  <si>
    <t>50932</t>
  </si>
  <si>
    <t>50848</t>
  </si>
  <si>
    <t>50847</t>
  </si>
  <si>
    <t>50850</t>
  </si>
  <si>
    <t>50849</t>
  </si>
  <si>
    <t>P096-16</t>
  </si>
  <si>
    <t>Cloiudy</t>
  </si>
  <si>
    <t>Growth on lower abdomen (bot fly?)</t>
  </si>
  <si>
    <t>50928</t>
  </si>
  <si>
    <t>50927</t>
  </si>
  <si>
    <t>50929</t>
  </si>
  <si>
    <t>Retagged on left ear</t>
  </si>
  <si>
    <t>50937</t>
  </si>
  <si>
    <t>50936</t>
  </si>
  <si>
    <t>MV</t>
  </si>
  <si>
    <t>11955</t>
  </si>
  <si>
    <t>2879</t>
  </si>
  <si>
    <t>2881</t>
  </si>
  <si>
    <t>Botfly on left side of abdomen</t>
  </si>
  <si>
    <t>Tick on left side of face</t>
  </si>
  <si>
    <t>11956</t>
  </si>
  <si>
    <t>P116-16</t>
  </si>
  <si>
    <t>11957</t>
  </si>
  <si>
    <t>11958</t>
  </si>
  <si>
    <t>11998</t>
  </si>
  <si>
    <t>Very cold, wrapped in stuffing. No measurements taken</t>
  </si>
  <si>
    <t>15351</t>
  </si>
  <si>
    <t>M083-16</t>
  </si>
  <si>
    <t>17940</t>
  </si>
  <si>
    <t>Patch of skin without fur on lower left side of jaw/throat (from bot fly?)</t>
  </si>
  <si>
    <t>50794</t>
  </si>
  <si>
    <t>50934</t>
  </si>
  <si>
    <t>Open wound beside genitals</t>
  </si>
  <si>
    <t>50941</t>
  </si>
  <si>
    <t>50942</t>
  </si>
  <si>
    <t>50947</t>
  </si>
  <si>
    <t>M084-16; M085-16</t>
  </si>
  <si>
    <t>2880</t>
  </si>
  <si>
    <t>Tick on posterior side of left ear</t>
  </si>
  <si>
    <t>Unknown</t>
  </si>
  <si>
    <t>2878</t>
  </si>
  <si>
    <t>Not OMNR tag</t>
  </si>
  <si>
    <t>11951</t>
  </si>
  <si>
    <t>11954</t>
  </si>
  <si>
    <t>11959</t>
  </si>
  <si>
    <t>17926</t>
  </si>
  <si>
    <t>Right ear ripped</t>
  </si>
  <si>
    <t>Escaped before skull length could be taken</t>
  </si>
  <si>
    <t>50838</t>
  </si>
  <si>
    <t>2886</t>
  </si>
  <si>
    <t>2885</t>
  </si>
  <si>
    <t>P115-16</t>
  </si>
  <si>
    <t>11962</t>
  </si>
  <si>
    <t>11961</t>
  </si>
  <si>
    <t>11972</t>
  </si>
  <si>
    <t>11971</t>
  </si>
  <si>
    <t>50335</t>
  </si>
  <si>
    <t>50334</t>
  </si>
  <si>
    <t>50456</t>
  </si>
  <si>
    <t>50995</t>
  </si>
  <si>
    <t>P084-16</t>
  </si>
  <si>
    <t>Tail broken off</t>
  </si>
  <si>
    <t>P120-16</t>
  </si>
  <si>
    <t>50823</t>
  </si>
  <si>
    <t>50822</t>
  </si>
  <si>
    <t>50844</t>
  </si>
  <si>
    <t>50843</t>
  </si>
  <si>
    <t>50846</t>
  </si>
  <si>
    <t>50845</t>
  </si>
  <si>
    <t>Round mass on abdomen</t>
  </si>
  <si>
    <t>11967</t>
  </si>
  <si>
    <t>bot fly on genitals</t>
  </si>
  <si>
    <t>2882</t>
  </si>
  <si>
    <t>Botfly wound on shoulder</t>
  </si>
  <si>
    <t>2883</t>
  </si>
  <si>
    <t>2888</t>
  </si>
  <si>
    <t>2889</t>
  </si>
  <si>
    <t>2890</t>
  </si>
  <si>
    <t>2891</t>
  </si>
  <si>
    <t xml:space="preserve">Very cold, wraped in bedding </t>
  </si>
  <si>
    <t>2892</t>
  </si>
  <si>
    <t>M037-16</t>
  </si>
  <si>
    <t>2893</t>
  </si>
  <si>
    <t>Bot fly on left side of abdomen</t>
  </si>
  <si>
    <t>Was getting late in the morning animal had to be released</t>
  </si>
  <si>
    <t>50731</t>
  </si>
  <si>
    <t>50832</t>
  </si>
  <si>
    <t>M077-16</t>
  </si>
  <si>
    <t xml:space="preserve">Small, circular open wound beside genitals </t>
  </si>
  <si>
    <t>SM</t>
  </si>
  <si>
    <t>2887</t>
  </si>
  <si>
    <t>11963</t>
  </si>
  <si>
    <t>11966</t>
  </si>
  <si>
    <t>11968</t>
  </si>
  <si>
    <t>11969</t>
  </si>
  <si>
    <t>11970</t>
  </si>
  <si>
    <t>11973</t>
  </si>
  <si>
    <t>11974</t>
  </si>
  <si>
    <t>17959</t>
  </si>
  <si>
    <t>11960</t>
  </si>
  <si>
    <t>2884</t>
  </si>
  <si>
    <t>P107-16</t>
  </si>
  <si>
    <t>50656</t>
  </si>
  <si>
    <t>2577</t>
  </si>
  <si>
    <t>2576</t>
  </si>
  <si>
    <t>2580</t>
  </si>
  <si>
    <t>2579</t>
  </si>
  <si>
    <t>2802</t>
  </si>
  <si>
    <t>2801</t>
  </si>
  <si>
    <t>2895</t>
  </si>
  <si>
    <t>2894</t>
  </si>
  <si>
    <t>2897</t>
  </si>
  <si>
    <t>2896</t>
  </si>
  <si>
    <t>P117-16</t>
  </si>
  <si>
    <t>P081-16</t>
  </si>
  <si>
    <t>11975</t>
  </si>
  <si>
    <t>17958</t>
  </si>
  <si>
    <t>11964</t>
  </si>
  <si>
    <t>50358</t>
  </si>
  <si>
    <t>Half of tail missing</t>
  </si>
  <si>
    <t>3 Bot flies on abdomin</t>
  </si>
  <si>
    <t>2578</t>
  </si>
  <si>
    <t>Wound on shoulder</t>
  </si>
  <si>
    <t>Bot fly emerging from left arm</t>
  </si>
  <si>
    <t>M094-16</t>
  </si>
  <si>
    <t>2898</t>
  </si>
  <si>
    <t>2900</t>
  </si>
  <si>
    <t>Bot fly beside genitals</t>
  </si>
  <si>
    <t>M096-16</t>
  </si>
  <si>
    <t>2899</t>
  </si>
  <si>
    <t>11965</t>
  </si>
  <si>
    <t>single mite present</t>
  </si>
  <si>
    <t>50996</t>
  </si>
  <si>
    <t>New</t>
  </si>
  <si>
    <t>2592</t>
  </si>
  <si>
    <t>2591</t>
  </si>
  <si>
    <t>2594</t>
  </si>
  <si>
    <t>2593</t>
  </si>
  <si>
    <t>2597</t>
  </si>
  <si>
    <t>2596</t>
  </si>
  <si>
    <t>2938</t>
  </si>
  <si>
    <t>2937</t>
  </si>
  <si>
    <t>Single mite on the right ear</t>
  </si>
  <si>
    <t>2942</t>
  </si>
  <si>
    <t>2941</t>
  </si>
  <si>
    <t>P130-16</t>
  </si>
  <si>
    <t>2944</t>
  </si>
  <si>
    <t>2943</t>
  </si>
  <si>
    <t>P111-16</t>
  </si>
  <si>
    <t>Last 2 apendiges on left from leg were bloody</t>
  </si>
  <si>
    <t>P135-16</t>
  </si>
  <si>
    <t>P129-16</t>
  </si>
  <si>
    <t>2526</t>
  </si>
  <si>
    <t>2527</t>
  </si>
  <si>
    <t>2528</t>
  </si>
  <si>
    <t>2529</t>
  </si>
  <si>
    <t>Left ear is riped from previous ear tag</t>
  </si>
  <si>
    <t>2531</t>
  </si>
  <si>
    <t>M095-16</t>
  </si>
  <si>
    <t>2589</t>
  </si>
  <si>
    <t>2590</t>
  </si>
  <si>
    <t>2595</t>
  </si>
  <si>
    <t>Area without fur on left side of face</t>
  </si>
  <si>
    <t>2598</t>
  </si>
  <si>
    <t>2599</t>
  </si>
  <si>
    <t>M047-16</t>
  </si>
  <si>
    <t>2600</t>
  </si>
  <si>
    <t>Tic on left side of face</t>
  </si>
  <si>
    <t>2650</t>
  </si>
  <si>
    <t>2939</t>
  </si>
  <si>
    <t>Left ear had a single mite</t>
  </si>
  <si>
    <t>New Tag/Released</t>
  </si>
  <si>
    <t>2940</t>
  </si>
  <si>
    <t>Animal was cold, therfore it was released</t>
  </si>
  <si>
    <t>2945</t>
  </si>
  <si>
    <t>2949</t>
  </si>
  <si>
    <t>Catarach in one eye</t>
  </si>
  <si>
    <t>A single mite on each ear</t>
  </si>
  <si>
    <t>Bot fly beside hind left leg</t>
  </si>
  <si>
    <t>2530</t>
  </si>
  <si>
    <t>2946</t>
  </si>
  <si>
    <t>2947</t>
  </si>
  <si>
    <t>2948</t>
  </si>
  <si>
    <t>2950</t>
  </si>
  <si>
    <t>50489</t>
  </si>
  <si>
    <t>Single mite on each ear</t>
  </si>
  <si>
    <t>2533</t>
  </si>
  <si>
    <t>2532</t>
  </si>
  <si>
    <t>2537</t>
  </si>
  <si>
    <t>2536</t>
  </si>
  <si>
    <t>P082-16</t>
  </si>
  <si>
    <t>P128-16</t>
  </si>
  <si>
    <t>P126-16; P136-16</t>
  </si>
  <si>
    <t>Very cold, no measurements taken</t>
  </si>
  <si>
    <t>Single mite present on right ear</t>
  </si>
  <si>
    <t>P134-16</t>
  </si>
  <si>
    <t>Bot fly beside genitals and front legs</t>
  </si>
  <si>
    <t>possible bot fly scar on chest</t>
  </si>
  <si>
    <t>50799</t>
  </si>
  <si>
    <t>50798</t>
  </si>
  <si>
    <t>50923</t>
  </si>
  <si>
    <t>50922</t>
  </si>
  <si>
    <t>Bot fly on chest or possible scar</t>
  </si>
  <si>
    <t>2538</t>
  </si>
  <si>
    <t>Trap found on side</t>
  </si>
  <si>
    <t>2540</t>
  </si>
  <si>
    <t>2932</t>
  </si>
  <si>
    <t>2935</t>
  </si>
  <si>
    <t>P086-16</t>
  </si>
  <si>
    <t>2936</t>
  </si>
  <si>
    <t>Infection around left eye</t>
  </si>
  <si>
    <t>trap Disturbance</t>
  </si>
  <si>
    <t>2534</t>
  </si>
  <si>
    <t>2535</t>
  </si>
  <si>
    <t>2539</t>
  </si>
  <si>
    <t>2933</t>
  </si>
  <si>
    <t>2934</t>
  </si>
  <si>
    <t>M057-16</t>
  </si>
  <si>
    <t>2541</t>
  </si>
  <si>
    <t>P090-16</t>
  </si>
  <si>
    <t>Missing part of tail</t>
  </si>
  <si>
    <t>2543</t>
  </si>
  <si>
    <t>2542</t>
  </si>
  <si>
    <t>2548</t>
  </si>
  <si>
    <t>2547</t>
  </si>
  <si>
    <t>P114-16</t>
  </si>
  <si>
    <t>Bot fly scar on right side of chest</t>
  </si>
  <si>
    <t>50577</t>
  </si>
  <si>
    <t>50576</t>
  </si>
  <si>
    <t>2a</t>
  </si>
  <si>
    <t>Was getting late in the day, therefore the animal had to be released</t>
  </si>
  <si>
    <t>50886</t>
  </si>
  <si>
    <t>50885</t>
  </si>
  <si>
    <t>2546</t>
  </si>
  <si>
    <t>2825</t>
  </si>
  <si>
    <t>Multiple bot flies on genitals</t>
  </si>
  <si>
    <t>50767</t>
  </si>
  <si>
    <t>50314</t>
  </si>
  <si>
    <t>Multiple bot flies around genitals</t>
  </si>
  <si>
    <t>2544</t>
  </si>
  <si>
    <t>2549</t>
  </si>
  <si>
    <t>2550</t>
  </si>
  <si>
    <t>M087-16</t>
  </si>
  <si>
    <t>Bot fly on abdomen</t>
  </si>
  <si>
    <t>Patch without fur behind right ear</t>
  </si>
  <si>
    <t>2931</t>
  </si>
  <si>
    <t>26633</t>
  </si>
  <si>
    <t>Bot fly emerging beside right arm</t>
  </si>
  <si>
    <t>Bot fly near back right leg</t>
  </si>
  <si>
    <t>M089-16</t>
  </si>
  <si>
    <t>2545</t>
  </si>
  <si>
    <t>2823</t>
  </si>
  <si>
    <t>2824</t>
  </si>
  <si>
    <t>50740</t>
  </si>
  <si>
    <t>JV</t>
  </si>
  <si>
    <t>LACT</t>
  </si>
  <si>
    <t>Hole in L ear</t>
  </si>
  <si>
    <t>Rips in both ears</t>
  </si>
  <si>
    <t>Rip in L ear</t>
  </si>
  <si>
    <t xml:space="preserve">Trap Not Set </t>
  </si>
  <si>
    <t>Trap was crushed</t>
  </si>
  <si>
    <t>New tag n R ear</t>
  </si>
  <si>
    <t>PREG/LACT</t>
  </si>
  <si>
    <t>SOREX</t>
  </si>
  <si>
    <t xml:space="preserve">Escaped </t>
  </si>
  <si>
    <t>Cloudy/drizzling</t>
  </si>
  <si>
    <t>Trap moved from original location; rip in L ear</t>
  </si>
  <si>
    <t>Head caught in trap door</t>
  </si>
  <si>
    <t>New tag R ear</t>
  </si>
  <si>
    <t>PERF/LACT</t>
  </si>
  <si>
    <t>Rip in R ear (old tag?)</t>
  </si>
  <si>
    <t>* Escaped</t>
  </si>
  <si>
    <t>Escaped before installing second ear tag</t>
  </si>
  <si>
    <t>New tag L ear</t>
  </si>
  <si>
    <t>Foot found in door</t>
  </si>
  <si>
    <t>Added ear tag on R ear</t>
  </si>
  <si>
    <t xml:space="preserve">LACT </t>
  </si>
  <si>
    <t>P013-17;P012-17</t>
  </si>
  <si>
    <t>Forgot to read tag</t>
  </si>
  <si>
    <t>P044-17</t>
  </si>
  <si>
    <t>P047-17; P042-17</t>
  </si>
  <si>
    <t>Blood coming out of vagina</t>
  </si>
  <si>
    <t>Tick taken from R side of face</t>
  </si>
  <si>
    <t>P019-17</t>
  </si>
  <si>
    <t>P023-17</t>
  </si>
  <si>
    <t>Brown fur on head and shoulders, grey fur on back behind shoulders</t>
  </si>
  <si>
    <t>Missing finger on L hand</t>
  </si>
  <si>
    <t>Tick taken from lower back (R side)</t>
  </si>
  <si>
    <t>P010-17</t>
  </si>
  <si>
    <t>Rip in R ear</t>
  </si>
  <si>
    <t>P034-17</t>
  </si>
  <si>
    <t>Swollen 4th finger on L hand</t>
  </si>
  <si>
    <t>Tail was stuck in door, individual seemed very weak</t>
  </si>
  <si>
    <t>3rd finger on R hand bleeding</t>
  </si>
  <si>
    <t>P027-17</t>
  </si>
  <si>
    <t>Lower half ofbody is dark brown, top half is normal DM colour</t>
  </si>
  <si>
    <t>P069-17</t>
  </si>
  <si>
    <t>P045-17</t>
  </si>
  <si>
    <t>P025-17</t>
  </si>
  <si>
    <t>P054-17</t>
  </si>
  <si>
    <t>P048-17</t>
  </si>
  <si>
    <t>Tail found in trap</t>
  </si>
  <si>
    <t>Tail stuck in door, body outside of trap (blood around base of tail)</t>
  </si>
  <si>
    <t>Found tail in trap</t>
  </si>
  <si>
    <t>2A</t>
  </si>
  <si>
    <t>Caught in same trap as 9-2B</t>
  </si>
  <si>
    <t>2B</t>
  </si>
  <si>
    <t>Caught in same trap as 9-2A</t>
  </si>
  <si>
    <t>P052-17; P068-17; P068-17</t>
  </si>
  <si>
    <t>Trap Not Set</t>
  </si>
  <si>
    <t>Lower half of body found in trap</t>
  </si>
  <si>
    <t>P059-17</t>
  </si>
  <si>
    <t xml:space="preserve">PREG </t>
  </si>
  <si>
    <t>P056-17</t>
  </si>
  <si>
    <t>Mites were on ears but also surronding the tick !!!! Tick taken from back</t>
  </si>
  <si>
    <t>Trap found on its side, cuts on lower back in front of and over hind legs, was limping</t>
  </si>
  <si>
    <t>Large bald spot behind L ear covering half of top of head on L side, smaller bald spot on L cheek</t>
  </si>
  <si>
    <t>Tail caught in trap, body outside of trap, tail almost snapped off</t>
  </si>
  <si>
    <t>End of tail (about a quarter of the tail) is black, rip in L ear</t>
  </si>
  <si>
    <t>M04-17 (only mites; 70%)</t>
  </si>
  <si>
    <t>Mites on R ear located on rip on ear</t>
  </si>
  <si>
    <t>Added ear tag to R ear, ear was ripped</t>
  </si>
  <si>
    <t>Tick was found on R side of back in front of hind legs</t>
  </si>
  <si>
    <t>Bald patch above each eye</t>
  </si>
  <si>
    <t>M003-17 (mites only., 70%)</t>
  </si>
  <si>
    <t>Botfly (on abdomen directly beside hind left leg)</t>
  </si>
  <si>
    <t>M019-17 (mites only, 70%)</t>
  </si>
  <si>
    <t>M015-17 (mites ony, 70%)</t>
  </si>
  <si>
    <t>M009-17 (mites only, 70%, genital sample)</t>
  </si>
  <si>
    <t>Mites on rip on R ear</t>
  </si>
  <si>
    <t>*escaped</t>
  </si>
  <si>
    <t>Dried blood on R hand</t>
  </si>
  <si>
    <t>Deep cut on tail, area looks swollen</t>
  </si>
  <si>
    <t>Foggy</t>
  </si>
  <si>
    <t>P060-17</t>
  </si>
  <si>
    <t>P058-17</t>
  </si>
  <si>
    <t>Missing fur on left cheek (old bot fly?)</t>
  </si>
  <si>
    <t>M001-17 (with tissue, 80%)</t>
  </si>
  <si>
    <t>M007-17 (80%)</t>
  </si>
  <si>
    <t>Was only given 1 ear tag</t>
  </si>
  <si>
    <t>Botfly near genitals</t>
  </si>
  <si>
    <t>Tail stuck in door, body outside of trap</t>
  </si>
  <si>
    <t>Bleeding cut right above tail on right side of back, bald area surrounding cut</t>
  </si>
  <si>
    <t>Botfly beside front left leg</t>
  </si>
  <si>
    <t>Found blood on stuffing</t>
  </si>
  <si>
    <t>Scab (~10cm) on lower back, no hair around area</t>
  </si>
  <si>
    <t>M018-17 (80%)</t>
  </si>
  <si>
    <t>Rip in both ears</t>
  </si>
  <si>
    <t>P051-17</t>
  </si>
  <si>
    <t>Botfly exit wound on back</t>
  </si>
  <si>
    <t>M010-17 (80%)</t>
  </si>
  <si>
    <t>Botfly exit wound near genitals</t>
  </si>
  <si>
    <t>M011-17 (80%)</t>
  </si>
  <si>
    <t>L ear was ripped, top half was missing</t>
  </si>
  <si>
    <t>P064-17</t>
  </si>
  <si>
    <t>Scab on lower back</t>
  </si>
  <si>
    <t>Missing hair behind R ear, 2 botflies on abdomen</t>
  </si>
  <si>
    <t>Escaped after ear tag</t>
  </si>
  <si>
    <t>Scab on back</t>
  </si>
  <si>
    <t>Found with foot caught in door, foot broken</t>
  </si>
  <si>
    <t>Missing tip of tail</t>
  </si>
  <si>
    <t>Very cold</t>
  </si>
  <si>
    <t>Botfly exit wound beside genitals</t>
  </si>
  <si>
    <t>WB</t>
  </si>
  <si>
    <t>escaped before application of right eartag</t>
  </si>
  <si>
    <t>Seeds eaten, cotton stuck in door, found RBV hair</t>
  </si>
  <si>
    <t>Difficult to sex</t>
  </si>
  <si>
    <t>Difficult to determine sex</t>
  </si>
  <si>
    <t>Cut on R cheek, blood in trap</t>
  </si>
  <si>
    <t>More grey than brown</t>
  </si>
  <si>
    <t>Overcast</t>
  </si>
  <si>
    <t>Sunny</t>
  </si>
  <si>
    <t>Hole in right ear</t>
  </si>
  <si>
    <t>HW</t>
  </si>
  <si>
    <t>Mild</t>
  </si>
  <si>
    <t>dark patch above tail</t>
  </si>
  <si>
    <t>No ears</t>
  </si>
  <si>
    <t>Stepped on by moose</t>
  </si>
  <si>
    <t>Hind legs and rump gone, remains of body stuck in trap, trap moved far from original placement</t>
  </si>
  <si>
    <t>Head, torso and front legs gone, rest of body stuck in trap</t>
  </si>
  <si>
    <t>left eartag slightly loose</t>
  </si>
  <si>
    <t>ESCAPED WHILE HANDLING</t>
  </si>
  <si>
    <t>No ears???</t>
  </si>
  <si>
    <t>trap broken an replaced</t>
  </si>
  <si>
    <t>trap broken and replaced</t>
  </si>
  <si>
    <t>Severed head found stuck in trap door, no ear tags, trap disturbed</t>
  </si>
  <si>
    <t>Severed tail and hind foot found stuck in trap door</t>
  </si>
  <si>
    <t>Severed torso found in trap door, trap disturbed</t>
  </si>
  <si>
    <t>Trap rolled few feet</t>
  </si>
  <si>
    <t>Tags read incorrectly</t>
  </si>
  <si>
    <t>Had ear tags, looked like an adult</t>
  </si>
  <si>
    <t>Severed hind end of body stuck in trap</t>
  </si>
  <si>
    <t>Missing large sections of both ears. Did not have space to tag</t>
  </si>
  <si>
    <t>Large tick on face</t>
  </si>
  <si>
    <t>Rip in R ear, found severed torso stuck in door</t>
  </si>
  <si>
    <t xml:space="preserve">DM </t>
  </si>
  <si>
    <t>Left eye damaged, blood around the area</t>
  </si>
  <si>
    <t>Left ear ripped</t>
  </si>
  <si>
    <t>Bald patch under left forelimb</t>
  </si>
  <si>
    <t>Notch in R ear</t>
  </si>
  <si>
    <t>2 notches and 1 hole in R ear</t>
  </si>
  <si>
    <t>Rip in L ear, looks like it is from old tag - maybe a recap?</t>
  </si>
  <si>
    <t>2 holes in right ear, 1 notch in left ear</t>
  </si>
  <si>
    <t>Cut on R hand on 4th finger, very swollen</t>
  </si>
  <si>
    <t>NH</t>
  </si>
  <si>
    <t>Trap Missing</t>
  </si>
  <si>
    <t>Second F171-18 found</t>
  </si>
  <si>
    <t>Vial was lost in the field, found weeks later (not analyzed)</t>
  </si>
  <si>
    <t>Forgot to use frontline</t>
  </si>
  <si>
    <t>1 notch in both ears</t>
  </si>
  <si>
    <t>Fecal vial supposed to be F231-18, not found</t>
  </si>
  <si>
    <t>Originally written in as P031-18, maybe misread?</t>
  </si>
  <si>
    <t>Small cut in ear</t>
  </si>
  <si>
    <t>Trapped in between trap door</t>
  </si>
  <si>
    <t>Dark blood coming from genitals</t>
  </si>
  <si>
    <t>Added tag to R ear, L tag was falling out &amp; looked like it might rip</t>
  </si>
  <si>
    <t>Squrille bag malfunction</t>
  </si>
  <si>
    <t xml:space="preserve">STS </t>
  </si>
  <si>
    <t>End of tail pale colour</t>
  </si>
  <si>
    <t>Unsure if fecal vial is for this animal</t>
  </si>
  <si>
    <t>Added tag to R ear, L ear tag was ripping</t>
  </si>
  <si>
    <t>Seemed lethargic, very weak &amp; scraggly looking</t>
  </si>
  <si>
    <t>Vial missing</t>
  </si>
  <si>
    <t>Originally written in as P083-18, maybe misread?</t>
  </si>
  <si>
    <t>Vial missing (F232-18)</t>
  </si>
  <si>
    <t>Grey blob coming from anus, can't pull off</t>
  </si>
  <si>
    <t>3/4 of tail missing, notch in L ear</t>
  </si>
  <si>
    <t>Tried squirrel bag from visiting researcher (Paul)</t>
  </si>
  <si>
    <t>Rip in L ear (looks like old tag), R ear bloody</t>
  </si>
  <si>
    <t>Covered in blood, blood in trap, no tags, still breathing but not moving - checked on individual after finishing trapline, still in same condition</t>
  </si>
  <si>
    <t>Flea not collected</t>
  </si>
  <si>
    <t>Rip in R ear, blood around chest area</t>
  </si>
  <si>
    <t>Very hard &amp; large lump coming out of center of chest - maybe broken bone?</t>
  </si>
  <si>
    <t>Front half of body found stuck in trap door, no tags</t>
  </si>
  <si>
    <t>Trap turned over, body found stuck in door</t>
  </si>
  <si>
    <t>Initially read tags incorrectly and administered frontline</t>
  </si>
  <si>
    <t>Tail found stuck in trap door</t>
  </si>
  <si>
    <t>Trap found metres from original placement, blood on trap, hindfoot &amp; tail found in trap door</t>
  </si>
  <si>
    <t>Notch in L ear</t>
  </si>
  <si>
    <t>Bald patches above L eye &amp; on L cheek</t>
  </si>
  <si>
    <t xml:space="preserve"> Released</t>
  </si>
  <si>
    <t>Trap covered in blood, bottom half of body found in trap door</t>
  </si>
  <si>
    <t>No tail</t>
  </si>
  <si>
    <t>Bump still present</t>
  </si>
  <si>
    <t>2 fleas fell off during processing &amp; were captured</t>
  </si>
  <si>
    <t>Tail caught in door</t>
  </si>
  <si>
    <t>Half stuck in door</t>
  </si>
  <si>
    <t>Fleas &amp; mites not collected</t>
  </si>
  <si>
    <t>head stuck in door</t>
  </si>
  <si>
    <t>Hindfoot found in trap door</t>
  </si>
  <si>
    <t>Saw what may have been a larva? Small, crescent shaped body found in fur, vial missing</t>
  </si>
  <si>
    <t>Front half of body stuck in door, no tags</t>
  </si>
  <si>
    <t>Tail caught in door, very lethargic, slow to respond, unable to open eyes for long</t>
  </si>
  <si>
    <t>Trap metres from original placement, blood found on trap</t>
  </si>
  <si>
    <t>1 botfly exit wound</t>
  </si>
  <si>
    <t>1 botfly present</t>
  </si>
  <si>
    <t>F023-18 missing vial</t>
  </si>
  <si>
    <t>Escaped prior to collecting parasites</t>
  </si>
  <si>
    <t>Vial missing, originally inputted as F144-18, but this vial was used for a RBV</t>
  </si>
  <si>
    <t>Vial F072-18 actually parasite vial (not analyzed)</t>
  </si>
  <si>
    <t>Missing fur from the back right foot dorsally</t>
  </si>
  <si>
    <t>Overdose of Frontline, inputted as 306-18, vial mix-up, two F306-18 vials (one misread, F309-18)</t>
  </si>
  <si>
    <t>Overdose of Frontline</t>
  </si>
  <si>
    <t>Missing vial? Number unknown</t>
  </si>
  <si>
    <t>Bald patch on the top of the head, mouth bloody.</t>
  </si>
  <si>
    <t>Vial written as F144-18, but used for another individual that was more likely to be the one that the sample came from</t>
  </si>
  <si>
    <t>Vial mix-up, two vials with F306-18 inputted, and another vial with F309-18 that was not inputted</t>
  </si>
  <si>
    <t>Did not tag right ear due to swelling caused by the botfly located behind right ear</t>
  </si>
  <si>
    <t>Was fine during processing, but did not move after released. Was still breathing</t>
  </si>
  <si>
    <t>1 botfly, right of the middle on ventral side</t>
  </si>
  <si>
    <t>Processed echip in plastic bag, not in squirrel bag</t>
  </si>
  <si>
    <t>Hair loss present around base of right hind leg around botfly; Vial used twice, but this is probably the right one because the poop is RBV poop</t>
  </si>
  <si>
    <t>Replaced right ear tag</t>
  </si>
  <si>
    <t xml:space="preserve">Front right leg swollen and is showing hair loss at the base. DM did not pull this leg in or use it to push away during processing </t>
  </si>
  <si>
    <t>F382-18 vial was slightly open, methanol evaporated (not analyzed)</t>
  </si>
  <si>
    <t xml:space="preserve">Individual with no ears </t>
  </si>
  <si>
    <t>Replaced tag in right ear because left ear was too badly damaged from last tag ripping out</t>
  </si>
  <si>
    <t>Only a tail remaining</t>
  </si>
  <si>
    <t>Only tail remaining</t>
  </si>
  <si>
    <t>Vial 173-18?</t>
  </si>
  <si>
    <t>Skin and hair missing from the back half of tail. Looks beaten up</t>
  </si>
  <si>
    <t>Chipmunk tail found in trap</t>
  </si>
  <si>
    <t>Right cheek bare or fur: no visible injury</t>
  </si>
  <si>
    <t>Fecal vial taken and then lost, MV lunged at me after I finished processing and released him (vicious vole) F384-18</t>
  </si>
  <si>
    <t>Kink in tail about 3/4 of the way down from base</t>
  </si>
  <si>
    <t>Caught this same individual in 3 traps, kept going in traps after being released</t>
  </si>
  <si>
    <t>Bald patch around L eye</t>
  </si>
  <si>
    <t>Bald patch under chest</t>
  </si>
  <si>
    <t>Botfly located on the groin to the left (ventrally)</t>
  </si>
  <si>
    <t>1 flea lost</t>
  </si>
  <si>
    <t>Added tag to R ear</t>
  </si>
  <si>
    <t>Botfly underneath R leg</t>
  </si>
  <si>
    <t>Tag 2468 appears on two animals in separate lines according to the database</t>
  </si>
  <si>
    <t>Botfly exit wound found</t>
  </si>
  <si>
    <t>No tail, two of the same vial (F523-18)</t>
  </si>
  <si>
    <t>Botfly behind L arm</t>
  </si>
  <si>
    <t>Botfly behind genitals, slightly to the R</t>
  </si>
  <si>
    <t>Botfly behind R ear</t>
  </si>
  <si>
    <t xml:space="preserve">botfly exit wound </t>
  </si>
  <si>
    <t>Severed head and front legs found in trap, no tags</t>
  </si>
  <si>
    <t>Kink in tail</t>
  </si>
  <si>
    <t>Caught in same trap</t>
  </si>
  <si>
    <t>Severed tail stuck in door</t>
  </si>
  <si>
    <t>Botflies located on abdomen, slightly above genitals</t>
  </si>
  <si>
    <t>Botflies located around genitals</t>
  </si>
  <si>
    <t>2 botflies around genitals</t>
  </si>
  <si>
    <t>2 botflies around genitals, missing end of tail</t>
  </si>
  <si>
    <t>Lower half of body stuck in trap door</t>
  </si>
  <si>
    <t>Patch of fur missing beside genitals on R side</t>
  </si>
  <si>
    <t>Tail &amp; base of tail stuck in door</t>
  </si>
  <si>
    <t>Two of the same vial - F523-18</t>
  </si>
  <si>
    <t>Bald patch on top of head</t>
  </si>
  <si>
    <t>Hole in L ear, orange mites clustered around hole, botfly exit wound beside genitals on L side, 2 botfly exit wounds in middle of back, changed vial number from F463-18 to F696-18 because there was a double</t>
  </si>
  <si>
    <t>Originally written as F579-18, extra vial unaccounted for that was F569-18</t>
  </si>
  <si>
    <t>Mangled ear, tail broken by trap, large bald spot on top of head</t>
  </si>
  <si>
    <t>Botfly exit wound</t>
  </si>
  <si>
    <t>Cut on nose</t>
  </si>
  <si>
    <t>Botfly on the anterior ventral side under the head, missing vial F683-18</t>
  </si>
  <si>
    <t>Missing vial F548-18</t>
  </si>
  <si>
    <t>Missing vial F541-18</t>
  </si>
  <si>
    <t>Lethargic</t>
  </si>
  <si>
    <t>2 scratches on back of R ear, scratch on L side of nose, spot of blood on fur on R side of body</t>
  </si>
  <si>
    <t>Botfly exit wound on R side of chest</t>
  </si>
  <si>
    <t>Botfly behind genitals</t>
  </si>
  <si>
    <t>Half of tail gone</t>
  </si>
  <si>
    <t>Botfly above genitals, 2 botfly exit wounds below genitals</t>
  </si>
  <si>
    <t>Bald spot on top of head, rip in L ear</t>
  </si>
  <si>
    <t>Rip in L ear, botfly under genitals</t>
  </si>
  <si>
    <t>Botfly above genitals</t>
  </si>
  <si>
    <t>Potential blood in urine, dark red colouration</t>
  </si>
  <si>
    <t>Botfly on R leg, black sticky substance on anus</t>
  </si>
  <si>
    <t>Trap disturbed, moved down hill &amp; on its side</t>
  </si>
  <si>
    <t>taIl stuck in trap door, severe injury to tail at 2/3 from base of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</si>
</sst>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3" fillId="0" borderId="0" xfId="1" applyFont="1"/>
    <xf numFmtId="49" fontId="3" fillId="0" borderId="0" xfId="1" applyNumberFormat="1" applyFont="1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1" xfId="0" applyBorder="1"/>
    <xf numFmtId="16" fontId="0" fillId="0" borderId="0" xfId="0" applyNumberFormat="1"/>
  </cellXfs>
  <cellStyles count="2">
    <cellStyle name="Normal" xfId="0" builtinId="0"/>
    <cellStyle name="Normal 2" xfId="1" xr:uid="{E2177EF7-9AEA-4C40-AE7D-D935869554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F509-4657-4E12-B965-18EE7C9D59BA}">
  <dimension ref="A1:AD8697"/>
  <sheetViews>
    <sheetView tabSelected="1" workbookViewId="0">
      <selection activeCell="A3" sqref="A3"/>
    </sheetView>
  </sheetViews>
  <sheetFormatPr defaultRowHeight="14.5" x14ac:dyDescent="0.35"/>
  <cols>
    <col min="1" max="1" width="12.90625" customWidth="1"/>
  </cols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3" t="s">
        <v>29</v>
      </c>
    </row>
    <row r="2" spans="1:30" x14ac:dyDescent="0.35">
      <c r="A2" s="4">
        <v>42501</v>
      </c>
      <c r="B2" t="s">
        <v>30</v>
      </c>
      <c r="C2">
        <v>803</v>
      </c>
      <c r="D2">
        <v>6</v>
      </c>
      <c r="E2">
        <v>1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>
        <v>0</v>
      </c>
      <c r="N2">
        <v>1</v>
      </c>
      <c r="O2" s="5">
        <v>50391</v>
      </c>
      <c r="P2" s="5"/>
      <c r="Q2">
        <f>130-46</f>
        <v>84</v>
      </c>
      <c r="R2" t="s">
        <v>38</v>
      </c>
      <c r="S2" t="s">
        <v>39</v>
      </c>
      <c r="Z2" t="s">
        <v>39</v>
      </c>
      <c r="AB2" t="s">
        <v>40</v>
      </c>
      <c r="AC2" t="s">
        <v>41</v>
      </c>
    </row>
    <row r="3" spans="1:30" x14ac:dyDescent="0.35">
      <c r="A3" s="4">
        <v>42493</v>
      </c>
      <c r="B3" t="s">
        <v>30</v>
      </c>
      <c r="C3">
        <v>201</v>
      </c>
      <c r="D3">
        <v>1</v>
      </c>
      <c r="E3">
        <v>1</v>
      </c>
      <c r="F3" t="s">
        <v>42</v>
      </c>
      <c r="G3" t="s">
        <v>32</v>
      </c>
      <c r="H3" t="s">
        <v>33</v>
      </c>
      <c r="I3" t="s">
        <v>43</v>
      </c>
      <c r="J3" t="s">
        <v>44</v>
      </c>
      <c r="K3" t="s">
        <v>36</v>
      </c>
      <c r="L3" t="s">
        <v>45</v>
      </c>
      <c r="M3">
        <v>0</v>
      </c>
      <c r="N3">
        <v>1</v>
      </c>
      <c r="O3" s="5">
        <v>2707</v>
      </c>
      <c r="P3" s="5">
        <v>2708</v>
      </c>
      <c r="Q3">
        <f>25.25-8.25</f>
        <v>17</v>
      </c>
      <c r="R3" t="s">
        <v>46</v>
      </c>
      <c r="S3" t="s">
        <v>39</v>
      </c>
      <c r="T3">
        <v>19</v>
      </c>
      <c r="U3">
        <v>90</v>
      </c>
      <c r="V3">
        <v>14</v>
      </c>
      <c r="Z3" t="s">
        <v>39</v>
      </c>
      <c r="AB3" t="s">
        <v>47</v>
      </c>
    </row>
    <row r="4" spans="1:30" x14ac:dyDescent="0.35">
      <c r="A4" s="4">
        <v>42493</v>
      </c>
      <c r="B4" t="s">
        <v>30</v>
      </c>
      <c r="C4">
        <v>203</v>
      </c>
      <c r="D4">
        <v>8</v>
      </c>
      <c r="E4">
        <v>1</v>
      </c>
      <c r="F4" t="s">
        <v>42</v>
      </c>
      <c r="G4" t="s">
        <v>32</v>
      </c>
      <c r="H4" t="s">
        <v>33</v>
      </c>
      <c r="I4" t="s">
        <v>43</v>
      </c>
      <c r="J4" t="s">
        <v>48</v>
      </c>
      <c r="K4" t="s">
        <v>36</v>
      </c>
      <c r="L4" t="s">
        <v>45</v>
      </c>
      <c r="M4">
        <v>1</v>
      </c>
      <c r="N4">
        <v>1</v>
      </c>
      <c r="O4" s="5">
        <v>26626</v>
      </c>
      <c r="P4" s="5" t="s">
        <v>49</v>
      </c>
      <c r="Q4">
        <f>26.75-8.25</f>
        <v>18.5</v>
      </c>
      <c r="R4" t="s">
        <v>46</v>
      </c>
      <c r="S4" t="s">
        <v>39</v>
      </c>
      <c r="T4">
        <v>19</v>
      </c>
      <c r="U4">
        <v>83</v>
      </c>
      <c r="V4">
        <v>11</v>
      </c>
      <c r="Z4" t="s">
        <v>39</v>
      </c>
      <c r="AB4" t="s">
        <v>47</v>
      </c>
    </row>
    <row r="5" spans="1:30" x14ac:dyDescent="0.35">
      <c r="A5" s="4">
        <v>42493</v>
      </c>
      <c r="B5" t="s">
        <v>30</v>
      </c>
      <c r="C5">
        <v>201</v>
      </c>
      <c r="D5">
        <v>7</v>
      </c>
      <c r="E5">
        <v>1</v>
      </c>
      <c r="F5" t="s">
        <v>31</v>
      </c>
      <c r="G5" t="s">
        <v>32</v>
      </c>
      <c r="H5" t="s">
        <v>33</v>
      </c>
      <c r="I5" t="s">
        <v>43</v>
      </c>
      <c r="J5" t="s">
        <v>35</v>
      </c>
      <c r="K5" t="s">
        <v>36</v>
      </c>
      <c r="L5" t="s">
        <v>37</v>
      </c>
      <c r="M5">
        <v>0</v>
      </c>
      <c r="N5">
        <v>1</v>
      </c>
      <c r="O5" s="5">
        <v>26645</v>
      </c>
      <c r="P5" s="5">
        <v>26646</v>
      </c>
      <c r="Q5">
        <f>27-7.75</f>
        <v>19.25</v>
      </c>
      <c r="R5" t="s">
        <v>50</v>
      </c>
      <c r="S5" t="s">
        <v>39</v>
      </c>
      <c r="T5">
        <v>19</v>
      </c>
      <c r="U5">
        <v>85</v>
      </c>
      <c r="V5">
        <v>11</v>
      </c>
      <c r="Z5" t="s">
        <v>39</v>
      </c>
      <c r="AB5" t="s">
        <v>47</v>
      </c>
    </row>
    <row r="6" spans="1:30" x14ac:dyDescent="0.35">
      <c r="A6" s="4">
        <v>42493</v>
      </c>
      <c r="B6" t="s">
        <v>30</v>
      </c>
      <c r="C6">
        <v>201</v>
      </c>
      <c r="D6">
        <v>2</v>
      </c>
      <c r="E6">
        <v>1</v>
      </c>
      <c r="F6" t="s">
        <v>42</v>
      </c>
      <c r="G6" t="s">
        <v>32</v>
      </c>
      <c r="H6" t="s">
        <v>33</v>
      </c>
      <c r="I6" t="s">
        <v>43</v>
      </c>
      <c r="J6" t="s">
        <v>35</v>
      </c>
      <c r="K6" t="s">
        <v>36</v>
      </c>
      <c r="L6" t="s">
        <v>37</v>
      </c>
      <c r="M6">
        <v>0</v>
      </c>
      <c r="N6">
        <v>1</v>
      </c>
      <c r="O6" s="5">
        <v>26648</v>
      </c>
      <c r="P6" s="5">
        <v>26647</v>
      </c>
      <c r="Q6">
        <f>29.25-8.25</f>
        <v>21</v>
      </c>
      <c r="R6" t="s">
        <v>38</v>
      </c>
      <c r="S6" t="s">
        <v>39</v>
      </c>
      <c r="T6">
        <v>19</v>
      </c>
      <c r="U6">
        <v>93</v>
      </c>
      <c r="V6">
        <v>11.5</v>
      </c>
      <c r="Z6" t="s">
        <v>39</v>
      </c>
      <c r="AB6" t="s">
        <v>47</v>
      </c>
    </row>
    <row r="7" spans="1:30" x14ac:dyDescent="0.35">
      <c r="A7" s="4">
        <v>42493</v>
      </c>
      <c r="B7" t="s">
        <v>30</v>
      </c>
      <c r="C7">
        <v>203</v>
      </c>
      <c r="D7">
        <v>3</v>
      </c>
      <c r="E7">
        <v>1</v>
      </c>
      <c r="F7" t="s">
        <v>31</v>
      </c>
      <c r="G7" t="s">
        <v>32</v>
      </c>
      <c r="H7" t="s">
        <v>33</v>
      </c>
      <c r="I7" t="s">
        <v>43</v>
      </c>
      <c r="J7" t="s">
        <v>44</v>
      </c>
      <c r="K7" t="s">
        <v>36</v>
      </c>
      <c r="L7" t="s">
        <v>37</v>
      </c>
      <c r="M7">
        <v>0</v>
      </c>
      <c r="N7">
        <v>0</v>
      </c>
      <c r="O7" s="5" t="s">
        <v>51</v>
      </c>
      <c r="P7" s="5" t="s">
        <v>52</v>
      </c>
      <c r="Q7">
        <f>29.5-8</f>
        <v>21.5</v>
      </c>
      <c r="R7" t="s">
        <v>38</v>
      </c>
      <c r="S7" t="s">
        <v>39</v>
      </c>
      <c r="T7">
        <v>21</v>
      </c>
      <c r="U7">
        <v>82</v>
      </c>
      <c r="V7">
        <v>13</v>
      </c>
      <c r="Z7" t="s">
        <v>39</v>
      </c>
      <c r="AB7" t="s">
        <v>47</v>
      </c>
    </row>
    <row r="8" spans="1:30" x14ac:dyDescent="0.35">
      <c r="A8" s="4">
        <v>42493</v>
      </c>
      <c r="B8" t="s">
        <v>30</v>
      </c>
      <c r="C8">
        <v>202</v>
      </c>
      <c r="D8">
        <v>6</v>
      </c>
      <c r="E8">
        <v>1</v>
      </c>
      <c r="F8" t="s">
        <v>31</v>
      </c>
      <c r="G8" t="s">
        <v>32</v>
      </c>
      <c r="H8" t="s">
        <v>33</v>
      </c>
      <c r="I8" t="s">
        <v>43</v>
      </c>
      <c r="J8" t="s">
        <v>44</v>
      </c>
      <c r="K8" t="s">
        <v>36</v>
      </c>
      <c r="L8" t="s">
        <v>45</v>
      </c>
      <c r="M8">
        <v>0</v>
      </c>
      <c r="N8">
        <v>0</v>
      </c>
      <c r="O8" s="5" t="s">
        <v>53</v>
      </c>
      <c r="P8" s="5" t="s">
        <v>54</v>
      </c>
      <c r="Q8">
        <v>21.6</v>
      </c>
      <c r="R8" t="s">
        <v>46</v>
      </c>
      <c r="S8" t="s">
        <v>39</v>
      </c>
      <c r="T8">
        <v>19</v>
      </c>
      <c r="U8">
        <v>74</v>
      </c>
      <c r="V8">
        <v>15</v>
      </c>
      <c r="Z8" t="s">
        <v>39</v>
      </c>
      <c r="AB8" t="s">
        <v>47</v>
      </c>
    </row>
    <row r="9" spans="1:30" x14ac:dyDescent="0.35">
      <c r="A9" s="4">
        <v>42493</v>
      </c>
      <c r="B9" t="s">
        <v>30</v>
      </c>
      <c r="C9">
        <v>203</v>
      </c>
      <c r="D9" s="6">
        <v>10</v>
      </c>
      <c r="E9">
        <v>1</v>
      </c>
      <c r="F9" t="s">
        <v>42</v>
      </c>
      <c r="G9" t="s">
        <v>32</v>
      </c>
      <c r="H9" t="s">
        <v>33</v>
      </c>
      <c r="I9" t="s">
        <v>55</v>
      </c>
      <c r="J9" t="s">
        <v>56</v>
      </c>
      <c r="O9" s="5"/>
      <c r="P9" s="5"/>
      <c r="Z9" t="s">
        <v>39</v>
      </c>
      <c r="AB9" t="s">
        <v>47</v>
      </c>
    </row>
    <row r="10" spans="1:30" x14ac:dyDescent="0.35">
      <c r="A10" s="4">
        <v>42493</v>
      </c>
      <c r="B10" t="s">
        <v>30</v>
      </c>
      <c r="C10">
        <v>202</v>
      </c>
      <c r="D10">
        <v>8</v>
      </c>
      <c r="E10">
        <v>1</v>
      </c>
      <c r="F10" t="s">
        <v>31</v>
      </c>
      <c r="G10" t="s">
        <v>32</v>
      </c>
      <c r="H10" t="s">
        <v>33</v>
      </c>
      <c r="J10" t="s">
        <v>57</v>
      </c>
      <c r="O10" s="5"/>
      <c r="P10" s="5"/>
      <c r="Z10" t="s">
        <v>39</v>
      </c>
      <c r="AB10" t="s">
        <v>47</v>
      </c>
    </row>
    <row r="11" spans="1:30" x14ac:dyDescent="0.35">
      <c r="A11" s="4">
        <v>42493</v>
      </c>
      <c r="B11" t="s">
        <v>30</v>
      </c>
      <c r="C11">
        <v>201</v>
      </c>
      <c r="D11">
        <v>6</v>
      </c>
      <c r="E11">
        <v>1</v>
      </c>
      <c r="F11" t="s">
        <v>42</v>
      </c>
      <c r="G11" t="s">
        <v>32</v>
      </c>
      <c r="H11" t="s">
        <v>33</v>
      </c>
      <c r="J11" t="s">
        <v>57</v>
      </c>
      <c r="O11" s="5"/>
      <c r="P11" s="5"/>
      <c r="Z11" t="s">
        <v>39</v>
      </c>
    </row>
    <row r="12" spans="1:30" x14ac:dyDescent="0.35">
      <c r="A12" s="4">
        <v>42493</v>
      </c>
      <c r="B12" t="s">
        <v>30</v>
      </c>
      <c r="C12">
        <v>304</v>
      </c>
      <c r="D12">
        <v>9</v>
      </c>
      <c r="E12">
        <v>1</v>
      </c>
      <c r="F12" t="s">
        <v>42</v>
      </c>
      <c r="G12" t="s">
        <v>32</v>
      </c>
      <c r="H12" t="s">
        <v>33</v>
      </c>
      <c r="J12" t="s">
        <v>57</v>
      </c>
      <c r="O12" s="5"/>
      <c r="P12" s="5"/>
      <c r="Z12" t="s">
        <v>39</v>
      </c>
    </row>
    <row r="13" spans="1:30" x14ac:dyDescent="0.35">
      <c r="A13" s="4">
        <v>42494</v>
      </c>
      <c r="B13" t="s">
        <v>30</v>
      </c>
      <c r="C13">
        <v>201</v>
      </c>
      <c r="D13">
        <v>8</v>
      </c>
      <c r="E13">
        <v>1</v>
      </c>
      <c r="F13" t="s">
        <v>31</v>
      </c>
      <c r="G13" t="s">
        <v>32</v>
      </c>
      <c r="H13" t="s">
        <v>33</v>
      </c>
      <c r="I13" t="s">
        <v>43</v>
      </c>
      <c r="J13" t="s">
        <v>44</v>
      </c>
      <c r="K13" t="s">
        <v>36</v>
      </c>
      <c r="L13" t="s">
        <v>45</v>
      </c>
      <c r="M13">
        <v>0</v>
      </c>
      <c r="N13">
        <v>0</v>
      </c>
      <c r="O13" s="5">
        <v>2707</v>
      </c>
      <c r="P13" s="5">
        <v>2708</v>
      </c>
      <c r="Q13">
        <f>35.5-12</f>
        <v>23.5</v>
      </c>
      <c r="R13" t="s">
        <v>46</v>
      </c>
      <c r="S13" t="s">
        <v>39</v>
      </c>
      <c r="T13">
        <v>21</v>
      </c>
      <c r="U13">
        <v>97</v>
      </c>
      <c r="V13">
        <v>14</v>
      </c>
      <c r="Z13" t="s">
        <v>39</v>
      </c>
      <c r="AB13" t="s">
        <v>40</v>
      </c>
      <c r="AC13" t="s">
        <v>41</v>
      </c>
    </row>
    <row r="14" spans="1:30" x14ac:dyDescent="0.35">
      <c r="A14" s="4">
        <v>42494</v>
      </c>
      <c r="B14" t="s">
        <v>30</v>
      </c>
      <c r="C14">
        <v>203</v>
      </c>
      <c r="D14">
        <v>9</v>
      </c>
      <c r="E14">
        <v>1</v>
      </c>
      <c r="F14" t="s">
        <v>42</v>
      </c>
      <c r="G14" t="s">
        <v>32</v>
      </c>
      <c r="H14" t="s">
        <v>33</v>
      </c>
      <c r="I14" t="s">
        <v>43</v>
      </c>
      <c r="J14" t="s">
        <v>44</v>
      </c>
      <c r="K14" t="s">
        <v>36</v>
      </c>
      <c r="L14" t="s">
        <v>45</v>
      </c>
      <c r="M14">
        <v>0</v>
      </c>
      <c r="N14">
        <v>0</v>
      </c>
      <c r="O14" s="5">
        <v>26626</v>
      </c>
      <c r="P14" s="5" t="s">
        <v>49</v>
      </c>
      <c r="Q14">
        <f>27.25-9</f>
        <v>18.25</v>
      </c>
      <c r="R14" t="s">
        <v>46</v>
      </c>
      <c r="S14" t="s">
        <v>39</v>
      </c>
      <c r="T14">
        <v>18</v>
      </c>
      <c r="U14">
        <v>82</v>
      </c>
      <c r="V14">
        <v>13</v>
      </c>
      <c r="Z14" t="s">
        <v>39</v>
      </c>
      <c r="AB14" t="s">
        <v>40</v>
      </c>
      <c r="AC14" t="s">
        <v>41</v>
      </c>
    </row>
    <row r="15" spans="1:30" x14ac:dyDescent="0.35">
      <c r="A15" s="4">
        <v>42494</v>
      </c>
      <c r="B15" t="s">
        <v>30</v>
      </c>
      <c r="C15">
        <v>304</v>
      </c>
      <c r="D15">
        <v>8</v>
      </c>
      <c r="E15">
        <v>1</v>
      </c>
      <c r="F15" t="s">
        <v>42</v>
      </c>
      <c r="G15" t="s">
        <v>32</v>
      </c>
      <c r="H15" t="s">
        <v>33</v>
      </c>
      <c r="I15" t="s">
        <v>43</v>
      </c>
      <c r="K15" t="s">
        <v>36</v>
      </c>
      <c r="L15" t="s">
        <v>37</v>
      </c>
      <c r="M15">
        <v>0</v>
      </c>
      <c r="N15">
        <v>0</v>
      </c>
      <c r="O15" s="5">
        <v>26628</v>
      </c>
      <c r="P15" s="5">
        <v>26629</v>
      </c>
      <c r="Q15">
        <f>30-7.5</f>
        <v>22.5</v>
      </c>
      <c r="R15" t="s">
        <v>38</v>
      </c>
      <c r="S15" t="s">
        <v>39</v>
      </c>
      <c r="T15">
        <v>21.5</v>
      </c>
      <c r="U15">
        <v>78</v>
      </c>
      <c r="V15">
        <v>17</v>
      </c>
      <c r="Z15" t="s">
        <v>39</v>
      </c>
      <c r="AB15" t="s">
        <v>40</v>
      </c>
      <c r="AC15" t="s">
        <v>41</v>
      </c>
    </row>
    <row r="16" spans="1:30" x14ac:dyDescent="0.35">
      <c r="A16" s="4">
        <v>42494</v>
      </c>
      <c r="B16" t="s">
        <v>30</v>
      </c>
      <c r="C16">
        <v>201</v>
      </c>
      <c r="D16">
        <v>2</v>
      </c>
      <c r="E16">
        <v>1</v>
      </c>
      <c r="F16" t="s">
        <v>31</v>
      </c>
      <c r="G16" t="s">
        <v>32</v>
      </c>
      <c r="H16" t="s">
        <v>33</v>
      </c>
      <c r="I16" t="s">
        <v>43</v>
      </c>
      <c r="J16" t="s">
        <v>44</v>
      </c>
      <c r="K16" t="s">
        <v>36</v>
      </c>
      <c r="L16" t="s">
        <v>37</v>
      </c>
      <c r="M16">
        <v>0</v>
      </c>
      <c r="N16">
        <v>0</v>
      </c>
      <c r="O16" s="5">
        <v>26645</v>
      </c>
      <c r="P16" s="5">
        <v>26646</v>
      </c>
      <c r="Q16">
        <f>29-13</f>
        <v>16</v>
      </c>
      <c r="R16" t="s">
        <v>38</v>
      </c>
      <c r="S16" t="s">
        <v>39</v>
      </c>
      <c r="T16">
        <v>19</v>
      </c>
      <c r="U16">
        <v>86</v>
      </c>
      <c r="V16">
        <v>13</v>
      </c>
      <c r="Z16" t="s">
        <v>39</v>
      </c>
      <c r="AB16" t="s">
        <v>40</v>
      </c>
      <c r="AC16" t="s">
        <v>41</v>
      </c>
    </row>
    <row r="17" spans="1:29" x14ac:dyDescent="0.35">
      <c r="A17" s="4">
        <v>42494</v>
      </c>
      <c r="B17" t="s">
        <v>30</v>
      </c>
      <c r="C17">
        <v>201</v>
      </c>
      <c r="D17">
        <v>1</v>
      </c>
      <c r="E17">
        <v>2</v>
      </c>
      <c r="F17" t="s">
        <v>31</v>
      </c>
      <c r="G17" t="s">
        <v>32</v>
      </c>
      <c r="H17" t="s">
        <v>33</v>
      </c>
      <c r="I17" t="s">
        <v>43</v>
      </c>
      <c r="J17" t="s">
        <v>44</v>
      </c>
      <c r="K17" t="s">
        <v>36</v>
      </c>
      <c r="L17" t="s">
        <v>37</v>
      </c>
      <c r="M17">
        <v>0</v>
      </c>
      <c r="N17">
        <v>0</v>
      </c>
      <c r="O17" s="5">
        <v>26648</v>
      </c>
      <c r="P17" s="5">
        <v>26647</v>
      </c>
      <c r="Q17">
        <f>34.5-12</f>
        <v>22.5</v>
      </c>
      <c r="R17" t="s">
        <v>38</v>
      </c>
      <c r="S17" t="s">
        <v>39</v>
      </c>
      <c r="T17">
        <v>19</v>
      </c>
      <c r="U17">
        <v>90</v>
      </c>
      <c r="V17">
        <v>11</v>
      </c>
      <c r="Z17" t="s">
        <v>39</v>
      </c>
      <c r="AB17" t="s">
        <v>40</v>
      </c>
      <c r="AC17" t="s">
        <v>41</v>
      </c>
    </row>
    <row r="18" spans="1:29" x14ac:dyDescent="0.35">
      <c r="A18" s="4">
        <v>42494</v>
      </c>
      <c r="B18" t="s">
        <v>30</v>
      </c>
      <c r="C18">
        <v>203</v>
      </c>
      <c r="D18">
        <v>2</v>
      </c>
      <c r="E18">
        <v>1</v>
      </c>
      <c r="F18" t="s">
        <v>42</v>
      </c>
      <c r="G18" t="s">
        <v>32</v>
      </c>
      <c r="H18" t="s">
        <v>33</v>
      </c>
      <c r="I18" t="s">
        <v>43</v>
      </c>
      <c r="J18" t="s">
        <v>44</v>
      </c>
      <c r="K18" t="s">
        <v>36</v>
      </c>
      <c r="L18" t="s">
        <v>37</v>
      </c>
      <c r="M18">
        <v>0</v>
      </c>
      <c r="N18">
        <v>0</v>
      </c>
      <c r="O18" s="5" t="s">
        <v>51</v>
      </c>
      <c r="P18" s="5" t="s">
        <v>52</v>
      </c>
      <c r="Q18">
        <v>21.75</v>
      </c>
      <c r="R18" t="s">
        <v>38</v>
      </c>
      <c r="S18" t="s">
        <v>39</v>
      </c>
      <c r="T18">
        <v>20</v>
      </c>
      <c r="U18">
        <v>82</v>
      </c>
      <c r="V18">
        <v>14</v>
      </c>
      <c r="Z18" t="s">
        <v>39</v>
      </c>
      <c r="AB18" t="s">
        <v>40</v>
      </c>
      <c r="AC18" t="s">
        <v>41</v>
      </c>
    </row>
    <row r="19" spans="1:29" x14ac:dyDescent="0.35">
      <c r="A19" s="4">
        <v>42494</v>
      </c>
      <c r="B19" t="s">
        <v>30</v>
      </c>
      <c r="C19">
        <v>202</v>
      </c>
      <c r="D19">
        <v>5</v>
      </c>
      <c r="E19">
        <v>1</v>
      </c>
      <c r="F19" t="s">
        <v>42</v>
      </c>
      <c r="G19" t="s">
        <v>32</v>
      </c>
      <c r="H19" t="s">
        <v>33</v>
      </c>
      <c r="I19" t="s">
        <v>43</v>
      </c>
      <c r="J19" t="s">
        <v>44</v>
      </c>
      <c r="K19" t="s">
        <v>36</v>
      </c>
      <c r="L19" t="s">
        <v>45</v>
      </c>
      <c r="M19">
        <v>0</v>
      </c>
      <c r="N19">
        <v>0</v>
      </c>
      <c r="O19" s="5" t="s">
        <v>53</v>
      </c>
      <c r="P19" s="5" t="s">
        <v>54</v>
      </c>
      <c r="Q19">
        <f>26.5-8.5</f>
        <v>18</v>
      </c>
      <c r="R19" t="s">
        <v>46</v>
      </c>
      <c r="S19" t="s">
        <v>39</v>
      </c>
      <c r="U19">
        <v>76</v>
      </c>
      <c r="Z19" t="s">
        <v>39</v>
      </c>
      <c r="AB19" t="s">
        <v>40</v>
      </c>
      <c r="AC19" t="s">
        <v>41</v>
      </c>
    </row>
    <row r="20" spans="1:29" x14ac:dyDescent="0.35">
      <c r="A20" s="4">
        <v>42494</v>
      </c>
      <c r="B20" t="s">
        <v>30</v>
      </c>
      <c r="C20">
        <v>304</v>
      </c>
      <c r="D20">
        <v>9</v>
      </c>
      <c r="E20">
        <v>1</v>
      </c>
      <c r="F20" t="s">
        <v>31</v>
      </c>
      <c r="G20" t="s">
        <v>32</v>
      </c>
      <c r="H20" t="s">
        <v>33</v>
      </c>
      <c r="I20" t="s">
        <v>58</v>
      </c>
      <c r="J20" t="s">
        <v>35</v>
      </c>
      <c r="K20" t="s">
        <v>36</v>
      </c>
      <c r="L20" t="s">
        <v>45</v>
      </c>
      <c r="M20">
        <v>0</v>
      </c>
      <c r="N20">
        <v>1</v>
      </c>
      <c r="O20" s="5">
        <v>50399</v>
      </c>
      <c r="P20" s="5"/>
      <c r="Q20">
        <f>42-15</f>
        <v>27</v>
      </c>
      <c r="R20" t="s">
        <v>46</v>
      </c>
      <c r="S20" t="s">
        <v>39</v>
      </c>
      <c r="Z20" t="s">
        <v>39</v>
      </c>
      <c r="AB20" t="s">
        <v>40</v>
      </c>
      <c r="AC20" t="s">
        <v>41</v>
      </c>
    </row>
    <row r="21" spans="1:29" x14ac:dyDescent="0.35">
      <c r="A21" s="4">
        <v>42494</v>
      </c>
      <c r="B21" t="s">
        <v>30</v>
      </c>
      <c r="C21">
        <v>304</v>
      </c>
      <c r="D21">
        <v>7</v>
      </c>
      <c r="E21">
        <v>1</v>
      </c>
      <c r="F21" t="s">
        <v>31</v>
      </c>
      <c r="G21" t="s">
        <v>32</v>
      </c>
      <c r="H21" t="s">
        <v>33</v>
      </c>
      <c r="I21" t="s">
        <v>58</v>
      </c>
      <c r="J21" t="s">
        <v>35</v>
      </c>
      <c r="K21" t="s">
        <v>36</v>
      </c>
      <c r="L21" t="s">
        <v>45</v>
      </c>
      <c r="M21">
        <v>0</v>
      </c>
      <c r="N21">
        <v>1</v>
      </c>
      <c r="O21" s="5">
        <v>50400</v>
      </c>
      <c r="P21" s="5"/>
      <c r="Q21">
        <f>35.5-12</f>
        <v>23.5</v>
      </c>
      <c r="R21" t="s">
        <v>46</v>
      </c>
      <c r="S21" t="s">
        <v>39</v>
      </c>
      <c r="Z21" t="s">
        <v>39</v>
      </c>
      <c r="AB21" t="s">
        <v>40</v>
      </c>
      <c r="AC21" t="s">
        <v>41</v>
      </c>
    </row>
    <row r="22" spans="1:29" x14ac:dyDescent="0.35">
      <c r="A22" s="4">
        <v>42494</v>
      </c>
      <c r="B22" t="s">
        <v>30</v>
      </c>
      <c r="C22">
        <v>201</v>
      </c>
      <c r="D22">
        <v>6</v>
      </c>
      <c r="E22">
        <v>1</v>
      </c>
      <c r="F22" t="s">
        <v>31</v>
      </c>
      <c r="G22" t="s">
        <v>32</v>
      </c>
      <c r="H22" t="s">
        <v>33</v>
      </c>
      <c r="I22" t="s">
        <v>59</v>
      </c>
      <c r="O22" s="5"/>
      <c r="P22" s="5"/>
      <c r="Z22" t="s">
        <v>39</v>
      </c>
      <c r="AB22" t="s">
        <v>40</v>
      </c>
      <c r="AC22" t="s">
        <v>41</v>
      </c>
    </row>
    <row r="23" spans="1:29" x14ac:dyDescent="0.35">
      <c r="A23" s="4">
        <v>42494</v>
      </c>
      <c r="B23" t="s">
        <v>30</v>
      </c>
      <c r="C23">
        <v>201</v>
      </c>
      <c r="D23">
        <v>1</v>
      </c>
      <c r="E23">
        <v>1</v>
      </c>
      <c r="F23" t="s">
        <v>31</v>
      </c>
      <c r="G23" t="s">
        <v>32</v>
      </c>
      <c r="H23" t="s">
        <v>33</v>
      </c>
      <c r="J23" t="s">
        <v>57</v>
      </c>
      <c r="O23" s="5"/>
      <c r="P23" s="5"/>
      <c r="Z23" t="s">
        <v>39</v>
      </c>
    </row>
    <row r="24" spans="1:29" x14ac:dyDescent="0.35">
      <c r="A24" s="4">
        <v>42495</v>
      </c>
      <c r="B24" t="s">
        <v>30</v>
      </c>
      <c r="C24">
        <v>201</v>
      </c>
      <c r="D24">
        <v>5</v>
      </c>
      <c r="E24">
        <v>1</v>
      </c>
      <c r="F24" t="s">
        <v>42</v>
      </c>
      <c r="G24" t="s">
        <v>32</v>
      </c>
      <c r="H24" t="s">
        <v>33</v>
      </c>
      <c r="I24" t="s">
        <v>43</v>
      </c>
      <c r="J24" t="s">
        <v>44</v>
      </c>
      <c r="K24" t="s">
        <v>36</v>
      </c>
      <c r="L24" t="s">
        <v>45</v>
      </c>
      <c r="M24">
        <v>0</v>
      </c>
      <c r="N24">
        <v>0</v>
      </c>
      <c r="O24" s="5">
        <v>2707</v>
      </c>
      <c r="P24" s="5">
        <v>2708</v>
      </c>
      <c r="Q24">
        <f>28-8.75</f>
        <v>19.25</v>
      </c>
      <c r="R24" t="s">
        <v>46</v>
      </c>
      <c r="S24" t="s">
        <v>39</v>
      </c>
      <c r="T24">
        <v>19</v>
      </c>
      <c r="U24">
        <v>96</v>
      </c>
      <c r="V24">
        <v>16</v>
      </c>
      <c r="Z24" t="s">
        <v>39</v>
      </c>
      <c r="AB24" t="s">
        <v>60</v>
      </c>
      <c r="AC24" t="s">
        <v>41</v>
      </c>
    </row>
    <row r="25" spans="1:29" x14ac:dyDescent="0.35">
      <c r="A25" s="4">
        <v>42495</v>
      </c>
      <c r="B25" t="s">
        <v>30</v>
      </c>
      <c r="C25">
        <v>203</v>
      </c>
      <c r="D25">
        <v>3</v>
      </c>
      <c r="E25">
        <v>1</v>
      </c>
      <c r="F25" t="s">
        <v>42</v>
      </c>
      <c r="G25" t="s">
        <v>32</v>
      </c>
      <c r="H25" t="s">
        <v>33</v>
      </c>
      <c r="I25" t="s">
        <v>43</v>
      </c>
      <c r="J25" t="s">
        <v>44</v>
      </c>
      <c r="K25" t="s">
        <v>36</v>
      </c>
      <c r="L25" t="s">
        <v>45</v>
      </c>
      <c r="M25">
        <v>0</v>
      </c>
      <c r="N25">
        <v>0</v>
      </c>
      <c r="O25" s="5">
        <v>26626</v>
      </c>
      <c r="P25" s="5" t="s">
        <v>49</v>
      </c>
      <c r="Q25">
        <v>18</v>
      </c>
      <c r="R25" t="s">
        <v>61</v>
      </c>
      <c r="S25" t="s">
        <v>39</v>
      </c>
      <c r="T25">
        <v>18</v>
      </c>
      <c r="U25">
        <v>86</v>
      </c>
      <c r="V25">
        <v>14.5</v>
      </c>
      <c r="Z25" t="s">
        <v>39</v>
      </c>
      <c r="AB25" t="s">
        <v>60</v>
      </c>
      <c r="AC25" t="s">
        <v>41</v>
      </c>
    </row>
    <row r="26" spans="1:29" x14ac:dyDescent="0.35">
      <c r="A26" s="4">
        <v>42495</v>
      </c>
      <c r="B26" t="s">
        <v>30</v>
      </c>
      <c r="C26">
        <v>201</v>
      </c>
      <c r="D26">
        <v>7</v>
      </c>
      <c r="E26">
        <v>1</v>
      </c>
      <c r="F26" t="s">
        <v>42</v>
      </c>
      <c r="G26" t="s">
        <v>32</v>
      </c>
      <c r="H26" t="s">
        <v>33</v>
      </c>
      <c r="I26" t="s">
        <v>43</v>
      </c>
      <c r="J26" t="s">
        <v>35</v>
      </c>
      <c r="K26" t="s">
        <v>36</v>
      </c>
      <c r="L26" t="s">
        <v>45</v>
      </c>
      <c r="M26">
        <v>0</v>
      </c>
      <c r="N26">
        <v>1</v>
      </c>
      <c r="O26" s="5">
        <v>26630</v>
      </c>
      <c r="P26" s="5">
        <v>26631</v>
      </c>
      <c r="Q26">
        <v>20.5</v>
      </c>
      <c r="R26" t="s">
        <v>46</v>
      </c>
      <c r="S26" t="s">
        <v>39</v>
      </c>
      <c r="T26">
        <v>19</v>
      </c>
      <c r="U26">
        <v>92</v>
      </c>
      <c r="V26">
        <v>15</v>
      </c>
      <c r="Z26" t="s">
        <v>39</v>
      </c>
      <c r="AB26" t="s">
        <v>60</v>
      </c>
      <c r="AC26" t="s">
        <v>41</v>
      </c>
    </row>
    <row r="27" spans="1:29" x14ac:dyDescent="0.35">
      <c r="A27" s="4">
        <v>42495</v>
      </c>
      <c r="B27" t="s">
        <v>30</v>
      </c>
      <c r="C27">
        <v>201</v>
      </c>
      <c r="D27">
        <v>7</v>
      </c>
      <c r="E27">
        <v>2</v>
      </c>
      <c r="F27" t="s">
        <v>42</v>
      </c>
      <c r="G27" t="s">
        <v>32</v>
      </c>
      <c r="H27" t="s">
        <v>33</v>
      </c>
      <c r="I27" t="s">
        <v>43</v>
      </c>
      <c r="J27" t="s">
        <v>35</v>
      </c>
      <c r="K27" t="s">
        <v>36</v>
      </c>
      <c r="L27" t="s">
        <v>37</v>
      </c>
      <c r="M27">
        <v>0</v>
      </c>
      <c r="N27">
        <v>1</v>
      </c>
      <c r="O27" s="5">
        <v>26644</v>
      </c>
      <c r="P27" s="5">
        <v>26643</v>
      </c>
      <c r="Q27">
        <v>25</v>
      </c>
      <c r="R27" t="s">
        <v>38</v>
      </c>
      <c r="S27" t="s">
        <v>39</v>
      </c>
      <c r="T27">
        <v>19</v>
      </c>
      <c r="U27">
        <v>96</v>
      </c>
      <c r="V27">
        <v>14</v>
      </c>
      <c r="Z27" t="s">
        <v>39</v>
      </c>
      <c r="AB27" t="s">
        <v>60</v>
      </c>
      <c r="AC27" t="s">
        <v>41</v>
      </c>
    </row>
    <row r="28" spans="1:29" x14ac:dyDescent="0.35">
      <c r="A28" s="4">
        <v>42495</v>
      </c>
      <c r="B28" t="s">
        <v>30</v>
      </c>
      <c r="C28">
        <v>201</v>
      </c>
      <c r="D28">
        <v>6</v>
      </c>
      <c r="E28">
        <v>2</v>
      </c>
      <c r="F28" t="s">
        <v>31</v>
      </c>
      <c r="G28" t="s">
        <v>32</v>
      </c>
      <c r="H28" t="s">
        <v>33</v>
      </c>
      <c r="I28" t="s">
        <v>43</v>
      </c>
      <c r="J28" t="s">
        <v>44</v>
      </c>
      <c r="K28" t="s">
        <v>36</v>
      </c>
      <c r="L28" t="s">
        <v>37</v>
      </c>
      <c r="M28">
        <v>0</v>
      </c>
      <c r="N28">
        <v>0</v>
      </c>
      <c r="O28" s="5">
        <v>26645</v>
      </c>
      <c r="P28" s="5">
        <v>26646</v>
      </c>
      <c r="Q28">
        <f>32-11</f>
        <v>21</v>
      </c>
      <c r="R28" t="s">
        <v>38</v>
      </c>
      <c r="S28" t="s">
        <v>39</v>
      </c>
      <c r="T28">
        <v>20</v>
      </c>
      <c r="U28">
        <v>92</v>
      </c>
      <c r="V28">
        <v>12</v>
      </c>
      <c r="Z28" t="s">
        <v>39</v>
      </c>
      <c r="AB28" t="s">
        <v>60</v>
      </c>
      <c r="AC28" t="s">
        <v>41</v>
      </c>
    </row>
    <row r="29" spans="1:29" x14ac:dyDescent="0.35">
      <c r="A29" s="4">
        <v>42495</v>
      </c>
      <c r="B29" t="s">
        <v>30</v>
      </c>
      <c r="C29">
        <v>201</v>
      </c>
      <c r="D29">
        <v>4</v>
      </c>
      <c r="E29">
        <v>1</v>
      </c>
      <c r="F29" t="s">
        <v>42</v>
      </c>
      <c r="G29" t="s">
        <v>32</v>
      </c>
      <c r="H29" t="s">
        <v>33</v>
      </c>
      <c r="I29" t="s">
        <v>43</v>
      </c>
      <c r="J29" t="s">
        <v>44</v>
      </c>
      <c r="K29" t="s">
        <v>36</v>
      </c>
      <c r="L29" t="s">
        <v>37</v>
      </c>
      <c r="M29">
        <v>0</v>
      </c>
      <c r="N29">
        <v>0</v>
      </c>
      <c r="O29" s="5">
        <v>26648</v>
      </c>
      <c r="P29" s="5">
        <v>26647</v>
      </c>
      <c r="Q29">
        <v>21</v>
      </c>
      <c r="R29" t="s">
        <v>38</v>
      </c>
      <c r="S29" t="s">
        <v>39</v>
      </c>
      <c r="T29">
        <v>18</v>
      </c>
      <c r="U29">
        <v>95</v>
      </c>
      <c r="V29">
        <v>12</v>
      </c>
      <c r="Z29" t="s">
        <v>39</v>
      </c>
      <c r="AB29" t="s">
        <v>60</v>
      </c>
      <c r="AC29" t="s">
        <v>41</v>
      </c>
    </row>
    <row r="30" spans="1:29" x14ac:dyDescent="0.35">
      <c r="A30" s="4">
        <v>42495</v>
      </c>
      <c r="B30" t="s">
        <v>30</v>
      </c>
      <c r="C30">
        <v>201</v>
      </c>
      <c r="D30">
        <v>4</v>
      </c>
      <c r="E30">
        <v>2</v>
      </c>
      <c r="F30" t="s">
        <v>31</v>
      </c>
      <c r="G30" t="s">
        <v>32</v>
      </c>
      <c r="H30" t="s">
        <v>33</v>
      </c>
      <c r="I30" t="s">
        <v>43</v>
      </c>
      <c r="J30" t="s">
        <v>35</v>
      </c>
      <c r="K30" t="s">
        <v>36</v>
      </c>
      <c r="L30" t="s">
        <v>37</v>
      </c>
      <c r="M30">
        <v>0</v>
      </c>
      <c r="N30">
        <v>1</v>
      </c>
      <c r="O30" s="5">
        <v>50327</v>
      </c>
      <c r="P30" s="5">
        <v>50326</v>
      </c>
      <c r="Q30">
        <f>24</f>
        <v>24</v>
      </c>
      <c r="R30" t="s">
        <v>38</v>
      </c>
      <c r="S30" t="s">
        <v>39</v>
      </c>
      <c r="T30">
        <v>20</v>
      </c>
      <c r="U30">
        <v>83</v>
      </c>
      <c r="V30">
        <v>13</v>
      </c>
      <c r="Z30" t="s">
        <v>39</v>
      </c>
      <c r="AB30" t="s">
        <v>60</v>
      </c>
      <c r="AC30" t="s">
        <v>41</v>
      </c>
    </row>
    <row r="31" spans="1:29" x14ac:dyDescent="0.35">
      <c r="A31" s="4">
        <v>42495</v>
      </c>
      <c r="B31" t="s">
        <v>30</v>
      </c>
      <c r="C31">
        <v>203</v>
      </c>
      <c r="D31">
        <v>2</v>
      </c>
      <c r="E31">
        <v>1</v>
      </c>
      <c r="F31" t="s">
        <v>31</v>
      </c>
      <c r="G31" t="s">
        <v>32</v>
      </c>
      <c r="H31" t="s">
        <v>33</v>
      </c>
      <c r="I31" t="s">
        <v>43</v>
      </c>
      <c r="J31" t="s">
        <v>44</v>
      </c>
      <c r="K31" t="s">
        <v>36</v>
      </c>
      <c r="L31" t="s">
        <v>37</v>
      </c>
      <c r="M31">
        <v>0</v>
      </c>
      <c r="N31">
        <v>0</v>
      </c>
      <c r="O31" s="5" t="s">
        <v>51</v>
      </c>
      <c r="P31" s="5" t="s">
        <v>52</v>
      </c>
      <c r="Q31">
        <v>22</v>
      </c>
      <c r="R31" t="s">
        <v>38</v>
      </c>
      <c r="S31" t="s">
        <v>39</v>
      </c>
      <c r="T31">
        <v>20</v>
      </c>
      <c r="U31">
        <v>88</v>
      </c>
      <c r="V31">
        <v>13</v>
      </c>
      <c r="Z31" t="s">
        <v>39</v>
      </c>
      <c r="AB31" t="s">
        <v>60</v>
      </c>
      <c r="AC31" t="s">
        <v>41</v>
      </c>
    </row>
    <row r="32" spans="1:29" x14ac:dyDescent="0.35">
      <c r="A32" s="4">
        <v>42495</v>
      </c>
      <c r="B32" t="s">
        <v>30</v>
      </c>
      <c r="C32">
        <v>203</v>
      </c>
      <c r="D32">
        <v>9</v>
      </c>
      <c r="E32">
        <v>1</v>
      </c>
      <c r="F32" t="s">
        <v>31</v>
      </c>
      <c r="G32" t="s">
        <v>32</v>
      </c>
      <c r="H32" t="s">
        <v>33</v>
      </c>
      <c r="I32" t="s">
        <v>43</v>
      </c>
      <c r="J32" t="s">
        <v>44</v>
      </c>
      <c r="K32" t="s">
        <v>36</v>
      </c>
      <c r="L32" t="s">
        <v>45</v>
      </c>
      <c r="M32">
        <v>0</v>
      </c>
      <c r="N32">
        <v>0</v>
      </c>
      <c r="O32" s="5" t="s">
        <v>62</v>
      </c>
      <c r="P32" s="5" t="s">
        <v>63</v>
      </c>
      <c r="Q32">
        <v>19</v>
      </c>
      <c r="R32" t="s">
        <v>46</v>
      </c>
      <c r="S32" t="s">
        <v>39</v>
      </c>
      <c r="T32">
        <v>19</v>
      </c>
      <c r="U32">
        <v>79</v>
      </c>
      <c r="V32">
        <v>13</v>
      </c>
      <c r="Z32" t="s">
        <v>39</v>
      </c>
      <c r="AB32" t="s">
        <v>60</v>
      </c>
      <c r="AC32" t="s">
        <v>41</v>
      </c>
    </row>
    <row r="33" spans="1:29" x14ac:dyDescent="0.35">
      <c r="A33" s="4">
        <v>42495</v>
      </c>
      <c r="B33" t="s">
        <v>30</v>
      </c>
      <c r="C33">
        <v>202</v>
      </c>
      <c r="D33">
        <v>5</v>
      </c>
      <c r="E33">
        <v>1</v>
      </c>
      <c r="F33" t="s">
        <v>42</v>
      </c>
      <c r="G33" t="s">
        <v>32</v>
      </c>
      <c r="H33" t="s">
        <v>33</v>
      </c>
      <c r="I33" t="s">
        <v>43</v>
      </c>
      <c r="J33" t="s">
        <v>44</v>
      </c>
      <c r="K33" t="s">
        <v>36</v>
      </c>
      <c r="L33" t="s">
        <v>45</v>
      </c>
      <c r="M33">
        <v>0</v>
      </c>
      <c r="N33">
        <v>0</v>
      </c>
      <c r="O33" s="5" t="s">
        <v>53</v>
      </c>
      <c r="P33" s="5" t="s">
        <v>54</v>
      </c>
      <c r="Q33">
        <f>25-7.5</f>
        <v>17.5</v>
      </c>
      <c r="R33" t="s">
        <v>46</v>
      </c>
      <c r="S33" t="s">
        <v>39</v>
      </c>
      <c r="T33">
        <v>18.5</v>
      </c>
      <c r="U33">
        <v>78</v>
      </c>
      <c r="V33">
        <v>16</v>
      </c>
      <c r="Z33" t="s">
        <v>39</v>
      </c>
      <c r="AB33" t="s">
        <v>60</v>
      </c>
      <c r="AC33" t="s">
        <v>41</v>
      </c>
    </row>
    <row r="34" spans="1:29" x14ac:dyDescent="0.35">
      <c r="A34" s="4">
        <v>42495</v>
      </c>
      <c r="B34" t="s">
        <v>30</v>
      </c>
      <c r="C34">
        <v>304</v>
      </c>
      <c r="D34">
        <v>2</v>
      </c>
      <c r="E34">
        <v>1</v>
      </c>
      <c r="F34" t="s">
        <v>42</v>
      </c>
      <c r="G34" t="s">
        <v>32</v>
      </c>
      <c r="H34" t="s">
        <v>33</v>
      </c>
      <c r="I34" t="s">
        <v>58</v>
      </c>
      <c r="J34" t="s">
        <v>35</v>
      </c>
      <c r="K34" t="s">
        <v>36</v>
      </c>
      <c r="L34" t="s">
        <v>37</v>
      </c>
      <c r="M34">
        <v>0</v>
      </c>
      <c r="N34">
        <v>1</v>
      </c>
      <c r="O34" s="5">
        <v>26632</v>
      </c>
      <c r="P34" s="5"/>
      <c r="Q34">
        <v>30</v>
      </c>
      <c r="R34" t="s">
        <v>64</v>
      </c>
      <c r="S34" t="s">
        <v>39</v>
      </c>
      <c r="Z34" t="s">
        <v>39</v>
      </c>
      <c r="AB34" t="s">
        <v>60</v>
      </c>
      <c r="AC34" t="s">
        <v>41</v>
      </c>
    </row>
    <row r="35" spans="1:29" x14ac:dyDescent="0.35">
      <c r="A35" s="4">
        <v>42495</v>
      </c>
      <c r="B35" t="s">
        <v>30</v>
      </c>
      <c r="C35">
        <v>304</v>
      </c>
      <c r="D35">
        <v>6</v>
      </c>
      <c r="E35">
        <v>1</v>
      </c>
      <c r="F35" t="s">
        <v>31</v>
      </c>
      <c r="G35" t="s">
        <v>32</v>
      </c>
      <c r="H35" t="s">
        <v>33</v>
      </c>
      <c r="I35" t="s">
        <v>58</v>
      </c>
      <c r="J35" t="s">
        <v>35</v>
      </c>
      <c r="K35" t="s">
        <v>36</v>
      </c>
      <c r="L35" t="s">
        <v>37</v>
      </c>
      <c r="M35">
        <v>0</v>
      </c>
      <c r="N35">
        <v>1</v>
      </c>
      <c r="O35" s="5">
        <v>50325</v>
      </c>
      <c r="P35" s="5"/>
      <c r="R35" t="s">
        <v>38</v>
      </c>
      <c r="S35" t="s">
        <v>39</v>
      </c>
      <c r="Z35" t="s">
        <v>39</v>
      </c>
      <c r="AB35" t="s">
        <v>60</v>
      </c>
    </row>
    <row r="36" spans="1:29" x14ac:dyDescent="0.35">
      <c r="A36" s="4">
        <v>42495</v>
      </c>
      <c r="B36" t="s">
        <v>30</v>
      </c>
      <c r="C36">
        <v>201</v>
      </c>
      <c r="D36">
        <v>8</v>
      </c>
      <c r="E36">
        <v>1</v>
      </c>
      <c r="F36" t="s">
        <v>31</v>
      </c>
      <c r="G36" t="s">
        <v>32</v>
      </c>
      <c r="H36" t="s">
        <v>33</v>
      </c>
      <c r="I36" t="s">
        <v>58</v>
      </c>
      <c r="J36" t="s">
        <v>35</v>
      </c>
      <c r="K36" t="s">
        <v>36</v>
      </c>
      <c r="L36" t="s">
        <v>37</v>
      </c>
      <c r="M36">
        <v>0</v>
      </c>
      <c r="N36">
        <v>1</v>
      </c>
      <c r="O36" s="5">
        <v>50398</v>
      </c>
      <c r="P36" s="5"/>
      <c r="R36" t="s">
        <v>50</v>
      </c>
      <c r="S36" t="s">
        <v>39</v>
      </c>
      <c r="Z36" t="s">
        <v>39</v>
      </c>
      <c r="AB36" t="s">
        <v>60</v>
      </c>
      <c r="AC36" t="s">
        <v>41</v>
      </c>
    </row>
    <row r="37" spans="1:29" x14ac:dyDescent="0.35">
      <c r="A37" s="4">
        <v>42495</v>
      </c>
      <c r="B37" t="s">
        <v>30</v>
      </c>
      <c r="C37">
        <v>203</v>
      </c>
      <c r="D37">
        <v>5</v>
      </c>
      <c r="E37">
        <v>1</v>
      </c>
      <c r="F37" t="s">
        <v>42</v>
      </c>
      <c r="G37" t="s">
        <v>32</v>
      </c>
      <c r="H37" t="s">
        <v>33</v>
      </c>
      <c r="I37" t="s">
        <v>65</v>
      </c>
      <c r="J37" t="s">
        <v>35</v>
      </c>
      <c r="K37" t="s">
        <v>36</v>
      </c>
      <c r="L37" t="s">
        <v>45</v>
      </c>
      <c r="M37">
        <v>0</v>
      </c>
      <c r="N37">
        <v>1</v>
      </c>
      <c r="O37" s="5"/>
      <c r="P37" s="5">
        <v>26642</v>
      </c>
      <c r="Q37">
        <f>249-90</f>
        <v>159</v>
      </c>
      <c r="R37" t="s">
        <v>46</v>
      </c>
      <c r="S37" t="s">
        <v>39</v>
      </c>
      <c r="Z37" t="s">
        <v>39</v>
      </c>
      <c r="AB37" t="s">
        <v>60</v>
      </c>
      <c r="AC37" t="s">
        <v>41</v>
      </c>
    </row>
    <row r="38" spans="1:29" x14ac:dyDescent="0.35">
      <c r="A38" s="4">
        <v>42495</v>
      </c>
      <c r="B38" t="s">
        <v>30</v>
      </c>
      <c r="C38">
        <v>202</v>
      </c>
      <c r="D38">
        <v>6</v>
      </c>
      <c r="E38">
        <v>1</v>
      </c>
      <c r="F38" t="s">
        <v>31</v>
      </c>
      <c r="G38" t="s">
        <v>32</v>
      </c>
      <c r="H38" t="s">
        <v>33</v>
      </c>
      <c r="I38" t="s">
        <v>55</v>
      </c>
      <c r="J38" t="s">
        <v>66</v>
      </c>
      <c r="O38" s="5"/>
      <c r="P38" s="5"/>
      <c r="Z38" t="s">
        <v>39</v>
      </c>
    </row>
    <row r="39" spans="1:29" x14ac:dyDescent="0.35">
      <c r="A39" s="4">
        <v>42495</v>
      </c>
      <c r="B39" t="s">
        <v>30</v>
      </c>
      <c r="C39">
        <v>201</v>
      </c>
      <c r="D39">
        <v>6</v>
      </c>
      <c r="E39">
        <v>1</v>
      </c>
      <c r="F39" t="s">
        <v>31</v>
      </c>
      <c r="G39" t="s">
        <v>32</v>
      </c>
      <c r="H39" t="s">
        <v>33</v>
      </c>
      <c r="I39" t="s">
        <v>59</v>
      </c>
      <c r="O39" s="5"/>
      <c r="P39" s="5"/>
      <c r="Z39" t="s">
        <v>39</v>
      </c>
    </row>
    <row r="40" spans="1:29" x14ac:dyDescent="0.35">
      <c r="A40" s="4">
        <v>42495</v>
      </c>
      <c r="B40" t="s">
        <v>30</v>
      </c>
      <c r="C40">
        <v>304</v>
      </c>
      <c r="D40">
        <v>1</v>
      </c>
      <c r="E40">
        <v>1</v>
      </c>
      <c r="F40" t="s">
        <v>31</v>
      </c>
      <c r="G40" t="s">
        <v>32</v>
      </c>
      <c r="H40" t="s">
        <v>33</v>
      </c>
      <c r="I40" t="s">
        <v>59</v>
      </c>
      <c r="O40" s="5"/>
      <c r="P40" s="5"/>
      <c r="Z40" t="s">
        <v>39</v>
      </c>
    </row>
    <row r="41" spans="1:29" x14ac:dyDescent="0.35">
      <c r="A41" s="4">
        <v>42495</v>
      </c>
      <c r="B41" t="s">
        <v>30</v>
      </c>
      <c r="C41">
        <v>201</v>
      </c>
      <c r="D41">
        <v>1</v>
      </c>
      <c r="E41">
        <v>1</v>
      </c>
      <c r="F41" t="s">
        <v>42</v>
      </c>
      <c r="G41" t="s">
        <v>32</v>
      </c>
      <c r="H41" t="s">
        <v>33</v>
      </c>
      <c r="I41" t="s">
        <v>59</v>
      </c>
      <c r="O41" s="5"/>
      <c r="P41" s="5"/>
      <c r="Z41" t="s">
        <v>39</v>
      </c>
      <c r="AB41" t="s">
        <v>60</v>
      </c>
      <c r="AC41" t="s">
        <v>41</v>
      </c>
    </row>
    <row r="42" spans="1:29" x14ac:dyDescent="0.35">
      <c r="A42" s="4">
        <v>42495</v>
      </c>
      <c r="B42" t="s">
        <v>30</v>
      </c>
      <c r="C42">
        <v>201</v>
      </c>
      <c r="D42">
        <v>1</v>
      </c>
      <c r="E42">
        <v>2</v>
      </c>
      <c r="F42" t="s">
        <v>42</v>
      </c>
      <c r="G42" t="s">
        <v>32</v>
      </c>
      <c r="H42" t="s">
        <v>33</v>
      </c>
      <c r="I42" t="s">
        <v>59</v>
      </c>
      <c r="O42" s="5"/>
      <c r="P42" s="5"/>
      <c r="Z42" t="s">
        <v>39</v>
      </c>
      <c r="AB42" t="s">
        <v>60</v>
      </c>
      <c r="AC42" t="s">
        <v>41</v>
      </c>
    </row>
    <row r="43" spans="1:29" x14ac:dyDescent="0.35">
      <c r="A43" s="4">
        <v>42495</v>
      </c>
      <c r="B43" t="s">
        <v>30</v>
      </c>
      <c r="C43">
        <v>202</v>
      </c>
      <c r="D43">
        <v>4</v>
      </c>
      <c r="E43">
        <v>1</v>
      </c>
      <c r="F43" t="s">
        <v>42</v>
      </c>
      <c r="G43" t="s">
        <v>32</v>
      </c>
      <c r="H43" t="s">
        <v>33</v>
      </c>
      <c r="I43" t="s">
        <v>59</v>
      </c>
      <c r="O43" s="5"/>
      <c r="P43" s="5"/>
      <c r="Z43" t="s">
        <v>39</v>
      </c>
      <c r="AB43" t="s">
        <v>60</v>
      </c>
      <c r="AC43" t="s">
        <v>41</v>
      </c>
    </row>
    <row r="44" spans="1:29" x14ac:dyDescent="0.35">
      <c r="A44" s="4">
        <v>42495</v>
      </c>
      <c r="B44" t="s">
        <v>30</v>
      </c>
      <c r="C44">
        <v>304</v>
      </c>
      <c r="D44">
        <v>7</v>
      </c>
      <c r="E44">
        <v>1</v>
      </c>
      <c r="F44" t="s">
        <v>42</v>
      </c>
      <c r="G44" t="s">
        <v>32</v>
      </c>
      <c r="H44" t="s">
        <v>33</v>
      </c>
      <c r="I44" t="s">
        <v>59</v>
      </c>
      <c r="O44" s="5"/>
      <c r="P44" s="5"/>
      <c r="Z44" t="s">
        <v>39</v>
      </c>
    </row>
    <row r="45" spans="1:29" x14ac:dyDescent="0.35">
      <c r="A45" s="4">
        <v>42495</v>
      </c>
      <c r="B45" t="s">
        <v>30</v>
      </c>
      <c r="C45">
        <v>304</v>
      </c>
      <c r="D45">
        <v>9</v>
      </c>
      <c r="E45">
        <v>1</v>
      </c>
      <c r="F45" t="s">
        <v>42</v>
      </c>
      <c r="G45" t="s">
        <v>32</v>
      </c>
      <c r="H45" t="s">
        <v>33</v>
      </c>
      <c r="I45" t="s">
        <v>59</v>
      </c>
      <c r="O45" s="5"/>
      <c r="P45" s="5"/>
      <c r="Z45" t="s">
        <v>39</v>
      </c>
    </row>
    <row r="46" spans="1:29" x14ac:dyDescent="0.35">
      <c r="A46" s="4">
        <v>42500</v>
      </c>
      <c r="B46" t="s">
        <v>30</v>
      </c>
      <c r="C46">
        <v>501</v>
      </c>
      <c r="D46">
        <v>4</v>
      </c>
      <c r="E46">
        <v>1</v>
      </c>
      <c r="F46" t="s">
        <v>42</v>
      </c>
      <c r="G46" t="s">
        <v>32</v>
      </c>
      <c r="H46" t="s">
        <v>33</v>
      </c>
      <c r="I46" t="s">
        <v>43</v>
      </c>
      <c r="J46" t="s">
        <v>35</v>
      </c>
      <c r="K46" t="s">
        <v>36</v>
      </c>
      <c r="L46" t="s">
        <v>37</v>
      </c>
      <c r="M46">
        <v>0</v>
      </c>
      <c r="N46">
        <v>1</v>
      </c>
      <c r="O46" s="5">
        <v>26604</v>
      </c>
      <c r="P46" s="5">
        <v>26603</v>
      </c>
      <c r="Q46">
        <f>29-7.5</f>
        <v>21.5</v>
      </c>
      <c r="R46" t="s">
        <v>64</v>
      </c>
      <c r="S46" t="s">
        <v>39</v>
      </c>
      <c r="T46">
        <v>19</v>
      </c>
      <c r="U46">
        <v>92</v>
      </c>
      <c r="V46">
        <v>14</v>
      </c>
      <c r="Z46" t="s">
        <v>39</v>
      </c>
      <c r="AB46" t="s">
        <v>47</v>
      </c>
      <c r="AC46" t="s">
        <v>41</v>
      </c>
    </row>
    <row r="47" spans="1:29" x14ac:dyDescent="0.35">
      <c r="A47" s="4">
        <v>42500</v>
      </c>
      <c r="B47" t="s">
        <v>30</v>
      </c>
      <c r="C47">
        <v>803</v>
      </c>
      <c r="D47">
        <v>2</v>
      </c>
      <c r="E47">
        <v>1</v>
      </c>
      <c r="F47" t="s">
        <v>31</v>
      </c>
      <c r="G47" t="s">
        <v>32</v>
      </c>
      <c r="H47" t="s">
        <v>33</v>
      </c>
      <c r="I47" t="s">
        <v>43</v>
      </c>
      <c r="J47" t="s">
        <v>48</v>
      </c>
      <c r="K47" t="s">
        <v>36</v>
      </c>
      <c r="L47" t="s">
        <v>45</v>
      </c>
      <c r="M47">
        <v>1</v>
      </c>
      <c r="N47">
        <v>1</v>
      </c>
      <c r="O47" s="5">
        <v>50330</v>
      </c>
      <c r="P47" s="5" t="s">
        <v>67</v>
      </c>
      <c r="Q47">
        <f>34-11</f>
        <v>23</v>
      </c>
      <c r="R47" t="s">
        <v>61</v>
      </c>
      <c r="S47" t="s">
        <v>39</v>
      </c>
      <c r="T47">
        <v>20</v>
      </c>
      <c r="U47">
        <v>74</v>
      </c>
      <c r="V47">
        <v>13</v>
      </c>
      <c r="Z47" t="s">
        <v>39</v>
      </c>
      <c r="AB47" t="s">
        <v>40</v>
      </c>
      <c r="AC47" t="s">
        <v>68</v>
      </c>
    </row>
    <row r="48" spans="1:29" x14ac:dyDescent="0.35">
      <c r="A48" s="4">
        <v>42500</v>
      </c>
      <c r="B48" t="s">
        <v>30</v>
      </c>
      <c r="C48">
        <v>501</v>
      </c>
      <c r="D48">
        <v>8</v>
      </c>
      <c r="E48">
        <v>1</v>
      </c>
      <c r="F48" t="s">
        <v>42</v>
      </c>
      <c r="G48" t="s">
        <v>32</v>
      </c>
      <c r="H48" t="s">
        <v>33</v>
      </c>
      <c r="I48" t="s">
        <v>58</v>
      </c>
      <c r="J48" t="s">
        <v>35</v>
      </c>
      <c r="K48" t="s">
        <v>36</v>
      </c>
      <c r="L48" t="s">
        <v>37</v>
      </c>
      <c r="M48">
        <v>0</v>
      </c>
      <c r="N48">
        <v>1</v>
      </c>
      <c r="O48" s="5">
        <v>26605</v>
      </c>
      <c r="P48" s="5"/>
      <c r="Q48">
        <v>23.5</v>
      </c>
      <c r="R48" t="s">
        <v>64</v>
      </c>
      <c r="S48" t="s">
        <v>39</v>
      </c>
      <c r="Z48" t="s">
        <v>39</v>
      </c>
      <c r="AB48" t="s">
        <v>47</v>
      </c>
      <c r="AC48" t="s">
        <v>41</v>
      </c>
    </row>
    <row r="49" spans="1:29" x14ac:dyDescent="0.35">
      <c r="A49" s="4">
        <v>42500</v>
      </c>
      <c r="B49" t="s">
        <v>30</v>
      </c>
      <c r="C49">
        <v>503</v>
      </c>
      <c r="D49">
        <v>10</v>
      </c>
      <c r="E49">
        <v>1</v>
      </c>
      <c r="F49" t="s">
        <v>42</v>
      </c>
      <c r="G49" t="s">
        <v>32</v>
      </c>
      <c r="H49" t="s">
        <v>33</v>
      </c>
      <c r="I49" t="s">
        <v>58</v>
      </c>
      <c r="J49" t="s">
        <v>44</v>
      </c>
      <c r="K49" t="s">
        <v>36</v>
      </c>
      <c r="L49" t="s">
        <v>37</v>
      </c>
      <c r="M49">
        <v>0</v>
      </c>
      <c r="N49">
        <v>1</v>
      </c>
      <c r="O49" s="5" t="s">
        <v>69</v>
      </c>
      <c r="P49" s="5"/>
      <c r="Q49">
        <v>30</v>
      </c>
      <c r="R49" t="s">
        <v>64</v>
      </c>
      <c r="S49" t="s">
        <v>39</v>
      </c>
      <c r="Z49" t="s">
        <v>39</v>
      </c>
      <c r="AB49" t="s">
        <v>47</v>
      </c>
      <c r="AC49" t="s">
        <v>41</v>
      </c>
    </row>
    <row r="50" spans="1:29" x14ac:dyDescent="0.35">
      <c r="A50" s="4">
        <v>42500</v>
      </c>
      <c r="B50" t="s">
        <v>30</v>
      </c>
      <c r="C50">
        <v>701</v>
      </c>
      <c r="D50">
        <v>4</v>
      </c>
      <c r="E50">
        <v>1</v>
      </c>
      <c r="F50" t="s">
        <v>31</v>
      </c>
      <c r="G50" t="s">
        <v>32</v>
      </c>
      <c r="H50" t="s">
        <v>33</v>
      </c>
      <c r="I50" t="s">
        <v>55</v>
      </c>
      <c r="J50" t="s">
        <v>66</v>
      </c>
      <c r="O50" s="5"/>
      <c r="P50" s="5"/>
      <c r="Z50" t="s">
        <v>39</v>
      </c>
    </row>
    <row r="51" spans="1:29" x14ac:dyDescent="0.35">
      <c r="A51" s="4">
        <v>42500</v>
      </c>
      <c r="B51" t="s">
        <v>30</v>
      </c>
      <c r="C51">
        <v>701</v>
      </c>
      <c r="D51">
        <v>6</v>
      </c>
      <c r="E51">
        <v>1</v>
      </c>
      <c r="F51" t="s">
        <v>31</v>
      </c>
      <c r="G51" t="s">
        <v>32</v>
      </c>
      <c r="H51" t="s">
        <v>33</v>
      </c>
      <c r="I51" t="s">
        <v>55</v>
      </c>
      <c r="J51" t="s">
        <v>66</v>
      </c>
      <c r="O51" s="5"/>
      <c r="P51" s="5"/>
      <c r="Z51" t="s">
        <v>39</v>
      </c>
    </row>
    <row r="52" spans="1:29" x14ac:dyDescent="0.35">
      <c r="A52" s="4">
        <v>42500</v>
      </c>
      <c r="B52" t="s">
        <v>30</v>
      </c>
      <c r="C52">
        <v>503</v>
      </c>
      <c r="D52">
        <v>7</v>
      </c>
      <c r="E52">
        <v>1</v>
      </c>
      <c r="F52" t="s">
        <v>42</v>
      </c>
      <c r="G52" t="s">
        <v>32</v>
      </c>
      <c r="H52" t="s">
        <v>33</v>
      </c>
      <c r="I52" t="s">
        <v>59</v>
      </c>
      <c r="O52" s="5"/>
      <c r="P52" s="5"/>
      <c r="Z52" t="s">
        <v>39</v>
      </c>
    </row>
    <row r="53" spans="1:29" x14ac:dyDescent="0.35">
      <c r="A53" s="4">
        <v>42500</v>
      </c>
      <c r="B53" t="s">
        <v>30</v>
      </c>
      <c r="C53">
        <v>503</v>
      </c>
      <c r="D53">
        <v>7</v>
      </c>
      <c r="E53">
        <v>2</v>
      </c>
      <c r="F53" t="s">
        <v>42</v>
      </c>
      <c r="G53" t="s">
        <v>32</v>
      </c>
      <c r="H53" t="s">
        <v>33</v>
      </c>
      <c r="I53" t="s">
        <v>59</v>
      </c>
      <c r="O53" s="5"/>
      <c r="P53" s="5"/>
      <c r="Z53" t="s">
        <v>39</v>
      </c>
    </row>
    <row r="54" spans="1:29" x14ac:dyDescent="0.35">
      <c r="A54" s="4">
        <v>42500</v>
      </c>
      <c r="B54" t="s">
        <v>30</v>
      </c>
      <c r="C54">
        <v>401</v>
      </c>
      <c r="D54">
        <v>6</v>
      </c>
      <c r="E54">
        <v>1</v>
      </c>
      <c r="F54" t="s">
        <v>42</v>
      </c>
      <c r="G54" t="s">
        <v>32</v>
      </c>
      <c r="H54" t="s">
        <v>33</v>
      </c>
      <c r="I54" t="s">
        <v>59</v>
      </c>
      <c r="O54" s="5"/>
      <c r="P54" s="5"/>
      <c r="Z54" t="s">
        <v>39</v>
      </c>
    </row>
    <row r="55" spans="1:29" x14ac:dyDescent="0.35">
      <c r="A55" s="4">
        <v>42500</v>
      </c>
      <c r="B55" t="s">
        <v>30</v>
      </c>
      <c r="C55">
        <v>401</v>
      </c>
      <c r="D55">
        <v>7</v>
      </c>
      <c r="E55">
        <v>1</v>
      </c>
      <c r="F55" t="s">
        <v>42</v>
      </c>
      <c r="G55" t="s">
        <v>32</v>
      </c>
      <c r="H55" t="s">
        <v>33</v>
      </c>
      <c r="I55" t="s">
        <v>59</v>
      </c>
      <c r="O55" s="5"/>
      <c r="P55" s="5"/>
      <c r="Z55" t="s">
        <v>39</v>
      </c>
    </row>
    <row r="56" spans="1:29" x14ac:dyDescent="0.35">
      <c r="A56" s="4">
        <v>42500</v>
      </c>
      <c r="B56" t="s">
        <v>30</v>
      </c>
      <c r="C56">
        <v>803</v>
      </c>
      <c r="D56">
        <v>3</v>
      </c>
      <c r="E56">
        <v>1</v>
      </c>
      <c r="F56" t="s">
        <v>31</v>
      </c>
      <c r="G56" t="s">
        <v>32</v>
      </c>
      <c r="H56" t="s">
        <v>33</v>
      </c>
      <c r="I56" t="s">
        <v>59</v>
      </c>
      <c r="O56" s="5"/>
      <c r="P56" s="5"/>
      <c r="Z56" t="s">
        <v>39</v>
      </c>
    </row>
    <row r="57" spans="1:29" x14ac:dyDescent="0.35">
      <c r="A57" s="4">
        <v>42501</v>
      </c>
      <c r="B57" t="s">
        <v>30</v>
      </c>
      <c r="C57">
        <v>501</v>
      </c>
      <c r="D57">
        <v>5</v>
      </c>
      <c r="E57">
        <v>1</v>
      </c>
      <c r="F57" t="s">
        <v>42</v>
      </c>
      <c r="G57" t="s">
        <v>32</v>
      </c>
      <c r="H57" t="s">
        <v>33</v>
      </c>
      <c r="I57" t="s">
        <v>43</v>
      </c>
      <c r="J57" t="s">
        <v>44</v>
      </c>
      <c r="K57" t="s">
        <v>36</v>
      </c>
      <c r="L57" t="s">
        <v>37</v>
      </c>
      <c r="M57">
        <v>0</v>
      </c>
      <c r="N57">
        <v>0</v>
      </c>
      <c r="O57" s="5">
        <v>26604</v>
      </c>
      <c r="P57" s="5">
        <v>26603</v>
      </c>
      <c r="Q57">
        <f>28.5-7.5</f>
        <v>21</v>
      </c>
      <c r="R57" t="s">
        <v>64</v>
      </c>
      <c r="S57" t="s">
        <v>39</v>
      </c>
      <c r="T57">
        <v>19</v>
      </c>
      <c r="U57">
        <v>94</v>
      </c>
      <c r="V57">
        <v>17</v>
      </c>
      <c r="Z57" t="s">
        <v>39</v>
      </c>
      <c r="AB57" t="s">
        <v>40</v>
      </c>
      <c r="AC57" t="s">
        <v>41</v>
      </c>
    </row>
    <row r="58" spans="1:29" x14ac:dyDescent="0.35">
      <c r="A58" s="4">
        <v>42501</v>
      </c>
      <c r="B58" t="s">
        <v>30</v>
      </c>
      <c r="C58">
        <v>501</v>
      </c>
      <c r="D58">
        <v>9</v>
      </c>
      <c r="E58">
        <v>1</v>
      </c>
      <c r="F58" t="s">
        <v>42</v>
      </c>
      <c r="G58" t="s">
        <v>32</v>
      </c>
      <c r="H58" t="s">
        <v>33</v>
      </c>
      <c r="I58" t="s">
        <v>43</v>
      </c>
      <c r="J58" t="s">
        <v>35</v>
      </c>
      <c r="K58" t="s">
        <v>36</v>
      </c>
      <c r="L58" t="s">
        <v>37</v>
      </c>
      <c r="M58">
        <v>0</v>
      </c>
      <c r="N58">
        <v>1</v>
      </c>
      <c r="O58" s="5">
        <v>26639</v>
      </c>
      <c r="P58" s="5">
        <v>26638</v>
      </c>
      <c r="Q58">
        <f>33-8.5</f>
        <v>24.5</v>
      </c>
      <c r="R58" t="s">
        <v>64</v>
      </c>
      <c r="S58" t="s">
        <v>39</v>
      </c>
      <c r="T58">
        <v>18</v>
      </c>
      <c r="U58">
        <v>83</v>
      </c>
      <c r="V58">
        <v>18</v>
      </c>
      <c r="Z58" t="s">
        <v>39</v>
      </c>
      <c r="AB58" t="s">
        <v>47</v>
      </c>
      <c r="AC58" t="s">
        <v>41</v>
      </c>
    </row>
    <row r="59" spans="1:29" x14ac:dyDescent="0.35">
      <c r="A59" s="4">
        <v>42501</v>
      </c>
      <c r="B59" t="s">
        <v>30</v>
      </c>
      <c r="C59">
        <v>803</v>
      </c>
      <c r="D59">
        <v>5</v>
      </c>
      <c r="E59">
        <v>1</v>
      </c>
      <c r="F59" t="s">
        <v>31</v>
      </c>
      <c r="G59" t="s">
        <v>32</v>
      </c>
      <c r="H59" t="s">
        <v>33</v>
      </c>
      <c r="I59" t="s">
        <v>43</v>
      </c>
      <c r="J59" t="s">
        <v>44</v>
      </c>
      <c r="K59" t="s">
        <v>36</v>
      </c>
      <c r="L59" t="s">
        <v>45</v>
      </c>
      <c r="M59">
        <v>0</v>
      </c>
      <c r="N59">
        <v>0</v>
      </c>
      <c r="O59" s="5">
        <v>50330</v>
      </c>
      <c r="P59" s="5" t="s">
        <v>67</v>
      </c>
      <c r="Q59">
        <f>31.5-9</f>
        <v>22.5</v>
      </c>
      <c r="R59" t="s">
        <v>61</v>
      </c>
      <c r="S59" t="s">
        <v>39</v>
      </c>
      <c r="T59">
        <v>20</v>
      </c>
      <c r="U59">
        <v>76</v>
      </c>
      <c r="V59">
        <v>13</v>
      </c>
      <c r="Z59" t="s">
        <v>39</v>
      </c>
      <c r="AB59" t="s">
        <v>40</v>
      </c>
      <c r="AC59" t="s">
        <v>41</v>
      </c>
    </row>
    <row r="60" spans="1:29" x14ac:dyDescent="0.35">
      <c r="A60" s="4">
        <v>42501</v>
      </c>
      <c r="B60" t="s">
        <v>30</v>
      </c>
      <c r="C60">
        <v>703</v>
      </c>
      <c r="D60">
        <v>9</v>
      </c>
      <c r="E60">
        <v>1</v>
      </c>
      <c r="F60" t="s">
        <v>31</v>
      </c>
      <c r="G60" t="s">
        <v>32</v>
      </c>
      <c r="H60" t="s">
        <v>33</v>
      </c>
      <c r="I60" t="s">
        <v>43</v>
      </c>
      <c r="J60" t="s">
        <v>35</v>
      </c>
      <c r="K60" t="s">
        <v>36</v>
      </c>
      <c r="L60" t="s">
        <v>45</v>
      </c>
      <c r="M60">
        <v>0</v>
      </c>
      <c r="N60">
        <v>1</v>
      </c>
      <c r="O60" s="5">
        <v>50395</v>
      </c>
      <c r="P60" s="5">
        <v>50394</v>
      </c>
      <c r="Q60">
        <f>30-8</f>
        <v>22</v>
      </c>
      <c r="R60" t="s">
        <v>61</v>
      </c>
      <c r="S60" t="s">
        <v>39</v>
      </c>
      <c r="T60">
        <v>19</v>
      </c>
      <c r="U60">
        <v>85</v>
      </c>
      <c r="V60">
        <v>11</v>
      </c>
      <c r="Z60" t="s">
        <v>39</v>
      </c>
      <c r="AB60" t="s">
        <v>47</v>
      </c>
      <c r="AC60" t="s">
        <v>41</v>
      </c>
    </row>
    <row r="61" spans="1:29" x14ac:dyDescent="0.35">
      <c r="A61" s="4">
        <v>42501</v>
      </c>
      <c r="B61" t="s">
        <v>30</v>
      </c>
      <c r="C61">
        <v>703</v>
      </c>
      <c r="D61">
        <v>2</v>
      </c>
      <c r="E61">
        <v>1</v>
      </c>
      <c r="F61" t="s">
        <v>31</v>
      </c>
      <c r="G61" t="s">
        <v>32</v>
      </c>
      <c r="H61" t="s">
        <v>33</v>
      </c>
      <c r="I61" t="s">
        <v>43</v>
      </c>
      <c r="J61" t="s">
        <v>44</v>
      </c>
      <c r="K61" t="s">
        <v>36</v>
      </c>
      <c r="L61" t="s">
        <v>45</v>
      </c>
      <c r="M61">
        <v>0</v>
      </c>
      <c r="N61">
        <v>0</v>
      </c>
      <c r="O61" s="5" t="s">
        <v>70</v>
      </c>
      <c r="P61" s="5" t="s">
        <v>71</v>
      </c>
      <c r="Q61">
        <f>35-9</f>
        <v>26</v>
      </c>
      <c r="R61" t="s">
        <v>61</v>
      </c>
      <c r="S61" t="s">
        <v>39</v>
      </c>
      <c r="T61">
        <v>21</v>
      </c>
      <c r="U61">
        <v>86</v>
      </c>
      <c r="V61">
        <v>12</v>
      </c>
      <c r="Z61" t="s">
        <v>39</v>
      </c>
      <c r="AB61" t="s">
        <v>47</v>
      </c>
      <c r="AC61" t="s">
        <v>41</v>
      </c>
    </row>
    <row r="62" spans="1:29" x14ac:dyDescent="0.35">
      <c r="A62" s="4">
        <v>42501</v>
      </c>
      <c r="B62" t="s">
        <v>30</v>
      </c>
      <c r="C62">
        <v>801</v>
      </c>
      <c r="D62">
        <v>3</v>
      </c>
      <c r="E62">
        <v>1</v>
      </c>
      <c r="F62" t="s">
        <v>31</v>
      </c>
      <c r="G62" t="s">
        <v>32</v>
      </c>
      <c r="H62" t="s">
        <v>33</v>
      </c>
      <c r="I62" t="s">
        <v>34</v>
      </c>
      <c r="J62" t="s">
        <v>35</v>
      </c>
      <c r="K62" t="s">
        <v>36</v>
      </c>
      <c r="L62" t="s">
        <v>37</v>
      </c>
      <c r="M62">
        <v>0</v>
      </c>
      <c r="N62">
        <v>1</v>
      </c>
      <c r="O62" s="5"/>
      <c r="P62" s="5">
        <v>50392</v>
      </c>
      <c r="Q62">
        <f>140-46</f>
        <v>94</v>
      </c>
      <c r="R62" t="s">
        <v>38</v>
      </c>
      <c r="S62" t="s">
        <v>39</v>
      </c>
      <c r="Z62" t="s">
        <v>39</v>
      </c>
      <c r="AB62" t="s">
        <v>47</v>
      </c>
      <c r="AC62" t="s">
        <v>41</v>
      </c>
    </row>
    <row r="63" spans="1:29" x14ac:dyDescent="0.35">
      <c r="A63" s="4">
        <v>42501</v>
      </c>
      <c r="B63" t="s">
        <v>30</v>
      </c>
      <c r="C63">
        <v>503</v>
      </c>
      <c r="D63">
        <v>10</v>
      </c>
      <c r="E63">
        <v>1</v>
      </c>
      <c r="F63" t="s">
        <v>42</v>
      </c>
      <c r="G63" t="s">
        <v>32</v>
      </c>
      <c r="H63" t="s">
        <v>33</v>
      </c>
      <c r="I63" t="s">
        <v>58</v>
      </c>
      <c r="J63" t="s">
        <v>35</v>
      </c>
      <c r="K63" t="s">
        <v>36</v>
      </c>
      <c r="L63" t="s">
        <v>45</v>
      </c>
      <c r="M63">
        <v>0</v>
      </c>
      <c r="N63">
        <v>1</v>
      </c>
      <c r="O63" s="5">
        <v>26637</v>
      </c>
      <c r="P63" s="5"/>
      <c r="Q63">
        <v>26</v>
      </c>
      <c r="R63" t="s">
        <v>46</v>
      </c>
      <c r="S63" t="s">
        <v>39</v>
      </c>
      <c r="Z63" t="s">
        <v>39</v>
      </c>
    </row>
    <row r="64" spans="1:29" x14ac:dyDescent="0.35">
      <c r="A64" s="4">
        <v>42501</v>
      </c>
      <c r="B64" t="s">
        <v>30</v>
      </c>
      <c r="C64">
        <v>503</v>
      </c>
      <c r="D64">
        <v>8</v>
      </c>
      <c r="E64">
        <v>1</v>
      </c>
      <c r="F64" t="s">
        <v>42</v>
      </c>
      <c r="G64" t="s">
        <v>32</v>
      </c>
      <c r="H64" t="s">
        <v>33</v>
      </c>
      <c r="I64" t="s">
        <v>58</v>
      </c>
      <c r="J64" t="s">
        <v>44</v>
      </c>
      <c r="K64" t="s">
        <v>36</v>
      </c>
      <c r="L64" t="s">
        <v>37</v>
      </c>
      <c r="M64">
        <v>0</v>
      </c>
      <c r="N64">
        <v>0</v>
      </c>
      <c r="O64" s="5" t="s">
        <v>69</v>
      </c>
      <c r="P64" s="5"/>
      <c r="Q64">
        <f>39.5-11</f>
        <v>28.5</v>
      </c>
      <c r="R64" t="s">
        <v>64</v>
      </c>
      <c r="S64" t="s">
        <v>39</v>
      </c>
      <c r="Z64" t="s">
        <v>39</v>
      </c>
    </row>
    <row r="65" spans="1:29" x14ac:dyDescent="0.35">
      <c r="A65" s="4">
        <v>42501</v>
      </c>
      <c r="B65" t="s">
        <v>30</v>
      </c>
      <c r="C65">
        <v>503</v>
      </c>
      <c r="D65">
        <v>10</v>
      </c>
      <c r="E65">
        <v>2</v>
      </c>
      <c r="F65" t="s">
        <v>42</v>
      </c>
      <c r="G65" t="s">
        <v>32</v>
      </c>
      <c r="H65" t="s">
        <v>33</v>
      </c>
      <c r="I65" t="s">
        <v>65</v>
      </c>
      <c r="J65" t="s">
        <v>35</v>
      </c>
      <c r="K65" t="s">
        <v>36</v>
      </c>
      <c r="L65" t="s">
        <v>37</v>
      </c>
      <c r="M65">
        <v>0</v>
      </c>
      <c r="N65">
        <v>1</v>
      </c>
      <c r="O65" s="5">
        <v>26636</v>
      </c>
      <c r="P65" s="5"/>
      <c r="R65" t="s">
        <v>38</v>
      </c>
      <c r="Z65" t="s">
        <v>39</v>
      </c>
    </row>
    <row r="66" spans="1:29" x14ac:dyDescent="0.35">
      <c r="A66" s="4">
        <v>42501</v>
      </c>
      <c r="B66" t="s">
        <v>30</v>
      </c>
      <c r="C66">
        <v>303</v>
      </c>
      <c r="D66">
        <v>9</v>
      </c>
      <c r="E66">
        <v>1</v>
      </c>
      <c r="F66" t="s">
        <v>42</v>
      </c>
      <c r="G66" t="s">
        <v>32</v>
      </c>
      <c r="H66" t="s">
        <v>33</v>
      </c>
      <c r="I66" t="s">
        <v>72</v>
      </c>
      <c r="J66" t="s">
        <v>66</v>
      </c>
      <c r="O66" s="5"/>
      <c r="P66" s="5"/>
      <c r="Z66" t="s">
        <v>39</v>
      </c>
    </row>
    <row r="67" spans="1:29" x14ac:dyDescent="0.35">
      <c r="A67" s="4">
        <v>42501</v>
      </c>
      <c r="B67" t="s">
        <v>30</v>
      </c>
      <c r="C67">
        <v>501</v>
      </c>
      <c r="D67">
        <v>3</v>
      </c>
      <c r="E67">
        <v>1</v>
      </c>
      <c r="F67" t="s">
        <v>42</v>
      </c>
      <c r="G67" t="s">
        <v>32</v>
      </c>
      <c r="H67" t="s">
        <v>33</v>
      </c>
      <c r="I67" t="s">
        <v>73</v>
      </c>
      <c r="O67" s="5"/>
      <c r="P67" s="5"/>
      <c r="Z67" t="s">
        <v>39</v>
      </c>
    </row>
    <row r="68" spans="1:29" x14ac:dyDescent="0.35">
      <c r="A68" s="4">
        <v>42501</v>
      </c>
      <c r="B68" t="s">
        <v>30</v>
      </c>
      <c r="C68">
        <v>501</v>
      </c>
      <c r="D68">
        <v>6</v>
      </c>
      <c r="E68">
        <v>1</v>
      </c>
      <c r="F68" t="s">
        <v>42</v>
      </c>
      <c r="G68" t="s">
        <v>32</v>
      </c>
      <c r="H68" t="s">
        <v>33</v>
      </c>
      <c r="I68" t="s">
        <v>59</v>
      </c>
      <c r="O68" s="5"/>
      <c r="P68" s="5"/>
      <c r="Z68" t="s">
        <v>39</v>
      </c>
    </row>
    <row r="69" spans="1:29" x14ac:dyDescent="0.35">
      <c r="A69" s="4">
        <v>42501</v>
      </c>
      <c r="B69" t="s">
        <v>30</v>
      </c>
      <c r="C69">
        <v>501</v>
      </c>
      <c r="D69">
        <v>8</v>
      </c>
      <c r="E69">
        <v>1</v>
      </c>
      <c r="F69" t="s">
        <v>42</v>
      </c>
      <c r="G69" t="s">
        <v>32</v>
      </c>
      <c r="H69" t="s">
        <v>33</v>
      </c>
      <c r="I69" t="s">
        <v>59</v>
      </c>
      <c r="O69" s="5"/>
      <c r="P69" s="5"/>
      <c r="Z69" t="s">
        <v>39</v>
      </c>
    </row>
    <row r="70" spans="1:29" x14ac:dyDescent="0.35">
      <c r="A70" s="4">
        <v>42501</v>
      </c>
      <c r="B70" t="s">
        <v>30</v>
      </c>
      <c r="C70">
        <v>501</v>
      </c>
      <c r="D70">
        <v>8</v>
      </c>
      <c r="E70">
        <v>2</v>
      </c>
      <c r="F70" t="s">
        <v>42</v>
      </c>
      <c r="G70" t="s">
        <v>32</v>
      </c>
      <c r="H70" t="s">
        <v>33</v>
      </c>
      <c r="I70" t="s">
        <v>59</v>
      </c>
      <c r="O70" s="5"/>
      <c r="P70" s="5"/>
      <c r="Z70" t="s">
        <v>39</v>
      </c>
    </row>
    <row r="71" spans="1:29" x14ac:dyDescent="0.35">
      <c r="A71" s="4">
        <v>42501</v>
      </c>
      <c r="B71" t="s">
        <v>30</v>
      </c>
      <c r="C71">
        <v>503</v>
      </c>
      <c r="D71">
        <v>4</v>
      </c>
      <c r="E71">
        <v>1</v>
      </c>
      <c r="F71" t="s">
        <v>42</v>
      </c>
      <c r="G71" t="s">
        <v>32</v>
      </c>
      <c r="H71" t="s">
        <v>33</v>
      </c>
      <c r="I71" t="s">
        <v>59</v>
      </c>
      <c r="O71" s="5"/>
      <c r="P71" s="5"/>
      <c r="Z71" t="s">
        <v>39</v>
      </c>
    </row>
    <row r="72" spans="1:29" x14ac:dyDescent="0.35">
      <c r="A72" s="4">
        <v>42501</v>
      </c>
      <c r="B72" t="s">
        <v>30</v>
      </c>
      <c r="C72">
        <v>303</v>
      </c>
      <c r="D72">
        <v>2</v>
      </c>
      <c r="E72">
        <v>1</v>
      </c>
      <c r="F72" t="s">
        <v>42</v>
      </c>
      <c r="G72" t="s">
        <v>32</v>
      </c>
      <c r="H72" t="s">
        <v>33</v>
      </c>
      <c r="I72" t="s">
        <v>59</v>
      </c>
      <c r="O72" s="5"/>
      <c r="P72" s="5"/>
      <c r="Z72" t="s">
        <v>39</v>
      </c>
    </row>
    <row r="73" spans="1:29" x14ac:dyDescent="0.35">
      <c r="A73" s="4">
        <v>42501</v>
      </c>
      <c r="B73" t="s">
        <v>30</v>
      </c>
      <c r="C73">
        <v>401</v>
      </c>
      <c r="D73">
        <v>4</v>
      </c>
      <c r="E73">
        <v>1</v>
      </c>
      <c r="F73" t="s">
        <v>42</v>
      </c>
      <c r="G73" t="s">
        <v>32</v>
      </c>
      <c r="H73" t="s">
        <v>33</v>
      </c>
      <c r="I73" t="s">
        <v>59</v>
      </c>
      <c r="O73" s="5"/>
      <c r="P73" s="5"/>
      <c r="Z73" t="s">
        <v>39</v>
      </c>
    </row>
    <row r="74" spans="1:29" x14ac:dyDescent="0.35">
      <c r="A74" s="4">
        <v>42501</v>
      </c>
      <c r="B74" t="s">
        <v>30</v>
      </c>
      <c r="C74">
        <v>401</v>
      </c>
      <c r="D74">
        <v>5</v>
      </c>
      <c r="E74">
        <v>1</v>
      </c>
      <c r="F74" t="s">
        <v>42</v>
      </c>
      <c r="G74" t="s">
        <v>32</v>
      </c>
      <c r="H74" t="s">
        <v>33</v>
      </c>
      <c r="I74" t="s">
        <v>59</v>
      </c>
      <c r="O74" s="5"/>
      <c r="P74" s="5"/>
      <c r="Z74" t="s">
        <v>39</v>
      </c>
    </row>
    <row r="75" spans="1:29" x14ac:dyDescent="0.35">
      <c r="A75" s="4">
        <v>42501</v>
      </c>
      <c r="B75" t="s">
        <v>30</v>
      </c>
      <c r="C75">
        <v>701</v>
      </c>
      <c r="D75">
        <v>9</v>
      </c>
      <c r="E75">
        <v>1</v>
      </c>
      <c r="F75" t="s">
        <v>31</v>
      </c>
      <c r="G75" t="s">
        <v>32</v>
      </c>
      <c r="H75" t="s">
        <v>33</v>
      </c>
      <c r="I75" t="s">
        <v>59</v>
      </c>
      <c r="O75" s="5"/>
      <c r="P75" s="5"/>
      <c r="Z75" t="s">
        <v>39</v>
      </c>
    </row>
    <row r="76" spans="1:29" x14ac:dyDescent="0.35">
      <c r="A76" s="4">
        <v>42501</v>
      </c>
      <c r="B76" t="s">
        <v>30</v>
      </c>
      <c r="C76">
        <v>801</v>
      </c>
      <c r="D76">
        <v>8</v>
      </c>
      <c r="E76">
        <v>1</v>
      </c>
      <c r="F76" t="s">
        <v>31</v>
      </c>
      <c r="G76" t="s">
        <v>32</v>
      </c>
      <c r="H76" t="s">
        <v>33</v>
      </c>
      <c r="I76" t="s">
        <v>59</v>
      </c>
      <c r="O76" s="5"/>
      <c r="P76" s="5"/>
      <c r="Z76" t="s">
        <v>39</v>
      </c>
    </row>
    <row r="77" spans="1:29" x14ac:dyDescent="0.35">
      <c r="A77" s="4">
        <v>42502</v>
      </c>
      <c r="B77" t="s">
        <v>30</v>
      </c>
      <c r="C77">
        <v>501</v>
      </c>
      <c r="D77">
        <v>5</v>
      </c>
      <c r="E77">
        <v>1</v>
      </c>
      <c r="F77" t="s">
        <v>42</v>
      </c>
      <c r="G77" t="s">
        <v>32</v>
      </c>
      <c r="H77" t="s">
        <v>33</v>
      </c>
      <c r="I77" t="s">
        <v>43</v>
      </c>
      <c r="J77" t="s">
        <v>44</v>
      </c>
      <c r="K77" t="s">
        <v>36</v>
      </c>
      <c r="L77" t="s">
        <v>37</v>
      </c>
      <c r="M77">
        <v>0</v>
      </c>
      <c r="N77">
        <v>0</v>
      </c>
      <c r="O77" s="5">
        <v>26604</v>
      </c>
      <c r="P77" s="5">
        <v>26603</v>
      </c>
      <c r="Q77">
        <v>21</v>
      </c>
      <c r="R77" t="s">
        <v>64</v>
      </c>
      <c r="S77" t="s">
        <v>39</v>
      </c>
      <c r="T77">
        <v>18</v>
      </c>
      <c r="U77">
        <v>90</v>
      </c>
      <c r="V77">
        <v>20.5</v>
      </c>
      <c r="Z77" t="s">
        <v>39</v>
      </c>
      <c r="AB77" t="s">
        <v>60</v>
      </c>
      <c r="AC77" t="s">
        <v>41</v>
      </c>
    </row>
    <row r="78" spans="1:29" x14ac:dyDescent="0.35">
      <c r="A78" s="4">
        <v>42502</v>
      </c>
      <c r="B78" t="s">
        <v>30</v>
      </c>
      <c r="C78">
        <v>303</v>
      </c>
      <c r="D78">
        <v>1</v>
      </c>
      <c r="E78">
        <v>1</v>
      </c>
      <c r="F78" t="s">
        <v>42</v>
      </c>
      <c r="G78" t="s">
        <v>32</v>
      </c>
      <c r="H78" t="s">
        <v>33</v>
      </c>
      <c r="I78" t="s">
        <v>43</v>
      </c>
      <c r="J78" t="s">
        <v>35</v>
      </c>
      <c r="K78" t="s">
        <v>36</v>
      </c>
      <c r="L78" t="s">
        <v>45</v>
      </c>
      <c r="M78">
        <v>0</v>
      </c>
      <c r="N78">
        <v>1</v>
      </c>
      <c r="O78" s="5">
        <v>26635</v>
      </c>
      <c r="P78" s="5">
        <v>26608</v>
      </c>
      <c r="Q78">
        <f>32-8</f>
        <v>24</v>
      </c>
      <c r="R78" t="s">
        <v>74</v>
      </c>
      <c r="S78" t="s">
        <v>39</v>
      </c>
      <c r="T78">
        <v>19</v>
      </c>
      <c r="U78">
        <v>95</v>
      </c>
      <c r="V78">
        <v>18</v>
      </c>
      <c r="Z78" t="s">
        <v>39</v>
      </c>
      <c r="AB78" t="s">
        <v>60</v>
      </c>
      <c r="AC78" t="s">
        <v>41</v>
      </c>
    </row>
    <row r="79" spans="1:29" x14ac:dyDescent="0.35">
      <c r="A79" s="4">
        <v>42502</v>
      </c>
      <c r="B79" t="s">
        <v>30</v>
      </c>
      <c r="C79">
        <v>501</v>
      </c>
      <c r="D79">
        <v>9</v>
      </c>
      <c r="E79">
        <v>1</v>
      </c>
      <c r="F79" t="s">
        <v>42</v>
      </c>
      <c r="G79" t="s">
        <v>32</v>
      </c>
      <c r="H79" t="s">
        <v>33</v>
      </c>
      <c r="I79" t="s">
        <v>43</v>
      </c>
      <c r="J79" t="s">
        <v>44</v>
      </c>
      <c r="K79" t="s">
        <v>36</v>
      </c>
      <c r="L79" t="s">
        <v>37</v>
      </c>
      <c r="M79">
        <v>0</v>
      </c>
      <c r="N79">
        <v>0</v>
      </c>
      <c r="O79" s="5">
        <v>26639</v>
      </c>
      <c r="P79" s="5">
        <v>26638</v>
      </c>
      <c r="Q79">
        <f>31.5-11.5</f>
        <v>20</v>
      </c>
      <c r="R79" t="s">
        <v>38</v>
      </c>
      <c r="S79" t="s">
        <v>39</v>
      </c>
      <c r="T79">
        <v>20</v>
      </c>
      <c r="U79">
        <v>86</v>
      </c>
      <c r="V79">
        <v>17</v>
      </c>
      <c r="Z79" t="s">
        <v>39</v>
      </c>
      <c r="AB79" t="s">
        <v>60</v>
      </c>
      <c r="AC79" t="s">
        <v>41</v>
      </c>
    </row>
    <row r="80" spans="1:29" x14ac:dyDescent="0.35">
      <c r="A80" s="4">
        <v>42502</v>
      </c>
      <c r="B80" t="s">
        <v>30</v>
      </c>
      <c r="C80">
        <v>803</v>
      </c>
      <c r="D80">
        <v>3</v>
      </c>
      <c r="E80">
        <v>1</v>
      </c>
      <c r="F80" t="s">
        <v>31</v>
      </c>
      <c r="G80" t="s">
        <v>32</v>
      </c>
      <c r="H80" t="s">
        <v>33</v>
      </c>
      <c r="I80" t="s">
        <v>43</v>
      </c>
      <c r="J80" t="s">
        <v>44</v>
      </c>
      <c r="K80" t="s">
        <v>36</v>
      </c>
      <c r="L80" t="s">
        <v>45</v>
      </c>
      <c r="M80">
        <v>0</v>
      </c>
      <c r="N80">
        <v>0</v>
      </c>
      <c r="O80" s="5">
        <v>50330</v>
      </c>
      <c r="P80" s="5" t="s">
        <v>67</v>
      </c>
      <c r="Q80">
        <f>33.5-8.5</f>
        <v>25</v>
      </c>
      <c r="R80" t="s">
        <v>46</v>
      </c>
      <c r="S80" t="s">
        <v>39</v>
      </c>
      <c r="T80">
        <v>20</v>
      </c>
      <c r="U80">
        <v>78</v>
      </c>
      <c r="V80">
        <v>13</v>
      </c>
      <c r="Z80" t="s">
        <v>39</v>
      </c>
    </row>
    <row r="81" spans="1:29" x14ac:dyDescent="0.35">
      <c r="A81" s="4">
        <v>42502</v>
      </c>
      <c r="B81" t="s">
        <v>30</v>
      </c>
      <c r="C81">
        <v>803</v>
      </c>
      <c r="D81">
        <v>7</v>
      </c>
      <c r="E81">
        <v>1</v>
      </c>
      <c r="F81" t="s">
        <v>31</v>
      </c>
      <c r="G81" t="s">
        <v>32</v>
      </c>
      <c r="H81" t="s">
        <v>33</v>
      </c>
      <c r="I81" t="s">
        <v>43</v>
      </c>
      <c r="J81" t="s">
        <v>35</v>
      </c>
      <c r="K81" t="s">
        <v>36</v>
      </c>
      <c r="L81" t="s">
        <v>37</v>
      </c>
      <c r="M81">
        <v>0</v>
      </c>
      <c r="N81">
        <v>1</v>
      </c>
      <c r="O81" s="5">
        <v>50380</v>
      </c>
      <c r="P81" s="5">
        <v>50379</v>
      </c>
      <c r="Q81">
        <f>35-13</f>
        <v>22</v>
      </c>
      <c r="R81" t="s">
        <v>38</v>
      </c>
      <c r="S81" t="s">
        <v>39</v>
      </c>
      <c r="T81">
        <v>19</v>
      </c>
      <c r="U81">
        <v>89</v>
      </c>
      <c r="V81">
        <v>16</v>
      </c>
      <c r="Z81" t="s">
        <v>39</v>
      </c>
    </row>
    <row r="82" spans="1:29" x14ac:dyDescent="0.35">
      <c r="A82" s="4">
        <v>42502</v>
      </c>
      <c r="B82" t="s">
        <v>30</v>
      </c>
      <c r="C82">
        <v>701</v>
      </c>
      <c r="D82">
        <v>1</v>
      </c>
      <c r="E82">
        <v>1</v>
      </c>
      <c r="F82" t="s">
        <v>31</v>
      </c>
      <c r="G82" t="s">
        <v>32</v>
      </c>
      <c r="H82" t="s">
        <v>33</v>
      </c>
      <c r="I82" t="s">
        <v>43</v>
      </c>
      <c r="J82" t="s">
        <v>35</v>
      </c>
      <c r="K82" t="s">
        <v>36</v>
      </c>
      <c r="L82" t="s">
        <v>37</v>
      </c>
      <c r="M82">
        <v>0</v>
      </c>
      <c r="N82">
        <v>1</v>
      </c>
      <c r="O82" s="5">
        <v>50384</v>
      </c>
      <c r="P82" s="5">
        <v>50383</v>
      </c>
      <c r="Q82">
        <f>33.5-12</f>
        <v>21.5</v>
      </c>
      <c r="R82" t="s">
        <v>38</v>
      </c>
      <c r="S82" t="s">
        <v>39</v>
      </c>
      <c r="T82">
        <v>19</v>
      </c>
      <c r="U82">
        <v>85</v>
      </c>
      <c r="V82">
        <v>13</v>
      </c>
      <c r="Z82" t="s">
        <v>39</v>
      </c>
      <c r="AB82" t="s">
        <v>60</v>
      </c>
      <c r="AC82" t="s">
        <v>41</v>
      </c>
    </row>
    <row r="83" spans="1:29" x14ac:dyDescent="0.35">
      <c r="A83" s="4">
        <v>42502</v>
      </c>
      <c r="B83" t="s">
        <v>30</v>
      </c>
      <c r="C83">
        <v>703</v>
      </c>
      <c r="D83">
        <v>9</v>
      </c>
      <c r="E83">
        <v>1</v>
      </c>
      <c r="F83" t="s">
        <v>31</v>
      </c>
      <c r="G83" t="s">
        <v>32</v>
      </c>
      <c r="H83" t="s">
        <v>33</v>
      </c>
      <c r="I83" t="s">
        <v>43</v>
      </c>
      <c r="J83" t="s">
        <v>35</v>
      </c>
      <c r="K83" t="s">
        <v>36</v>
      </c>
      <c r="L83" t="s">
        <v>37</v>
      </c>
      <c r="M83">
        <v>0</v>
      </c>
      <c r="N83">
        <v>1</v>
      </c>
      <c r="O83" s="5">
        <v>50387</v>
      </c>
      <c r="P83" s="5">
        <v>50386</v>
      </c>
      <c r="Q83">
        <v>21</v>
      </c>
      <c r="R83" t="s">
        <v>38</v>
      </c>
      <c r="S83" t="s">
        <v>39</v>
      </c>
      <c r="T83">
        <v>20</v>
      </c>
      <c r="U83">
        <v>79</v>
      </c>
      <c r="V83">
        <v>15</v>
      </c>
      <c r="Z83" t="s">
        <v>39</v>
      </c>
      <c r="AB83" t="s">
        <v>60</v>
      </c>
      <c r="AC83" t="s">
        <v>41</v>
      </c>
    </row>
    <row r="84" spans="1:29" x14ac:dyDescent="0.35">
      <c r="A84" s="4">
        <v>42502</v>
      </c>
      <c r="B84" t="s">
        <v>30</v>
      </c>
      <c r="C84">
        <v>703</v>
      </c>
      <c r="D84">
        <v>8</v>
      </c>
      <c r="E84">
        <v>1</v>
      </c>
      <c r="F84" t="s">
        <v>31</v>
      </c>
      <c r="G84" t="s">
        <v>32</v>
      </c>
      <c r="H84" t="s">
        <v>33</v>
      </c>
      <c r="I84" t="s">
        <v>43</v>
      </c>
      <c r="J84" t="s">
        <v>35</v>
      </c>
      <c r="K84" t="s">
        <v>36</v>
      </c>
      <c r="L84" t="s">
        <v>37</v>
      </c>
      <c r="M84">
        <v>0</v>
      </c>
      <c r="N84">
        <v>1</v>
      </c>
      <c r="O84" s="5">
        <v>50389</v>
      </c>
      <c r="P84" s="5">
        <v>50388</v>
      </c>
      <c r="Q84">
        <f>40-17.5</f>
        <v>22.5</v>
      </c>
      <c r="R84" t="s">
        <v>38</v>
      </c>
      <c r="S84" t="s">
        <v>39</v>
      </c>
      <c r="T84">
        <v>19</v>
      </c>
      <c r="U84">
        <v>88</v>
      </c>
      <c r="V84">
        <v>12</v>
      </c>
      <c r="Z84" t="s">
        <v>39</v>
      </c>
      <c r="AB84" t="s">
        <v>60</v>
      </c>
      <c r="AC84" t="s">
        <v>41</v>
      </c>
    </row>
    <row r="85" spans="1:29" x14ac:dyDescent="0.35">
      <c r="A85" s="4">
        <v>42502</v>
      </c>
      <c r="B85" t="s">
        <v>30</v>
      </c>
      <c r="C85">
        <v>703</v>
      </c>
      <c r="D85">
        <v>10</v>
      </c>
      <c r="E85">
        <v>1</v>
      </c>
      <c r="F85" t="s">
        <v>31</v>
      </c>
      <c r="G85" t="s">
        <v>32</v>
      </c>
      <c r="H85" t="s">
        <v>33</v>
      </c>
      <c r="I85" t="s">
        <v>43</v>
      </c>
      <c r="J85" t="s">
        <v>44</v>
      </c>
      <c r="K85" t="s">
        <v>36</v>
      </c>
      <c r="L85" t="s">
        <v>45</v>
      </c>
      <c r="M85">
        <v>0</v>
      </c>
      <c r="N85">
        <v>0</v>
      </c>
      <c r="O85" s="5">
        <v>50395</v>
      </c>
      <c r="P85" s="5">
        <v>50394</v>
      </c>
      <c r="Q85">
        <f>37-14.5</f>
        <v>22.5</v>
      </c>
      <c r="R85" t="s">
        <v>61</v>
      </c>
      <c r="S85" t="s">
        <v>39</v>
      </c>
      <c r="T85">
        <v>19</v>
      </c>
      <c r="U85">
        <v>88</v>
      </c>
      <c r="V85">
        <v>14</v>
      </c>
      <c r="Z85" t="s">
        <v>39</v>
      </c>
      <c r="AB85" t="s">
        <v>60</v>
      </c>
      <c r="AC85" t="s">
        <v>41</v>
      </c>
    </row>
    <row r="86" spans="1:29" x14ac:dyDescent="0.35">
      <c r="A86" s="4">
        <v>42502</v>
      </c>
      <c r="B86" t="s">
        <v>30</v>
      </c>
      <c r="C86">
        <v>703</v>
      </c>
      <c r="D86">
        <v>1</v>
      </c>
      <c r="E86">
        <v>1</v>
      </c>
      <c r="F86" t="s">
        <v>31</v>
      </c>
      <c r="G86" t="s">
        <v>32</v>
      </c>
      <c r="H86" t="s">
        <v>33</v>
      </c>
      <c r="I86" t="s">
        <v>43</v>
      </c>
      <c r="J86" t="s">
        <v>44</v>
      </c>
      <c r="K86" t="s">
        <v>36</v>
      </c>
      <c r="L86" t="s">
        <v>45</v>
      </c>
      <c r="M86">
        <v>0</v>
      </c>
      <c r="N86">
        <v>0</v>
      </c>
      <c r="O86" s="5" t="s">
        <v>70</v>
      </c>
      <c r="P86" s="5" t="s">
        <v>71</v>
      </c>
      <c r="Q86">
        <f>35.5-12</f>
        <v>23.5</v>
      </c>
      <c r="R86" t="s">
        <v>61</v>
      </c>
      <c r="S86" t="s">
        <v>39</v>
      </c>
      <c r="T86">
        <v>20</v>
      </c>
      <c r="U86">
        <v>88</v>
      </c>
      <c r="V86">
        <v>13</v>
      </c>
      <c r="Z86" t="s">
        <v>39</v>
      </c>
      <c r="AB86" t="s">
        <v>60</v>
      </c>
      <c r="AC86" t="s">
        <v>41</v>
      </c>
    </row>
    <row r="87" spans="1:29" x14ac:dyDescent="0.35">
      <c r="A87" s="4">
        <v>42502</v>
      </c>
      <c r="B87" t="s">
        <v>30</v>
      </c>
      <c r="C87">
        <v>803</v>
      </c>
      <c r="D87">
        <v>9</v>
      </c>
      <c r="E87">
        <v>1</v>
      </c>
      <c r="F87" t="s">
        <v>31</v>
      </c>
      <c r="G87" t="s">
        <v>32</v>
      </c>
      <c r="H87" t="s">
        <v>33</v>
      </c>
      <c r="I87" t="s">
        <v>34</v>
      </c>
      <c r="J87" t="s">
        <v>44</v>
      </c>
      <c r="K87" t="s">
        <v>36</v>
      </c>
      <c r="L87" t="s">
        <v>37</v>
      </c>
      <c r="M87">
        <v>0</v>
      </c>
      <c r="N87">
        <v>0</v>
      </c>
      <c r="O87" s="5">
        <v>50391</v>
      </c>
      <c r="P87" s="5"/>
      <c r="Q87">
        <f>132-48</f>
        <v>84</v>
      </c>
      <c r="R87" t="s">
        <v>38</v>
      </c>
      <c r="S87" t="s">
        <v>39</v>
      </c>
      <c r="Z87" t="s">
        <v>39</v>
      </c>
      <c r="AB87" t="s">
        <v>60</v>
      </c>
      <c r="AC87" t="s">
        <v>41</v>
      </c>
    </row>
    <row r="88" spans="1:29" x14ac:dyDescent="0.35">
      <c r="A88" s="4">
        <v>42502</v>
      </c>
      <c r="B88" t="s">
        <v>30</v>
      </c>
      <c r="C88">
        <v>801</v>
      </c>
      <c r="D88">
        <v>7</v>
      </c>
      <c r="E88">
        <v>1</v>
      </c>
      <c r="F88" t="s">
        <v>31</v>
      </c>
      <c r="G88" t="s">
        <v>32</v>
      </c>
      <c r="H88" t="s">
        <v>33</v>
      </c>
      <c r="I88" t="s">
        <v>34</v>
      </c>
      <c r="J88" t="s">
        <v>44</v>
      </c>
      <c r="K88" t="s">
        <v>36</v>
      </c>
      <c r="L88" t="s">
        <v>37</v>
      </c>
      <c r="M88">
        <v>0</v>
      </c>
      <c r="N88">
        <v>0</v>
      </c>
      <c r="O88" s="5"/>
      <c r="P88" s="5">
        <v>50392</v>
      </c>
      <c r="Q88">
        <f>142-48</f>
        <v>94</v>
      </c>
      <c r="R88" t="s">
        <v>38</v>
      </c>
      <c r="S88" t="s">
        <v>39</v>
      </c>
      <c r="Z88" t="s">
        <v>39</v>
      </c>
      <c r="AB88" t="s">
        <v>60</v>
      </c>
      <c r="AC88" t="s">
        <v>41</v>
      </c>
    </row>
    <row r="89" spans="1:29" x14ac:dyDescent="0.35">
      <c r="A89" s="4">
        <v>42502</v>
      </c>
      <c r="B89" t="s">
        <v>30</v>
      </c>
      <c r="C89">
        <v>701</v>
      </c>
      <c r="D89">
        <v>7</v>
      </c>
      <c r="E89">
        <v>1</v>
      </c>
      <c r="F89" t="s">
        <v>31</v>
      </c>
      <c r="G89" t="s">
        <v>32</v>
      </c>
      <c r="H89" t="s">
        <v>33</v>
      </c>
      <c r="I89" t="s">
        <v>75</v>
      </c>
      <c r="J89" t="s">
        <v>35</v>
      </c>
      <c r="K89" t="s">
        <v>36</v>
      </c>
      <c r="L89" t="s">
        <v>45</v>
      </c>
      <c r="M89">
        <v>0</v>
      </c>
      <c r="N89">
        <v>1</v>
      </c>
      <c r="O89" s="5">
        <v>50382</v>
      </c>
      <c r="P89" s="5">
        <v>50381</v>
      </c>
      <c r="Q89">
        <f>161-50</f>
        <v>111</v>
      </c>
      <c r="R89" t="s">
        <v>46</v>
      </c>
      <c r="S89" t="s">
        <v>39</v>
      </c>
      <c r="Z89" t="s">
        <v>39</v>
      </c>
      <c r="AB89" t="s">
        <v>60</v>
      </c>
      <c r="AC89" t="s">
        <v>41</v>
      </c>
    </row>
    <row r="90" spans="1:29" x14ac:dyDescent="0.35">
      <c r="A90" s="4">
        <v>42502</v>
      </c>
      <c r="B90" t="s">
        <v>30</v>
      </c>
      <c r="C90">
        <v>503</v>
      </c>
      <c r="D90">
        <v>5</v>
      </c>
      <c r="E90">
        <v>1</v>
      </c>
      <c r="F90" t="s">
        <v>42</v>
      </c>
      <c r="G90" t="s">
        <v>32</v>
      </c>
      <c r="H90" t="s">
        <v>33</v>
      </c>
      <c r="I90" t="s">
        <v>58</v>
      </c>
      <c r="J90" t="s">
        <v>35</v>
      </c>
      <c r="K90" t="s">
        <v>36</v>
      </c>
      <c r="L90" t="s">
        <v>37</v>
      </c>
      <c r="M90">
        <v>0</v>
      </c>
      <c r="N90">
        <v>1</v>
      </c>
      <c r="O90" s="5">
        <v>26633</v>
      </c>
      <c r="P90" s="5"/>
      <c r="Q90">
        <f>37.5-9</f>
        <v>28.5</v>
      </c>
      <c r="R90" t="s">
        <v>64</v>
      </c>
      <c r="S90" t="s">
        <v>39</v>
      </c>
      <c r="Z90" t="s">
        <v>39</v>
      </c>
      <c r="AB90" t="s">
        <v>60</v>
      </c>
      <c r="AC90" t="s">
        <v>41</v>
      </c>
    </row>
    <row r="91" spans="1:29" x14ac:dyDescent="0.35">
      <c r="A91" s="4">
        <v>42502</v>
      </c>
      <c r="B91" t="s">
        <v>30</v>
      </c>
      <c r="C91">
        <v>703</v>
      </c>
      <c r="D91">
        <v>9</v>
      </c>
      <c r="E91">
        <v>2</v>
      </c>
      <c r="F91" t="s">
        <v>31</v>
      </c>
      <c r="G91" t="s">
        <v>32</v>
      </c>
      <c r="H91" t="s">
        <v>33</v>
      </c>
      <c r="I91" t="s">
        <v>65</v>
      </c>
      <c r="J91" t="s">
        <v>35</v>
      </c>
      <c r="K91" t="s">
        <v>36</v>
      </c>
      <c r="L91" t="s">
        <v>37</v>
      </c>
      <c r="M91">
        <v>0</v>
      </c>
      <c r="N91">
        <v>1</v>
      </c>
      <c r="O91" s="5">
        <v>50385</v>
      </c>
      <c r="P91" s="5"/>
      <c r="Q91">
        <f>231-50</f>
        <v>181</v>
      </c>
      <c r="R91" t="s">
        <v>38</v>
      </c>
      <c r="S91" t="s">
        <v>39</v>
      </c>
      <c r="Z91" t="s">
        <v>39</v>
      </c>
      <c r="AB91" t="s">
        <v>60</v>
      </c>
      <c r="AC91" t="s">
        <v>41</v>
      </c>
    </row>
    <row r="92" spans="1:29" x14ac:dyDescent="0.35">
      <c r="A92" s="4">
        <v>42502</v>
      </c>
      <c r="B92" t="s">
        <v>30</v>
      </c>
      <c r="C92">
        <v>703</v>
      </c>
      <c r="D92">
        <v>5</v>
      </c>
      <c r="E92">
        <v>1</v>
      </c>
      <c r="F92" t="s">
        <v>31</v>
      </c>
      <c r="G92" t="s">
        <v>32</v>
      </c>
      <c r="H92" t="s">
        <v>33</v>
      </c>
      <c r="I92" t="s">
        <v>65</v>
      </c>
      <c r="J92" t="s">
        <v>35</v>
      </c>
      <c r="K92" t="s">
        <v>36</v>
      </c>
      <c r="L92" t="s">
        <v>45</v>
      </c>
      <c r="M92">
        <v>0</v>
      </c>
      <c r="N92">
        <v>1</v>
      </c>
      <c r="O92" s="5">
        <v>50390</v>
      </c>
      <c r="P92" s="5"/>
      <c r="Q92">
        <f>205-48</f>
        <v>157</v>
      </c>
      <c r="R92" t="s">
        <v>46</v>
      </c>
      <c r="S92" t="s">
        <v>39</v>
      </c>
      <c r="Z92" t="s">
        <v>39</v>
      </c>
      <c r="AB92" t="s">
        <v>60</v>
      </c>
      <c r="AC92" t="s">
        <v>41</v>
      </c>
    </row>
    <row r="93" spans="1:29" x14ac:dyDescent="0.35">
      <c r="A93" s="4">
        <v>42502</v>
      </c>
      <c r="B93" t="s">
        <v>30</v>
      </c>
      <c r="C93">
        <v>503</v>
      </c>
      <c r="D93">
        <v>7</v>
      </c>
      <c r="E93">
        <v>1</v>
      </c>
      <c r="F93" t="s">
        <v>42</v>
      </c>
      <c r="G93" t="s">
        <v>32</v>
      </c>
      <c r="H93" t="s">
        <v>33</v>
      </c>
      <c r="I93" t="s">
        <v>59</v>
      </c>
      <c r="O93" s="5"/>
      <c r="P93" s="5"/>
      <c r="Z93" t="s">
        <v>39</v>
      </c>
      <c r="AB93" t="s">
        <v>60</v>
      </c>
      <c r="AC93" t="s">
        <v>41</v>
      </c>
    </row>
    <row r="94" spans="1:29" x14ac:dyDescent="0.35">
      <c r="A94" s="4">
        <v>42502</v>
      </c>
      <c r="B94" t="s">
        <v>30</v>
      </c>
      <c r="C94">
        <v>503</v>
      </c>
      <c r="D94">
        <v>9</v>
      </c>
      <c r="E94">
        <v>1</v>
      </c>
      <c r="F94" t="s">
        <v>42</v>
      </c>
      <c r="G94" t="s">
        <v>32</v>
      </c>
      <c r="H94" t="s">
        <v>33</v>
      </c>
      <c r="I94" t="s">
        <v>59</v>
      </c>
      <c r="O94" s="5"/>
      <c r="P94" s="5"/>
      <c r="Z94" t="s">
        <v>39</v>
      </c>
      <c r="AB94" t="s">
        <v>60</v>
      </c>
      <c r="AC94" t="s">
        <v>41</v>
      </c>
    </row>
    <row r="95" spans="1:29" x14ac:dyDescent="0.35">
      <c r="A95" s="4">
        <v>42502</v>
      </c>
      <c r="B95" t="s">
        <v>30</v>
      </c>
      <c r="C95">
        <v>401</v>
      </c>
      <c r="D95">
        <v>3</v>
      </c>
      <c r="E95">
        <v>1</v>
      </c>
      <c r="F95" t="s">
        <v>42</v>
      </c>
      <c r="G95" t="s">
        <v>32</v>
      </c>
      <c r="H95" t="s">
        <v>33</v>
      </c>
      <c r="I95" t="s">
        <v>59</v>
      </c>
      <c r="O95" s="5"/>
      <c r="P95" s="5"/>
      <c r="Z95" t="s">
        <v>39</v>
      </c>
    </row>
    <row r="96" spans="1:29" x14ac:dyDescent="0.35">
      <c r="A96" s="4">
        <v>42502</v>
      </c>
      <c r="B96" t="s">
        <v>30</v>
      </c>
      <c r="C96">
        <v>701</v>
      </c>
      <c r="D96">
        <v>3</v>
      </c>
      <c r="E96">
        <v>1</v>
      </c>
      <c r="F96" t="s">
        <v>31</v>
      </c>
      <c r="G96" t="s">
        <v>32</v>
      </c>
      <c r="H96" t="s">
        <v>33</v>
      </c>
      <c r="I96" t="s">
        <v>59</v>
      </c>
      <c r="O96" s="5"/>
      <c r="P96" s="5"/>
      <c r="Z96" t="s">
        <v>39</v>
      </c>
    </row>
    <row r="97" spans="1:29" x14ac:dyDescent="0.35">
      <c r="A97" s="4">
        <v>42502</v>
      </c>
      <c r="B97" t="s">
        <v>30</v>
      </c>
      <c r="C97">
        <v>803</v>
      </c>
      <c r="D97">
        <v>5</v>
      </c>
      <c r="E97">
        <v>1</v>
      </c>
      <c r="F97" t="s">
        <v>31</v>
      </c>
      <c r="G97" t="s">
        <v>32</v>
      </c>
      <c r="H97" t="s">
        <v>33</v>
      </c>
      <c r="I97" t="s">
        <v>59</v>
      </c>
      <c r="O97" s="5"/>
      <c r="P97" s="5"/>
      <c r="Z97" t="s">
        <v>39</v>
      </c>
      <c r="AB97" t="s">
        <v>60</v>
      </c>
      <c r="AC97" t="s">
        <v>41</v>
      </c>
    </row>
    <row r="98" spans="1:29" x14ac:dyDescent="0.35">
      <c r="A98" s="4">
        <v>42507</v>
      </c>
      <c r="B98" t="s">
        <v>30</v>
      </c>
      <c r="C98">
        <v>201</v>
      </c>
      <c r="D98">
        <v>3</v>
      </c>
      <c r="E98">
        <v>1</v>
      </c>
      <c r="F98" t="s">
        <v>31</v>
      </c>
      <c r="G98" t="s">
        <v>32</v>
      </c>
      <c r="H98" t="s">
        <v>33</v>
      </c>
      <c r="I98" t="s">
        <v>43</v>
      </c>
      <c r="J98" t="s">
        <v>44</v>
      </c>
      <c r="K98" t="s">
        <v>36</v>
      </c>
      <c r="L98" t="s">
        <v>45</v>
      </c>
      <c r="M98">
        <v>0</v>
      </c>
      <c r="N98">
        <v>0</v>
      </c>
      <c r="O98" s="5">
        <v>2707</v>
      </c>
      <c r="P98" s="5">
        <v>2708</v>
      </c>
      <c r="Q98">
        <f>31-12.5</f>
        <v>18.5</v>
      </c>
      <c r="R98" t="s">
        <v>46</v>
      </c>
      <c r="S98" t="s">
        <v>39</v>
      </c>
      <c r="T98">
        <v>20</v>
      </c>
      <c r="U98">
        <v>95</v>
      </c>
      <c r="V98">
        <v>14</v>
      </c>
      <c r="Z98" t="s">
        <v>39</v>
      </c>
      <c r="AB98" t="s">
        <v>47</v>
      </c>
      <c r="AC98" t="s">
        <v>76</v>
      </c>
    </row>
    <row r="99" spans="1:29" x14ac:dyDescent="0.35">
      <c r="A99" s="4">
        <v>42507</v>
      </c>
      <c r="B99" t="s">
        <v>30</v>
      </c>
      <c r="C99">
        <v>201</v>
      </c>
      <c r="D99">
        <v>7</v>
      </c>
      <c r="E99">
        <v>1</v>
      </c>
      <c r="F99" t="s">
        <v>31</v>
      </c>
      <c r="G99" t="s">
        <v>32</v>
      </c>
      <c r="H99" t="s">
        <v>33</v>
      </c>
      <c r="I99" t="s">
        <v>43</v>
      </c>
      <c r="J99" t="s">
        <v>44</v>
      </c>
      <c r="K99" t="s">
        <v>36</v>
      </c>
      <c r="L99" t="s">
        <v>45</v>
      </c>
      <c r="M99">
        <v>0</v>
      </c>
      <c r="N99">
        <v>0</v>
      </c>
      <c r="O99" s="5">
        <v>26630</v>
      </c>
      <c r="P99" s="5">
        <v>26631</v>
      </c>
      <c r="Q99">
        <f>43-14.5</f>
        <v>28.5</v>
      </c>
      <c r="R99" t="s">
        <v>77</v>
      </c>
      <c r="S99" t="s">
        <v>39</v>
      </c>
      <c r="T99">
        <v>19</v>
      </c>
      <c r="U99">
        <v>93</v>
      </c>
      <c r="V99">
        <v>14</v>
      </c>
      <c r="Z99" t="s">
        <v>39</v>
      </c>
      <c r="AB99" t="s">
        <v>47</v>
      </c>
      <c r="AC99" t="s">
        <v>76</v>
      </c>
    </row>
    <row r="100" spans="1:29" x14ac:dyDescent="0.35">
      <c r="A100" s="4">
        <v>42507</v>
      </c>
      <c r="B100" t="s">
        <v>30</v>
      </c>
      <c r="C100">
        <v>201</v>
      </c>
      <c r="D100">
        <v>9</v>
      </c>
      <c r="E100">
        <v>1</v>
      </c>
      <c r="F100" t="s">
        <v>31</v>
      </c>
      <c r="G100" t="s">
        <v>32</v>
      </c>
      <c r="H100" t="s">
        <v>33</v>
      </c>
      <c r="I100" t="s">
        <v>43</v>
      </c>
      <c r="J100" t="s">
        <v>44</v>
      </c>
      <c r="K100" t="s">
        <v>36</v>
      </c>
      <c r="L100" t="s">
        <v>37</v>
      </c>
      <c r="M100">
        <v>0</v>
      </c>
      <c r="N100">
        <v>0</v>
      </c>
      <c r="O100" s="5">
        <v>26645</v>
      </c>
      <c r="P100" s="5">
        <v>26646</v>
      </c>
      <c r="Q100">
        <f>36-13.5</f>
        <v>22.5</v>
      </c>
      <c r="R100" t="s">
        <v>38</v>
      </c>
      <c r="S100" t="s">
        <v>39</v>
      </c>
      <c r="T100">
        <v>19</v>
      </c>
      <c r="U100">
        <v>92</v>
      </c>
      <c r="V100">
        <v>13</v>
      </c>
      <c r="Z100" t="s">
        <v>39</v>
      </c>
      <c r="AB100" t="s">
        <v>47</v>
      </c>
      <c r="AC100" t="s">
        <v>76</v>
      </c>
    </row>
    <row r="101" spans="1:29" x14ac:dyDescent="0.35">
      <c r="A101" s="4">
        <v>42507</v>
      </c>
      <c r="B101" t="s">
        <v>30</v>
      </c>
      <c r="C101">
        <v>201</v>
      </c>
      <c r="D101">
        <v>2</v>
      </c>
      <c r="E101">
        <v>1</v>
      </c>
      <c r="F101" t="s">
        <v>31</v>
      </c>
      <c r="G101" t="s">
        <v>32</v>
      </c>
      <c r="H101" t="s">
        <v>33</v>
      </c>
      <c r="I101" t="s">
        <v>43</v>
      </c>
      <c r="J101" t="s">
        <v>44</v>
      </c>
      <c r="K101" t="s">
        <v>36</v>
      </c>
      <c r="L101" t="s">
        <v>37</v>
      </c>
      <c r="M101">
        <v>0</v>
      </c>
      <c r="N101">
        <v>0</v>
      </c>
      <c r="O101" s="5">
        <v>26648</v>
      </c>
      <c r="P101" s="5">
        <v>26647</v>
      </c>
      <c r="Q101">
        <f>36-12.5</f>
        <v>23.5</v>
      </c>
      <c r="R101" t="s">
        <v>38</v>
      </c>
      <c r="S101" t="s">
        <v>39</v>
      </c>
      <c r="T101">
        <v>20</v>
      </c>
      <c r="U101">
        <v>91</v>
      </c>
      <c r="V101">
        <v>11</v>
      </c>
      <c r="Z101" t="s">
        <v>39</v>
      </c>
      <c r="AB101" t="s">
        <v>47</v>
      </c>
      <c r="AC101" t="s">
        <v>76</v>
      </c>
    </row>
    <row r="102" spans="1:29" x14ac:dyDescent="0.35">
      <c r="A102" s="4">
        <v>42507</v>
      </c>
      <c r="B102" t="s">
        <v>30</v>
      </c>
      <c r="C102">
        <v>203</v>
      </c>
      <c r="D102">
        <v>5</v>
      </c>
      <c r="E102">
        <v>1</v>
      </c>
      <c r="F102" t="s">
        <v>31</v>
      </c>
      <c r="G102" t="s">
        <v>32</v>
      </c>
      <c r="H102" t="s">
        <v>33</v>
      </c>
      <c r="I102" t="s">
        <v>43</v>
      </c>
      <c r="J102" t="s">
        <v>78</v>
      </c>
      <c r="K102" t="s">
        <v>36</v>
      </c>
      <c r="L102" t="s">
        <v>45</v>
      </c>
      <c r="M102">
        <v>1</v>
      </c>
      <c r="N102">
        <v>1</v>
      </c>
      <c r="O102" s="5">
        <v>50333</v>
      </c>
      <c r="P102" s="5" t="s">
        <v>49</v>
      </c>
      <c r="Q102">
        <f>35-13.5</f>
        <v>21.5</v>
      </c>
      <c r="R102" t="s">
        <v>79</v>
      </c>
      <c r="S102" t="s">
        <v>39</v>
      </c>
      <c r="T102">
        <v>19</v>
      </c>
      <c r="U102">
        <v>85</v>
      </c>
      <c r="V102">
        <v>13</v>
      </c>
      <c r="Z102" t="s">
        <v>39</v>
      </c>
      <c r="AB102" t="s">
        <v>47</v>
      </c>
      <c r="AC102" t="s">
        <v>76</v>
      </c>
    </row>
    <row r="103" spans="1:29" x14ac:dyDescent="0.35">
      <c r="A103" s="4">
        <v>42507</v>
      </c>
      <c r="B103" t="s">
        <v>30</v>
      </c>
      <c r="C103">
        <v>202</v>
      </c>
      <c r="D103">
        <v>5</v>
      </c>
      <c r="E103">
        <v>1</v>
      </c>
      <c r="F103" t="s">
        <v>31</v>
      </c>
      <c r="G103" t="s">
        <v>32</v>
      </c>
      <c r="H103" t="s">
        <v>33</v>
      </c>
      <c r="I103" t="s">
        <v>43</v>
      </c>
      <c r="J103" t="s">
        <v>44</v>
      </c>
      <c r="K103" t="s">
        <v>36</v>
      </c>
      <c r="L103" t="s">
        <v>45</v>
      </c>
      <c r="M103">
        <v>0</v>
      </c>
      <c r="N103">
        <v>0</v>
      </c>
      <c r="O103" s="5" t="s">
        <v>53</v>
      </c>
      <c r="P103" s="5" t="s">
        <v>54</v>
      </c>
      <c r="Q103">
        <f>34-12.5</f>
        <v>21.5</v>
      </c>
      <c r="R103" t="s">
        <v>46</v>
      </c>
      <c r="S103" t="s">
        <v>39</v>
      </c>
      <c r="T103">
        <v>18</v>
      </c>
      <c r="U103">
        <v>78</v>
      </c>
      <c r="V103">
        <v>13</v>
      </c>
      <c r="Z103" t="s">
        <v>39</v>
      </c>
      <c r="AB103" t="s">
        <v>47</v>
      </c>
      <c r="AC103" t="s">
        <v>76</v>
      </c>
    </row>
    <row r="104" spans="1:29" x14ac:dyDescent="0.35">
      <c r="A104" s="4">
        <v>42507</v>
      </c>
      <c r="B104" t="s">
        <v>30</v>
      </c>
      <c r="C104">
        <v>304</v>
      </c>
      <c r="D104">
        <v>6</v>
      </c>
      <c r="E104">
        <v>1</v>
      </c>
      <c r="F104" t="s">
        <v>42</v>
      </c>
      <c r="G104" t="s">
        <v>32</v>
      </c>
      <c r="H104" t="s">
        <v>33</v>
      </c>
      <c r="I104" t="s">
        <v>80</v>
      </c>
      <c r="J104" t="s">
        <v>35</v>
      </c>
      <c r="K104" t="s">
        <v>36</v>
      </c>
      <c r="M104">
        <v>0</v>
      </c>
      <c r="N104">
        <v>1</v>
      </c>
      <c r="O104" s="5">
        <v>26607</v>
      </c>
      <c r="P104" s="5"/>
      <c r="Q104">
        <f>205-90</f>
        <v>115</v>
      </c>
      <c r="S104" t="s">
        <v>39</v>
      </c>
      <c r="Z104" t="s">
        <v>39</v>
      </c>
      <c r="AB104" t="s">
        <v>47</v>
      </c>
      <c r="AC104" t="s">
        <v>76</v>
      </c>
    </row>
    <row r="105" spans="1:29" x14ac:dyDescent="0.35">
      <c r="A105" s="4">
        <v>42507</v>
      </c>
      <c r="B105" t="s">
        <v>30</v>
      </c>
      <c r="C105">
        <v>304</v>
      </c>
      <c r="D105">
        <v>9</v>
      </c>
      <c r="E105">
        <v>1</v>
      </c>
      <c r="F105" t="s">
        <v>42</v>
      </c>
      <c r="G105" t="s">
        <v>32</v>
      </c>
      <c r="H105" t="s">
        <v>33</v>
      </c>
      <c r="I105" t="s">
        <v>58</v>
      </c>
      <c r="J105" t="s">
        <v>35</v>
      </c>
      <c r="K105" t="s">
        <v>36</v>
      </c>
      <c r="L105" t="s">
        <v>37</v>
      </c>
      <c r="M105">
        <v>0</v>
      </c>
      <c r="N105">
        <v>1</v>
      </c>
      <c r="O105" s="5">
        <v>26606</v>
      </c>
      <c r="P105" s="5"/>
      <c r="Q105">
        <v>25</v>
      </c>
      <c r="R105" t="s">
        <v>38</v>
      </c>
      <c r="S105" t="s">
        <v>39</v>
      </c>
      <c r="Z105" t="s">
        <v>39</v>
      </c>
      <c r="AB105" t="s">
        <v>47</v>
      </c>
      <c r="AC105" t="s">
        <v>76</v>
      </c>
    </row>
    <row r="106" spans="1:29" x14ac:dyDescent="0.35">
      <c r="A106" s="4">
        <v>42507</v>
      </c>
      <c r="B106" t="s">
        <v>30</v>
      </c>
      <c r="C106">
        <v>201</v>
      </c>
      <c r="D106">
        <v>4</v>
      </c>
      <c r="E106">
        <v>1</v>
      </c>
      <c r="F106" t="s">
        <v>31</v>
      </c>
      <c r="G106" t="s">
        <v>32</v>
      </c>
      <c r="H106" t="s">
        <v>33</v>
      </c>
      <c r="I106" t="s">
        <v>58</v>
      </c>
      <c r="J106" t="s">
        <v>35</v>
      </c>
      <c r="K106" t="s">
        <v>36</v>
      </c>
      <c r="L106" t="s">
        <v>45</v>
      </c>
      <c r="M106">
        <v>0</v>
      </c>
      <c r="N106">
        <v>1</v>
      </c>
      <c r="O106" s="5">
        <v>50376</v>
      </c>
      <c r="P106" s="5"/>
      <c r="Q106">
        <f>41-14</f>
        <v>27</v>
      </c>
      <c r="R106" t="s">
        <v>46</v>
      </c>
      <c r="S106" t="s">
        <v>39</v>
      </c>
      <c r="Z106" t="s">
        <v>39</v>
      </c>
      <c r="AB106" t="s">
        <v>47</v>
      </c>
      <c r="AC106" t="s">
        <v>76</v>
      </c>
    </row>
    <row r="107" spans="1:29" x14ac:dyDescent="0.35">
      <c r="A107" s="4">
        <v>42507</v>
      </c>
      <c r="B107" t="s">
        <v>30</v>
      </c>
      <c r="C107">
        <v>113</v>
      </c>
      <c r="D107">
        <v>1</v>
      </c>
      <c r="E107">
        <v>1</v>
      </c>
      <c r="F107" t="s">
        <v>42</v>
      </c>
      <c r="G107" t="s">
        <v>32</v>
      </c>
      <c r="H107" t="s">
        <v>33</v>
      </c>
      <c r="I107" t="s">
        <v>81</v>
      </c>
      <c r="O107" s="5"/>
      <c r="P107" s="5"/>
      <c r="Z107" t="s">
        <v>39</v>
      </c>
      <c r="AB107" t="s">
        <v>47</v>
      </c>
      <c r="AC107" t="s">
        <v>76</v>
      </c>
    </row>
    <row r="108" spans="1:29" x14ac:dyDescent="0.35">
      <c r="A108" s="4">
        <v>42507</v>
      </c>
      <c r="B108" t="s">
        <v>30</v>
      </c>
      <c r="C108">
        <v>113</v>
      </c>
      <c r="D108">
        <v>1</v>
      </c>
      <c r="E108">
        <v>2</v>
      </c>
      <c r="F108" t="s">
        <v>42</v>
      </c>
      <c r="G108" t="s">
        <v>32</v>
      </c>
      <c r="H108" t="s">
        <v>33</v>
      </c>
      <c r="I108" t="s">
        <v>81</v>
      </c>
      <c r="O108" s="5"/>
      <c r="P108" s="5"/>
      <c r="Z108" t="s">
        <v>39</v>
      </c>
      <c r="AB108" t="s">
        <v>47</v>
      </c>
      <c r="AC108" t="s">
        <v>76</v>
      </c>
    </row>
    <row r="109" spans="1:29" x14ac:dyDescent="0.35">
      <c r="A109" s="4">
        <v>42507</v>
      </c>
      <c r="B109" t="s">
        <v>30</v>
      </c>
      <c r="C109">
        <v>113</v>
      </c>
      <c r="D109">
        <v>2</v>
      </c>
      <c r="E109">
        <v>1</v>
      </c>
      <c r="F109" t="s">
        <v>42</v>
      </c>
      <c r="G109" t="s">
        <v>32</v>
      </c>
      <c r="H109" t="s">
        <v>33</v>
      </c>
      <c r="I109" t="s">
        <v>81</v>
      </c>
      <c r="O109" s="5"/>
      <c r="P109" s="5"/>
      <c r="Z109" t="s">
        <v>39</v>
      </c>
      <c r="AB109" t="s">
        <v>47</v>
      </c>
      <c r="AC109" t="s">
        <v>76</v>
      </c>
    </row>
    <row r="110" spans="1:29" x14ac:dyDescent="0.35">
      <c r="A110" s="4">
        <v>42507</v>
      </c>
      <c r="B110" t="s">
        <v>30</v>
      </c>
      <c r="C110">
        <v>113</v>
      </c>
      <c r="D110">
        <v>2</v>
      </c>
      <c r="E110">
        <v>2</v>
      </c>
      <c r="F110" t="s">
        <v>42</v>
      </c>
      <c r="G110" t="s">
        <v>32</v>
      </c>
      <c r="H110" t="s">
        <v>33</v>
      </c>
      <c r="I110" t="s">
        <v>81</v>
      </c>
      <c r="O110" s="5"/>
      <c r="P110" s="5"/>
      <c r="Z110" t="s">
        <v>39</v>
      </c>
      <c r="AB110" t="s">
        <v>47</v>
      </c>
      <c r="AC110" t="s">
        <v>76</v>
      </c>
    </row>
    <row r="111" spans="1:29" x14ac:dyDescent="0.35">
      <c r="A111" s="4">
        <v>42507</v>
      </c>
      <c r="B111" t="s">
        <v>30</v>
      </c>
      <c r="C111">
        <v>113</v>
      </c>
      <c r="D111">
        <v>3</v>
      </c>
      <c r="E111">
        <v>1</v>
      </c>
      <c r="F111" t="s">
        <v>42</v>
      </c>
      <c r="G111" t="s">
        <v>32</v>
      </c>
      <c r="H111" t="s">
        <v>33</v>
      </c>
      <c r="I111" t="s">
        <v>81</v>
      </c>
      <c r="O111" s="5"/>
      <c r="P111" s="5"/>
      <c r="Z111" t="s">
        <v>39</v>
      </c>
      <c r="AB111" t="s">
        <v>47</v>
      </c>
      <c r="AC111" t="s">
        <v>76</v>
      </c>
    </row>
    <row r="112" spans="1:29" x14ac:dyDescent="0.35">
      <c r="A112" s="4">
        <v>42507</v>
      </c>
      <c r="B112" t="s">
        <v>30</v>
      </c>
      <c r="C112">
        <v>113</v>
      </c>
      <c r="D112">
        <v>3</v>
      </c>
      <c r="E112">
        <v>2</v>
      </c>
      <c r="F112" t="s">
        <v>42</v>
      </c>
      <c r="G112" t="s">
        <v>32</v>
      </c>
      <c r="H112" t="s">
        <v>33</v>
      </c>
      <c r="I112" t="s">
        <v>81</v>
      </c>
      <c r="O112" s="5"/>
      <c r="P112" s="5"/>
      <c r="Z112" t="s">
        <v>39</v>
      </c>
      <c r="AB112" t="s">
        <v>47</v>
      </c>
      <c r="AC112" t="s">
        <v>76</v>
      </c>
    </row>
    <row r="113" spans="1:29" x14ac:dyDescent="0.35">
      <c r="A113" s="4">
        <v>42507</v>
      </c>
      <c r="B113" t="s">
        <v>30</v>
      </c>
      <c r="C113">
        <v>113</v>
      </c>
      <c r="D113">
        <v>4</v>
      </c>
      <c r="E113">
        <v>1</v>
      </c>
      <c r="F113" t="s">
        <v>42</v>
      </c>
      <c r="G113" t="s">
        <v>32</v>
      </c>
      <c r="H113" t="s">
        <v>33</v>
      </c>
      <c r="I113" t="s">
        <v>81</v>
      </c>
      <c r="O113" s="5"/>
      <c r="P113" s="5"/>
      <c r="Z113" t="s">
        <v>39</v>
      </c>
      <c r="AB113" t="s">
        <v>47</v>
      </c>
      <c r="AC113" t="s">
        <v>76</v>
      </c>
    </row>
    <row r="114" spans="1:29" x14ac:dyDescent="0.35">
      <c r="A114" s="4">
        <v>42507</v>
      </c>
      <c r="B114" t="s">
        <v>30</v>
      </c>
      <c r="C114">
        <v>113</v>
      </c>
      <c r="D114">
        <v>4</v>
      </c>
      <c r="E114">
        <v>2</v>
      </c>
      <c r="F114" t="s">
        <v>42</v>
      </c>
      <c r="G114" t="s">
        <v>32</v>
      </c>
      <c r="H114" t="s">
        <v>33</v>
      </c>
      <c r="I114" t="s">
        <v>81</v>
      </c>
      <c r="O114" s="5"/>
      <c r="P114" s="5"/>
      <c r="Z114" t="s">
        <v>39</v>
      </c>
      <c r="AB114" t="s">
        <v>47</v>
      </c>
      <c r="AC114" t="s">
        <v>76</v>
      </c>
    </row>
    <row r="115" spans="1:29" x14ac:dyDescent="0.35">
      <c r="A115" s="4">
        <v>42507</v>
      </c>
      <c r="B115" t="s">
        <v>30</v>
      </c>
      <c r="C115">
        <v>113</v>
      </c>
      <c r="D115">
        <v>6</v>
      </c>
      <c r="E115">
        <v>1</v>
      </c>
      <c r="F115" t="s">
        <v>42</v>
      </c>
      <c r="G115" t="s">
        <v>32</v>
      </c>
      <c r="H115" t="s">
        <v>33</v>
      </c>
      <c r="I115" t="s">
        <v>81</v>
      </c>
      <c r="O115" s="5"/>
      <c r="P115" s="5"/>
      <c r="Z115" t="s">
        <v>39</v>
      </c>
      <c r="AB115" t="s">
        <v>47</v>
      </c>
      <c r="AC115" t="s">
        <v>76</v>
      </c>
    </row>
    <row r="116" spans="1:29" x14ac:dyDescent="0.35">
      <c r="A116" s="4">
        <v>42507</v>
      </c>
      <c r="B116" t="s">
        <v>30</v>
      </c>
      <c r="C116">
        <v>113</v>
      </c>
      <c r="D116">
        <v>6</v>
      </c>
      <c r="E116">
        <v>2</v>
      </c>
      <c r="F116" t="s">
        <v>42</v>
      </c>
      <c r="G116" t="s">
        <v>32</v>
      </c>
      <c r="H116" t="s">
        <v>33</v>
      </c>
      <c r="I116" t="s">
        <v>81</v>
      </c>
      <c r="O116" s="5"/>
      <c r="P116" s="5"/>
      <c r="Z116" t="s">
        <v>39</v>
      </c>
      <c r="AB116" t="s">
        <v>47</v>
      </c>
      <c r="AC116" t="s">
        <v>76</v>
      </c>
    </row>
    <row r="117" spans="1:29" x14ac:dyDescent="0.35">
      <c r="A117" s="4">
        <v>42507</v>
      </c>
      <c r="B117" t="s">
        <v>30</v>
      </c>
      <c r="C117">
        <v>113</v>
      </c>
      <c r="D117">
        <v>7</v>
      </c>
      <c r="E117">
        <v>1</v>
      </c>
      <c r="F117" t="s">
        <v>42</v>
      </c>
      <c r="G117" t="s">
        <v>32</v>
      </c>
      <c r="H117" t="s">
        <v>33</v>
      </c>
      <c r="I117" t="s">
        <v>81</v>
      </c>
      <c r="O117" s="5"/>
      <c r="P117" s="5"/>
      <c r="Z117" t="s">
        <v>39</v>
      </c>
      <c r="AB117" t="s">
        <v>47</v>
      </c>
      <c r="AC117" t="s">
        <v>76</v>
      </c>
    </row>
    <row r="118" spans="1:29" x14ac:dyDescent="0.35">
      <c r="A118" s="4">
        <v>42507</v>
      </c>
      <c r="B118" t="s">
        <v>30</v>
      </c>
      <c r="C118">
        <v>113</v>
      </c>
      <c r="D118">
        <v>10</v>
      </c>
      <c r="E118">
        <v>1</v>
      </c>
      <c r="F118" t="s">
        <v>42</v>
      </c>
      <c r="G118" t="s">
        <v>32</v>
      </c>
      <c r="H118" t="s">
        <v>33</v>
      </c>
      <c r="I118" t="s">
        <v>81</v>
      </c>
      <c r="O118" s="5"/>
      <c r="P118" s="5"/>
      <c r="Z118" t="s">
        <v>39</v>
      </c>
      <c r="AB118" t="s">
        <v>47</v>
      </c>
      <c r="AC118" t="s">
        <v>76</v>
      </c>
    </row>
    <row r="119" spans="1:29" x14ac:dyDescent="0.35">
      <c r="A119" s="4">
        <v>42507</v>
      </c>
      <c r="B119" t="s">
        <v>30</v>
      </c>
      <c r="C119">
        <v>113</v>
      </c>
      <c r="D119">
        <v>10</v>
      </c>
      <c r="E119">
        <v>2</v>
      </c>
      <c r="F119" t="s">
        <v>42</v>
      </c>
      <c r="G119" t="s">
        <v>32</v>
      </c>
      <c r="H119" t="s">
        <v>33</v>
      </c>
      <c r="I119" t="s">
        <v>81</v>
      </c>
      <c r="O119" s="5"/>
      <c r="P119" s="5"/>
      <c r="Z119" t="s">
        <v>39</v>
      </c>
      <c r="AB119" t="s">
        <v>47</v>
      </c>
      <c r="AC119" t="s">
        <v>76</v>
      </c>
    </row>
    <row r="120" spans="1:29" x14ac:dyDescent="0.35">
      <c r="A120" s="4">
        <v>42507</v>
      </c>
      <c r="B120" t="s">
        <v>30</v>
      </c>
      <c r="C120">
        <v>112</v>
      </c>
      <c r="D120">
        <v>3</v>
      </c>
      <c r="E120">
        <v>1</v>
      </c>
      <c r="F120" t="s">
        <v>42</v>
      </c>
      <c r="G120" t="s">
        <v>32</v>
      </c>
      <c r="H120" t="s">
        <v>33</v>
      </c>
      <c r="I120" t="s">
        <v>82</v>
      </c>
      <c r="O120" s="5"/>
      <c r="P120" s="5"/>
      <c r="Z120" t="s">
        <v>39</v>
      </c>
      <c r="AB120" t="s">
        <v>47</v>
      </c>
      <c r="AC120" t="s">
        <v>76</v>
      </c>
    </row>
    <row r="121" spans="1:29" x14ac:dyDescent="0.35">
      <c r="A121" s="4">
        <v>42507</v>
      </c>
      <c r="B121" t="s">
        <v>30</v>
      </c>
      <c r="C121">
        <v>113</v>
      </c>
      <c r="D121">
        <v>5</v>
      </c>
      <c r="E121">
        <v>1</v>
      </c>
      <c r="F121" t="s">
        <v>42</v>
      </c>
      <c r="G121" t="s">
        <v>32</v>
      </c>
      <c r="H121" t="s">
        <v>33</v>
      </c>
      <c r="I121" t="s">
        <v>59</v>
      </c>
      <c r="O121" s="5"/>
      <c r="P121" s="5"/>
      <c r="Z121" t="s">
        <v>39</v>
      </c>
      <c r="AB121" t="s">
        <v>47</v>
      </c>
      <c r="AC121" t="s">
        <v>76</v>
      </c>
    </row>
    <row r="122" spans="1:29" x14ac:dyDescent="0.35">
      <c r="A122" s="4">
        <v>42507</v>
      </c>
      <c r="B122" t="s">
        <v>30</v>
      </c>
      <c r="C122">
        <v>113</v>
      </c>
      <c r="D122">
        <v>8</v>
      </c>
      <c r="E122">
        <v>1</v>
      </c>
      <c r="F122" t="s">
        <v>42</v>
      </c>
      <c r="G122" t="s">
        <v>32</v>
      </c>
      <c r="H122" t="s">
        <v>33</v>
      </c>
      <c r="I122" t="s">
        <v>59</v>
      </c>
      <c r="O122" s="5"/>
      <c r="P122" s="5"/>
      <c r="Z122" t="s">
        <v>39</v>
      </c>
      <c r="AB122" t="s">
        <v>47</v>
      </c>
      <c r="AC122" t="s">
        <v>76</v>
      </c>
    </row>
    <row r="123" spans="1:29" x14ac:dyDescent="0.35">
      <c r="A123" s="4">
        <v>42507</v>
      </c>
      <c r="B123" t="s">
        <v>30</v>
      </c>
      <c r="C123">
        <v>113</v>
      </c>
      <c r="D123">
        <v>8</v>
      </c>
      <c r="E123">
        <v>2</v>
      </c>
      <c r="F123" t="s">
        <v>42</v>
      </c>
      <c r="G123" t="s">
        <v>32</v>
      </c>
      <c r="H123" t="s">
        <v>33</v>
      </c>
      <c r="I123" t="s">
        <v>59</v>
      </c>
      <c r="O123" s="5"/>
      <c r="P123" s="5"/>
      <c r="Z123" t="s">
        <v>39</v>
      </c>
      <c r="AB123" t="s">
        <v>47</v>
      </c>
      <c r="AC123" t="s">
        <v>76</v>
      </c>
    </row>
    <row r="124" spans="1:29" x14ac:dyDescent="0.35">
      <c r="A124" s="4">
        <v>42507</v>
      </c>
      <c r="B124" t="s">
        <v>30</v>
      </c>
      <c r="C124">
        <v>113</v>
      </c>
      <c r="D124">
        <v>9</v>
      </c>
      <c r="E124">
        <v>1</v>
      </c>
      <c r="F124" t="s">
        <v>42</v>
      </c>
      <c r="G124" t="s">
        <v>32</v>
      </c>
      <c r="H124" t="s">
        <v>33</v>
      </c>
      <c r="I124" t="s">
        <v>59</v>
      </c>
      <c r="O124" s="5"/>
      <c r="P124" s="5"/>
      <c r="Z124" t="s">
        <v>39</v>
      </c>
      <c r="AB124" t="s">
        <v>47</v>
      </c>
      <c r="AC124" t="s">
        <v>76</v>
      </c>
    </row>
    <row r="125" spans="1:29" x14ac:dyDescent="0.35">
      <c r="A125" s="4">
        <v>42507</v>
      </c>
      <c r="B125" t="s">
        <v>30</v>
      </c>
      <c r="C125">
        <v>113</v>
      </c>
      <c r="D125">
        <v>9</v>
      </c>
      <c r="E125">
        <v>2</v>
      </c>
      <c r="F125" t="s">
        <v>42</v>
      </c>
      <c r="G125" t="s">
        <v>32</v>
      </c>
      <c r="H125" t="s">
        <v>33</v>
      </c>
      <c r="I125" t="s">
        <v>59</v>
      </c>
      <c r="O125" s="5"/>
      <c r="P125" s="5"/>
      <c r="Z125" t="s">
        <v>39</v>
      </c>
      <c r="AB125" t="s">
        <v>47</v>
      </c>
      <c r="AC125" t="s">
        <v>76</v>
      </c>
    </row>
    <row r="126" spans="1:29" x14ac:dyDescent="0.35">
      <c r="A126" s="4">
        <v>42507</v>
      </c>
      <c r="B126" t="s">
        <v>30</v>
      </c>
      <c r="C126">
        <v>402</v>
      </c>
      <c r="D126">
        <v>1</v>
      </c>
      <c r="E126">
        <v>1</v>
      </c>
      <c r="F126" t="s">
        <v>42</v>
      </c>
      <c r="G126" t="s">
        <v>32</v>
      </c>
      <c r="H126" t="s">
        <v>33</v>
      </c>
      <c r="I126" t="s">
        <v>59</v>
      </c>
      <c r="O126" s="5"/>
      <c r="P126" s="5"/>
      <c r="Z126" t="s">
        <v>39</v>
      </c>
      <c r="AB126" t="s">
        <v>47</v>
      </c>
      <c r="AC126" t="s">
        <v>76</v>
      </c>
    </row>
    <row r="127" spans="1:29" x14ac:dyDescent="0.35">
      <c r="A127" s="4">
        <v>42507</v>
      </c>
      <c r="B127" t="s">
        <v>30</v>
      </c>
      <c r="C127">
        <v>402</v>
      </c>
      <c r="D127">
        <v>1</v>
      </c>
      <c r="E127">
        <v>2</v>
      </c>
      <c r="F127" t="s">
        <v>42</v>
      </c>
      <c r="G127" t="s">
        <v>32</v>
      </c>
      <c r="H127" t="s">
        <v>33</v>
      </c>
      <c r="I127" t="s">
        <v>59</v>
      </c>
      <c r="O127" s="5"/>
      <c r="P127" s="5"/>
      <c r="Z127" t="s">
        <v>39</v>
      </c>
      <c r="AB127" t="s">
        <v>47</v>
      </c>
      <c r="AC127" t="s">
        <v>76</v>
      </c>
    </row>
    <row r="128" spans="1:29" x14ac:dyDescent="0.35">
      <c r="A128" s="4">
        <v>42507</v>
      </c>
      <c r="B128" t="s">
        <v>30</v>
      </c>
      <c r="C128">
        <v>402</v>
      </c>
      <c r="D128">
        <v>2</v>
      </c>
      <c r="E128">
        <v>1</v>
      </c>
      <c r="F128" t="s">
        <v>42</v>
      </c>
      <c r="G128" t="s">
        <v>32</v>
      </c>
      <c r="H128" t="s">
        <v>33</v>
      </c>
      <c r="I128" t="s">
        <v>59</v>
      </c>
      <c r="O128" s="5"/>
      <c r="P128" s="5"/>
      <c r="Z128" t="s">
        <v>39</v>
      </c>
      <c r="AB128" t="s">
        <v>47</v>
      </c>
      <c r="AC128" t="s">
        <v>76</v>
      </c>
    </row>
    <row r="129" spans="1:29" x14ac:dyDescent="0.35">
      <c r="A129" s="4">
        <v>42507</v>
      </c>
      <c r="B129" t="s">
        <v>30</v>
      </c>
      <c r="C129">
        <v>402</v>
      </c>
      <c r="D129">
        <v>9</v>
      </c>
      <c r="E129">
        <v>1</v>
      </c>
      <c r="F129" t="s">
        <v>42</v>
      </c>
      <c r="G129" t="s">
        <v>32</v>
      </c>
      <c r="H129" t="s">
        <v>33</v>
      </c>
      <c r="I129" t="s">
        <v>59</v>
      </c>
      <c r="O129" s="5"/>
      <c r="P129" s="5"/>
      <c r="Z129" t="s">
        <v>39</v>
      </c>
      <c r="AB129" t="s">
        <v>47</v>
      </c>
      <c r="AC129" t="s">
        <v>76</v>
      </c>
    </row>
    <row r="130" spans="1:29" x14ac:dyDescent="0.35">
      <c r="A130" s="4">
        <v>42507</v>
      </c>
      <c r="B130" t="s">
        <v>30</v>
      </c>
      <c r="C130">
        <v>203</v>
      </c>
      <c r="D130">
        <v>8</v>
      </c>
      <c r="E130">
        <v>1</v>
      </c>
      <c r="F130" t="s">
        <v>31</v>
      </c>
      <c r="G130" t="s">
        <v>32</v>
      </c>
      <c r="H130" t="s">
        <v>33</v>
      </c>
      <c r="I130" t="s">
        <v>59</v>
      </c>
      <c r="O130" s="5"/>
      <c r="P130" s="5"/>
      <c r="Z130" t="s">
        <v>39</v>
      </c>
    </row>
    <row r="131" spans="1:29" x14ac:dyDescent="0.35">
      <c r="A131" s="4">
        <v>42507</v>
      </c>
      <c r="B131" t="s">
        <v>30</v>
      </c>
      <c r="C131">
        <v>203</v>
      </c>
      <c r="D131">
        <v>9</v>
      </c>
      <c r="E131">
        <v>1</v>
      </c>
      <c r="F131" t="s">
        <v>31</v>
      </c>
      <c r="G131" t="s">
        <v>32</v>
      </c>
      <c r="H131" t="s">
        <v>33</v>
      </c>
      <c r="I131" t="s">
        <v>59</v>
      </c>
      <c r="O131" s="5"/>
      <c r="P131" s="5"/>
      <c r="Z131" t="s">
        <v>39</v>
      </c>
    </row>
    <row r="132" spans="1:29" x14ac:dyDescent="0.35">
      <c r="A132" s="4">
        <v>42507</v>
      </c>
      <c r="B132" t="s">
        <v>30</v>
      </c>
      <c r="C132">
        <v>203</v>
      </c>
      <c r="D132">
        <v>9</v>
      </c>
      <c r="E132">
        <v>2</v>
      </c>
      <c r="F132" t="s">
        <v>31</v>
      </c>
      <c r="G132" t="s">
        <v>32</v>
      </c>
      <c r="H132" t="s">
        <v>33</v>
      </c>
      <c r="I132" t="s">
        <v>59</v>
      </c>
      <c r="O132" s="5"/>
      <c r="P132" s="5"/>
      <c r="Z132" t="s">
        <v>39</v>
      </c>
    </row>
    <row r="133" spans="1:29" x14ac:dyDescent="0.35">
      <c r="A133" s="4">
        <v>42507</v>
      </c>
      <c r="B133" t="s">
        <v>30</v>
      </c>
      <c r="C133">
        <v>202</v>
      </c>
      <c r="D133">
        <v>8</v>
      </c>
      <c r="E133">
        <v>1</v>
      </c>
      <c r="F133" t="s">
        <v>31</v>
      </c>
      <c r="G133" t="s">
        <v>32</v>
      </c>
      <c r="H133" t="s">
        <v>33</v>
      </c>
      <c r="I133" t="s">
        <v>59</v>
      </c>
      <c r="O133" s="5"/>
      <c r="P133" s="5"/>
      <c r="Z133" t="s">
        <v>39</v>
      </c>
    </row>
    <row r="134" spans="1:29" x14ac:dyDescent="0.35">
      <c r="A134" s="4">
        <v>42508</v>
      </c>
      <c r="B134" t="s">
        <v>30</v>
      </c>
      <c r="C134">
        <v>202</v>
      </c>
      <c r="D134">
        <v>6</v>
      </c>
      <c r="E134">
        <v>1</v>
      </c>
      <c r="F134" t="s">
        <v>31</v>
      </c>
      <c r="G134" t="s">
        <v>32</v>
      </c>
      <c r="H134" t="s">
        <v>33</v>
      </c>
      <c r="I134" t="s">
        <v>55</v>
      </c>
      <c r="J134" t="s">
        <v>66</v>
      </c>
      <c r="O134" s="5"/>
      <c r="P134" s="5"/>
      <c r="Z134" t="s">
        <v>39</v>
      </c>
    </row>
    <row r="135" spans="1:29" x14ac:dyDescent="0.35">
      <c r="A135" s="4">
        <v>42508</v>
      </c>
      <c r="B135" t="s">
        <v>30</v>
      </c>
      <c r="C135">
        <v>201</v>
      </c>
      <c r="D135">
        <v>8</v>
      </c>
      <c r="E135">
        <v>2</v>
      </c>
      <c r="F135" t="s">
        <v>31</v>
      </c>
      <c r="G135" t="s">
        <v>32</v>
      </c>
      <c r="H135" t="s">
        <v>33</v>
      </c>
      <c r="I135" t="s">
        <v>83</v>
      </c>
      <c r="O135" s="5"/>
      <c r="P135" s="5"/>
      <c r="Z135" t="s">
        <v>39</v>
      </c>
    </row>
    <row r="136" spans="1:29" x14ac:dyDescent="0.35">
      <c r="A136" s="4">
        <v>42508</v>
      </c>
      <c r="B136" t="s">
        <v>30</v>
      </c>
      <c r="C136">
        <v>201</v>
      </c>
      <c r="D136">
        <v>3</v>
      </c>
      <c r="E136">
        <v>1</v>
      </c>
      <c r="F136" t="s">
        <v>31</v>
      </c>
      <c r="G136" t="s">
        <v>32</v>
      </c>
      <c r="H136" t="s">
        <v>33</v>
      </c>
      <c r="I136" t="s">
        <v>84</v>
      </c>
      <c r="O136" s="5"/>
      <c r="P136" s="5"/>
      <c r="Z136" t="s">
        <v>39</v>
      </c>
    </row>
    <row r="137" spans="1:29" x14ac:dyDescent="0.35">
      <c r="A137" s="4">
        <v>42508</v>
      </c>
      <c r="B137" t="s">
        <v>30</v>
      </c>
      <c r="C137">
        <v>201</v>
      </c>
      <c r="D137">
        <v>6</v>
      </c>
      <c r="E137">
        <v>1</v>
      </c>
      <c r="F137" t="s">
        <v>31</v>
      </c>
      <c r="G137" t="s">
        <v>32</v>
      </c>
      <c r="H137" t="s">
        <v>33</v>
      </c>
      <c r="I137" t="s">
        <v>84</v>
      </c>
      <c r="O137" s="5"/>
      <c r="P137" s="5"/>
      <c r="Z137" t="s">
        <v>39</v>
      </c>
    </row>
    <row r="138" spans="1:29" x14ac:dyDescent="0.35">
      <c r="A138" s="4">
        <v>42508</v>
      </c>
      <c r="B138" t="s">
        <v>30</v>
      </c>
      <c r="C138">
        <v>201</v>
      </c>
      <c r="D138">
        <v>7</v>
      </c>
      <c r="E138">
        <v>1</v>
      </c>
      <c r="F138" t="s">
        <v>31</v>
      </c>
      <c r="G138" t="s">
        <v>32</v>
      </c>
      <c r="H138" t="s">
        <v>33</v>
      </c>
      <c r="I138" t="s">
        <v>84</v>
      </c>
      <c r="O138" s="5"/>
      <c r="P138" s="5"/>
      <c r="Z138" t="s">
        <v>39</v>
      </c>
    </row>
    <row r="139" spans="1:29" x14ac:dyDescent="0.35">
      <c r="A139" s="4">
        <v>42508</v>
      </c>
      <c r="B139" t="s">
        <v>30</v>
      </c>
      <c r="C139">
        <v>201</v>
      </c>
      <c r="D139">
        <v>8</v>
      </c>
      <c r="E139">
        <v>1</v>
      </c>
      <c r="F139" t="s">
        <v>31</v>
      </c>
      <c r="G139" t="s">
        <v>32</v>
      </c>
      <c r="H139" t="s">
        <v>33</v>
      </c>
      <c r="I139" t="s">
        <v>84</v>
      </c>
      <c r="O139" s="5"/>
      <c r="P139" s="5"/>
      <c r="Z139" t="s">
        <v>39</v>
      </c>
    </row>
    <row r="140" spans="1:29" x14ac:dyDescent="0.35">
      <c r="A140" s="4">
        <v>42508</v>
      </c>
      <c r="B140" t="s">
        <v>30</v>
      </c>
      <c r="C140">
        <v>201</v>
      </c>
      <c r="D140">
        <v>9</v>
      </c>
      <c r="E140">
        <v>1</v>
      </c>
      <c r="F140" t="s">
        <v>31</v>
      </c>
      <c r="G140" t="s">
        <v>32</v>
      </c>
      <c r="H140" t="s">
        <v>33</v>
      </c>
      <c r="I140" t="s">
        <v>84</v>
      </c>
      <c r="O140" s="5"/>
      <c r="P140" s="5"/>
      <c r="Z140" t="s">
        <v>39</v>
      </c>
    </row>
    <row r="141" spans="1:29" x14ac:dyDescent="0.35">
      <c r="A141" s="4">
        <v>42508</v>
      </c>
      <c r="B141" t="s">
        <v>30</v>
      </c>
      <c r="C141">
        <v>203</v>
      </c>
      <c r="D141">
        <v>9</v>
      </c>
      <c r="E141">
        <v>1</v>
      </c>
      <c r="F141" t="s">
        <v>31</v>
      </c>
      <c r="G141" t="s">
        <v>32</v>
      </c>
      <c r="H141" t="s">
        <v>33</v>
      </c>
      <c r="I141" t="s">
        <v>84</v>
      </c>
      <c r="O141" s="5"/>
      <c r="P141" s="5"/>
      <c r="Z141" t="s">
        <v>39</v>
      </c>
    </row>
    <row r="142" spans="1:29" x14ac:dyDescent="0.35">
      <c r="A142" s="4">
        <v>42508</v>
      </c>
      <c r="B142" t="s">
        <v>30</v>
      </c>
      <c r="C142">
        <v>202</v>
      </c>
      <c r="D142">
        <v>7</v>
      </c>
      <c r="E142">
        <v>1</v>
      </c>
      <c r="F142" t="s">
        <v>31</v>
      </c>
      <c r="G142" t="s">
        <v>32</v>
      </c>
      <c r="H142" t="s">
        <v>33</v>
      </c>
      <c r="I142" t="s">
        <v>85</v>
      </c>
      <c r="O142" s="5"/>
      <c r="P142" s="5"/>
      <c r="Z142" t="s">
        <v>39</v>
      </c>
    </row>
    <row r="143" spans="1:29" x14ac:dyDescent="0.35">
      <c r="A143" s="4">
        <v>42508</v>
      </c>
      <c r="B143" t="s">
        <v>30</v>
      </c>
      <c r="C143">
        <v>112</v>
      </c>
      <c r="D143">
        <v>8</v>
      </c>
      <c r="E143">
        <v>1</v>
      </c>
      <c r="F143" t="s">
        <v>42</v>
      </c>
      <c r="G143" t="s">
        <v>32</v>
      </c>
      <c r="H143" t="s">
        <v>33</v>
      </c>
      <c r="I143" t="s">
        <v>59</v>
      </c>
      <c r="O143" s="5"/>
      <c r="P143" s="5"/>
      <c r="Z143" t="s">
        <v>39</v>
      </c>
    </row>
    <row r="144" spans="1:29" x14ac:dyDescent="0.35">
      <c r="A144" s="4">
        <v>42508</v>
      </c>
      <c r="B144" t="s">
        <v>30</v>
      </c>
      <c r="C144">
        <v>113</v>
      </c>
      <c r="D144">
        <v>1</v>
      </c>
      <c r="E144">
        <v>1</v>
      </c>
      <c r="F144" t="s">
        <v>42</v>
      </c>
      <c r="G144" t="s">
        <v>32</v>
      </c>
      <c r="H144" t="s">
        <v>33</v>
      </c>
      <c r="I144" t="s">
        <v>59</v>
      </c>
      <c r="O144" s="5"/>
      <c r="P144" s="5"/>
      <c r="Z144" t="s">
        <v>39</v>
      </c>
    </row>
    <row r="145" spans="1:29" x14ac:dyDescent="0.35">
      <c r="A145" s="4">
        <v>42508</v>
      </c>
      <c r="B145" t="s">
        <v>30</v>
      </c>
      <c r="C145">
        <v>113</v>
      </c>
      <c r="D145">
        <v>1</v>
      </c>
      <c r="E145">
        <v>2</v>
      </c>
      <c r="F145" t="s">
        <v>42</v>
      </c>
      <c r="G145" t="s">
        <v>32</v>
      </c>
      <c r="H145" t="s">
        <v>33</v>
      </c>
      <c r="I145" t="s">
        <v>59</v>
      </c>
      <c r="O145" s="5"/>
      <c r="P145" s="5"/>
      <c r="Z145" t="s">
        <v>39</v>
      </c>
    </row>
    <row r="146" spans="1:29" x14ac:dyDescent="0.35">
      <c r="A146" s="4">
        <v>42508</v>
      </c>
      <c r="B146" t="s">
        <v>30</v>
      </c>
      <c r="C146">
        <v>113</v>
      </c>
      <c r="D146">
        <v>3</v>
      </c>
      <c r="E146">
        <v>1</v>
      </c>
      <c r="F146" t="s">
        <v>42</v>
      </c>
      <c r="G146" t="s">
        <v>32</v>
      </c>
      <c r="H146" t="s">
        <v>33</v>
      </c>
      <c r="I146" t="s">
        <v>59</v>
      </c>
      <c r="O146" s="5"/>
      <c r="P146" s="5"/>
      <c r="Z146" t="s">
        <v>39</v>
      </c>
    </row>
    <row r="147" spans="1:29" x14ac:dyDescent="0.35">
      <c r="A147" s="4">
        <v>42508</v>
      </c>
      <c r="B147" t="s">
        <v>30</v>
      </c>
      <c r="C147">
        <v>113</v>
      </c>
      <c r="D147">
        <v>8</v>
      </c>
      <c r="E147">
        <v>1</v>
      </c>
      <c r="F147" t="s">
        <v>42</v>
      </c>
      <c r="G147" t="s">
        <v>32</v>
      </c>
      <c r="H147" t="s">
        <v>33</v>
      </c>
      <c r="I147" t="s">
        <v>59</v>
      </c>
      <c r="O147" s="5"/>
      <c r="P147" s="5"/>
      <c r="Z147" t="s">
        <v>39</v>
      </c>
    </row>
    <row r="148" spans="1:29" x14ac:dyDescent="0.35">
      <c r="A148" s="4">
        <v>42508</v>
      </c>
      <c r="B148" t="s">
        <v>30</v>
      </c>
      <c r="C148">
        <v>113</v>
      </c>
      <c r="D148">
        <v>10</v>
      </c>
      <c r="E148">
        <v>1</v>
      </c>
      <c r="F148" t="s">
        <v>42</v>
      </c>
      <c r="G148" t="s">
        <v>32</v>
      </c>
      <c r="H148" t="s">
        <v>33</v>
      </c>
      <c r="I148" t="s">
        <v>59</v>
      </c>
      <c r="O148" s="5"/>
      <c r="P148" s="5"/>
      <c r="Z148" t="s">
        <v>39</v>
      </c>
    </row>
    <row r="149" spans="1:29" x14ac:dyDescent="0.35">
      <c r="A149" s="4">
        <v>42508</v>
      </c>
      <c r="B149" t="s">
        <v>30</v>
      </c>
      <c r="C149">
        <v>402</v>
      </c>
      <c r="D149">
        <v>1</v>
      </c>
      <c r="E149">
        <v>1</v>
      </c>
      <c r="F149" t="s">
        <v>42</v>
      </c>
      <c r="G149" t="s">
        <v>32</v>
      </c>
      <c r="H149" t="s">
        <v>33</v>
      </c>
      <c r="I149" t="s">
        <v>59</v>
      </c>
      <c r="O149" s="5"/>
      <c r="P149" s="5"/>
      <c r="Z149" t="s">
        <v>39</v>
      </c>
    </row>
    <row r="150" spans="1:29" x14ac:dyDescent="0.35">
      <c r="A150" s="4">
        <v>42508</v>
      </c>
      <c r="B150" t="s">
        <v>30</v>
      </c>
      <c r="C150">
        <v>304</v>
      </c>
      <c r="D150">
        <v>1</v>
      </c>
      <c r="E150">
        <v>1</v>
      </c>
      <c r="F150" t="s">
        <v>42</v>
      </c>
      <c r="G150" t="s">
        <v>32</v>
      </c>
      <c r="H150" t="s">
        <v>33</v>
      </c>
      <c r="I150" t="s">
        <v>59</v>
      </c>
      <c r="O150" s="5"/>
      <c r="P150" s="5"/>
      <c r="Z150" t="s">
        <v>39</v>
      </c>
    </row>
    <row r="151" spans="1:29" x14ac:dyDescent="0.35">
      <c r="A151" s="4">
        <v>42508</v>
      </c>
      <c r="B151" t="s">
        <v>30</v>
      </c>
      <c r="C151">
        <v>304</v>
      </c>
      <c r="D151">
        <v>8</v>
      </c>
      <c r="E151">
        <v>1</v>
      </c>
      <c r="F151" t="s">
        <v>42</v>
      </c>
      <c r="G151" t="s">
        <v>32</v>
      </c>
      <c r="H151" t="s">
        <v>33</v>
      </c>
      <c r="I151" t="s">
        <v>59</v>
      </c>
      <c r="O151" s="5"/>
      <c r="P151" s="5"/>
      <c r="Z151" t="s">
        <v>39</v>
      </c>
    </row>
    <row r="152" spans="1:29" x14ac:dyDescent="0.35">
      <c r="A152" s="4">
        <v>42508</v>
      </c>
      <c r="B152" t="s">
        <v>30</v>
      </c>
      <c r="C152">
        <v>304</v>
      </c>
      <c r="D152">
        <v>9</v>
      </c>
      <c r="E152">
        <v>1</v>
      </c>
      <c r="F152" t="s">
        <v>42</v>
      </c>
      <c r="G152" t="s">
        <v>32</v>
      </c>
      <c r="H152" t="s">
        <v>33</v>
      </c>
      <c r="I152" t="s">
        <v>59</v>
      </c>
      <c r="O152" s="5"/>
      <c r="P152" s="5"/>
      <c r="Z152" t="s">
        <v>39</v>
      </c>
    </row>
    <row r="153" spans="1:29" x14ac:dyDescent="0.35">
      <c r="A153" s="4">
        <v>42508</v>
      </c>
      <c r="B153" t="s">
        <v>30</v>
      </c>
      <c r="C153">
        <v>201</v>
      </c>
      <c r="D153">
        <v>1</v>
      </c>
      <c r="E153">
        <v>1</v>
      </c>
      <c r="F153" t="s">
        <v>31</v>
      </c>
      <c r="G153" t="s">
        <v>32</v>
      </c>
      <c r="H153" t="s">
        <v>33</v>
      </c>
      <c r="I153" t="s">
        <v>59</v>
      </c>
      <c r="O153" s="5"/>
      <c r="P153" s="5"/>
      <c r="Z153" t="s">
        <v>39</v>
      </c>
    </row>
    <row r="154" spans="1:29" x14ac:dyDescent="0.35">
      <c r="A154" s="4">
        <v>42508</v>
      </c>
      <c r="B154" t="s">
        <v>30</v>
      </c>
      <c r="C154">
        <v>201</v>
      </c>
      <c r="D154">
        <v>2</v>
      </c>
      <c r="E154">
        <v>1</v>
      </c>
      <c r="F154" t="s">
        <v>31</v>
      </c>
      <c r="G154" t="s">
        <v>32</v>
      </c>
      <c r="H154" t="s">
        <v>33</v>
      </c>
      <c r="I154" t="s">
        <v>59</v>
      </c>
      <c r="O154" s="5"/>
      <c r="P154" s="5"/>
      <c r="Z154" t="s">
        <v>39</v>
      </c>
    </row>
    <row r="155" spans="1:29" x14ac:dyDescent="0.35">
      <c r="A155" s="4">
        <v>42508</v>
      </c>
      <c r="B155" t="s">
        <v>30</v>
      </c>
      <c r="C155">
        <v>201</v>
      </c>
      <c r="D155">
        <v>4</v>
      </c>
      <c r="E155">
        <v>1</v>
      </c>
      <c r="F155" t="s">
        <v>31</v>
      </c>
      <c r="G155" t="s">
        <v>32</v>
      </c>
      <c r="H155" t="s">
        <v>33</v>
      </c>
      <c r="I155" t="s">
        <v>59</v>
      </c>
      <c r="O155" s="5"/>
      <c r="P155" s="5"/>
      <c r="Z155" t="s">
        <v>39</v>
      </c>
    </row>
    <row r="156" spans="1:29" x14ac:dyDescent="0.35">
      <c r="A156" s="4">
        <v>42508</v>
      </c>
      <c r="B156" t="s">
        <v>30</v>
      </c>
      <c r="C156">
        <v>203</v>
      </c>
      <c r="D156">
        <v>3</v>
      </c>
      <c r="E156">
        <v>1</v>
      </c>
      <c r="F156" t="s">
        <v>31</v>
      </c>
      <c r="G156" t="s">
        <v>32</v>
      </c>
      <c r="H156" t="s">
        <v>33</v>
      </c>
      <c r="I156" t="s">
        <v>59</v>
      </c>
      <c r="O156" s="5"/>
      <c r="P156" s="5"/>
      <c r="Z156" t="s">
        <v>39</v>
      </c>
    </row>
    <row r="157" spans="1:29" x14ac:dyDescent="0.35">
      <c r="A157" s="4">
        <v>42508</v>
      </c>
      <c r="B157" t="s">
        <v>30</v>
      </c>
      <c r="C157">
        <v>203</v>
      </c>
      <c r="D157">
        <v>5</v>
      </c>
      <c r="E157">
        <v>1</v>
      </c>
      <c r="F157" t="s">
        <v>31</v>
      </c>
      <c r="G157" t="s">
        <v>32</v>
      </c>
      <c r="H157" t="s">
        <v>33</v>
      </c>
      <c r="I157" t="s">
        <v>59</v>
      </c>
      <c r="O157" s="5"/>
      <c r="P157" s="5"/>
      <c r="Z157" t="s">
        <v>39</v>
      </c>
    </row>
    <row r="158" spans="1:29" x14ac:dyDescent="0.35">
      <c r="A158" s="4">
        <v>42508</v>
      </c>
      <c r="B158" t="s">
        <v>30</v>
      </c>
      <c r="C158">
        <v>203</v>
      </c>
      <c r="D158">
        <v>5</v>
      </c>
      <c r="E158">
        <v>2</v>
      </c>
      <c r="F158" t="s">
        <v>31</v>
      </c>
      <c r="G158" t="s">
        <v>32</v>
      </c>
      <c r="H158" t="s">
        <v>33</v>
      </c>
      <c r="I158" t="s">
        <v>59</v>
      </c>
      <c r="O158" s="5"/>
      <c r="P158" s="5"/>
      <c r="Z158" t="s">
        <v>39</v>
      </c>
    </row>
    <row r="159" spans="1:29" x14ac:dyDescent="0.35">
      <c r="A159" s="4">
        <v>42509</v>
      </c>
      <c r="B159" t="s">
        <v>30</v>
      </c>
      <c r="C159">
        <v>113</v>
      </c>
      <c r="D159">
        <v>1</v>
      </c>
      <c r="E159">
        <v>1</v>
      </c>
      <c r="F159" t="s">
        <v>42</v>
      </c>
      <c r="G159" t="s">
        <v>32</v>
      </c>
      <c r="H159" t="s">
        <v>33</v>
      </c>
      <c r="I159" t="s">
        <v>43</v>
      </c>
      <c r="J159" t="s">
        <v>35</v>
      </c>
      <c r="K159" t="s">
        <v>36</v>
      </c>
      <c r="L159" t="s">
        <v>45</v>
      </c>
      <c r="M159">
        <v>0</v>
      </c>
      <c r="N159">
        <v>1</v>
      </c>
      <c r="O159" s="5">
        <v>26614</v>
      </c>
      <c r="P159" s="5">
        <v>26613</v>
      </c>
      <c r="Q159">
        <v>20</v>
      </c>
      <c r="R159" t="s">
        <v>61</v>
      </c>
      <c r="S159" t="s">
        <v>39</v>
      </c>
      <c r="T159">
        <v>19</v>
      </c>
      <c r="U159">
        <v>88</v>
      </c>
      <c r="V159">
        <v>14</v>
      </c>
      <c r="Z159" t="s">
        <v>39</v>
      </c>
      <c r="AB159" t="s">
        <v>86</v>
      </c>
      <c r="AC159" t="s">
        <v>87</v>
      </c>
    </row>
    <row r="160" spans="1:29" x14ac:dyDescent="0.35">
      <c r="A160" s="4">
        <v>42509</v>
      </c>
      <c r="B160" t="s">
        <v>30</v>
      </c>
      <c r="C160">
        <v>113</v>
      </c>
      <c r="D160">
        <v>8</v>
      </c>
      <c r="E160">
        <v>1</v>
      </c>
      <c r="F160" t="s">
        <v>42</v>
      </c>
      <c r="G160" t="s">
        <v>32</v>
      </c>
      <c r="H160" t="s">
        <v>33</v>
      </c>
      <c r="I160" t="s">
        <v>43</v>
      </c>
      <c r="J160" t="s">
        <v>35</v>
      </c>
      <c r="K160" t="s">
        <v>88</v>
      </c>
      <c r="L160" t="s">
        <v>45</v>
      </c>
      <c r="M160">
        <v>0</v>
      </c>
      <c r="N160">
        <v>1</v>
      </c>
      <c r="O160" s="5">
        <v>26616</v>
      </c>
      <c r="P160" s="5">
        <v>26615</v>
      </c>
      <c r="Q160">
        <v>16</v>
      </c>
      <c r="R160" t="s">
        <v>46</v>
      </c>
      <c r="S160" t="s">
        <v>39</v>
      </c>
      <c r="T160">
        <v>16</v>
      </c>
      <c r="U160">
        <v>68</v>
      </c>
      <c r="V160">
        <v>14</v>
      </c>
      <c r="Y160" t="s">
        <v>89</v>
      </c>
      <c r="Z160" t="s">
        <v>39</v>
      </c>
      <c r="AB160" t="s">
        <v>86</v>
      </c>
      <c r="AC160" t="s">
        <v>87</v>
      </c>
    </row>
    <row r="161" spans="1:29" x14ac:dyDescent="0.35">
      <c r="A161" s="4">
        <v>42509</v>
      </c>
      <c r="B161" t="s">
        <v>30</v>
      </c>
      <c r="C161">
        <v>201</v>
      </c>
      <c r="D161">
        <v>1</v>
      </c>
      <c r="E161">
        <v>2</v>
      </c>
      <c r="F161" t="s">
        <v>31</v>
      </c>
      <c r="G161" t="s">
        <v>32</v>
      </c>
      <c r="H161" t="s">
        <v>33</v>
      </c>
      <c r="I161" t="s">
        <v>43</v>
      </c>
      <c r="J161" t="s">
        <v>44</v>
      </c>
      <c r="K161" t="s">
        <v>36</v>
      </c>
      <c r="L161" t="s">
        <v>37</v>
      </c>
      <c r="M161">
        <v>0</v>
      </c>
      <c r="N161">
        <v>0</v>
      </c>
      <c r="O161" s="5">
        <v>26648</v>
      </c>
      <c r="P161" s="5">
        <v>26647</v>
      </c>
      <c r="Q161">
        <v>21</v>
      </c>
      <c r="R161" t="s">
        <v>38</v>
      </c>
      <c r="S161" t="s">
        <v>39</v>
      </c>
      <c r="T161">
        <v>19</v>
      </c>
      <c r="U161">
        <v>95</v>
      </c>
      <c r="V161">
        <v>12</v>
      </c>
      <c r="Z161" t="s">
        <v>39</v>
      </c>
      <c r="AB161" t="s">
        <v>86</v>
      </c>
      <c r="AC161" t="s">
        <v>87</v>
      </c>
    </row>
    <row r="162" spans="1:29" x14ac:dyDescent="0.35">
      <c r="A162" s="4">
        <v>42509</v>
      </c>
      <c r="B162" t="s">
        <v>30</v>
      </c>
      <c r="C162">
        <v>201</v>
      </c>
      <c r="D162">
        <v>1</v>
      </c>
      <c r="E162">
        <v>1</v>
      </c>
      <c r="F162" t="s">
        <v>31</v>
      </c>
      <c r="G162" t="s">
        <v>32</v>
      </c>
      <c r="H162" t="s">
        <v>33</v>
      </c>
      <c r="I162" t="s">
        <v>43</v>
      </c>
      <c r="J162" t="s">
        <v>35</v>
      </c>
      <c r="K162" t="s">
        <v>36</v>
      </c>
      <c r="L162" t="s">
        <v>37</v>
      </c>
      <c r="M162">
        <v>0</v>
      </c>
      <c r="N162">
        <v>1</v>
      </c>
      <c r="O162" s="5">
        <v>50335</v>
      </c>
      <c r="P162" s="5">
        <v>50334</v>
      </c>
      <c r="Q162">
        <f>30.5-8.5</f>
        <v>22</v>
      </c>
      <c r="R162" t="s">
        <v>38</v>
      </c>
      <c r="S162" t="s">
        <v>39</v>
      </c>
      <c r="T162">
        <v>20</v>
      </c>
      <c r="U162">
        <v>83</v>
      </c>
      <c r="V162">
        <v>15</v>
      </c>
      <c r="Z162" t="s">
        <v>39</v>
      </c>
      <c r="AB162" t="s">
        <v>86</v>
      </c>
      <c r="AC162" t="s">
        <v>87</v>
      </c>
    </row>
    <row r="163" spans="1:29" x14ac:dyDescent="0.35">
      <c r="A163" s="4">
        <v>42509</v>
      </c>
      <c r="B163" t="s">
        <v>30</v>
      </c>
      <c r="C163">
        <v>203</v>
      </c>
      <c r="D163">
        <v>7</v>
      </c>
      <c r="E163">
        <v>1</v>
      </c>
      <c r="F163" t="s">
        <v>31</v>
      </c>
      <c r="G163" t="s">
        <v>32</v>
      </c>
      <c r="H163" t="s">
        <v>33</v>
      </c>
      <c r="I163" t="s">
        <v>55</v>
      </c>
      <c r="J163" t="s">
        <v>66</v>
      </c>
      <c r="O163" s="5"/>
      <c r="P163" s="5"/>
      <c r="Z163" t="s">
        <v>39</v>
      </c>
    </row>
    <row r="164" spans="1:29" x14ac:dyDescent="0.35">
      <c r="A164" s="4">
        <v>42509</v>
      </c>
      <c r="B164" t="s">
        <v>30</v>
      </c>
      <c r="C164">
        <v>113</v>
      </c>
      <c r="D164">
        <v>4</v>
      </c>
      <c r="E164">
        <v>1</v>
      </c>
      <c r="F164" t="s">
        <v>42</v>
      </c>
      <c r="G164" t="s">
        <v>32</v>
      </c>
      <c r="H164" t="s">
        <v>33</v>
      </c>
      <c r="I164" t="s">
        <v>81</v>
      </c>
      <c r="O164" s="5"/>
      <c r="P164" s="5"/>
      <c r="Z164" t="s">
        <v>39</v>
      </c>
    </row>
    <row r="165" spans="1:29" x14ac:dyDescent="0.35">
      <c r="A165" s="4">
        <v>42509</v>
      </c>
      <c r="B165" t="s">
        <v>30</v>
      </c>
      <c r="C165">
        <v>113</v>
      </c>
      <c r="D165">
        <v>10</v>
      </c>
      <c r="E165">
        <v>1</v>
      </c>
      <c r="F165" t="s">
        <v>42</v>
      </c>
      <c r="G165" t="s">
        <v>32</v>
      </c>
      <c r="H165" t="s">
        <v>33</v>
      </c>
      <c r="I165" t="s">
        <v>81</v>
      </c>
      <c r="O165" s="5"/>
      <c r="P165" s="5"/>
      <c r="Z165" t="s">
        <v>39</v>
      </c>
    </row>
    <row r="166" spans="1:29" x14ac:dyDescent="0.35">
      <c r="A166" s="4">
        <v>42509</v>
      </c>
      <c r="B166" t="s">
        <v>30</v>
      </c>
      <c r="C166">
        <v>113</v>
      </c>
      <c r="D166">
        <v>10</v>
      </c>
      <c r="E166">
        <v>2</v>
      </c>
      <c r="F166" t="s">
        <v>42</v>
      </c>
      <c r="G166" t="s">
        <v>32</v>
      </c>
      <c r="H166" t="s">
        <v>33</v>
      </c>
      <c r="I166" t="s">
        <v>81</v>
      </c>
      <c r="O166" s="5"/>
      <c r="P166" s="5"/>
      <c r="Z166" t="s">
        <v>39</v>
      </c>
    </row>
    <row r="167" spans="1:29" x14ac:dyDescent="0.35">
      <c r="A167" s="4">
        <v>42509</v>
      </c>
      <c r="B167" t="s">
        <v>30</v>
      </c>
      <c r="C167">
        <v>203</v>
      </c>
      <c r="D167">
        <v>2</v>
      </c>
      <c r="E167">
        <v>1</v>
      </c>
      <c r="F167" t="s">
        <v>31</v>
      </c>
      <c r="G167" t="s">
        <v>32</v>
      </c>
      <c r="H167" t="s">
        <v>33</v>
      </c>
      <c r="I167" t="s">
        <v>59</v>
      </c>
      <c r="O167" s="5"/>
      <c r="P167" s="5"/>
      <c r="Z167" t="s">
        <v>39</v>
      </c>
    </row>
    <row r="168" spans="1:29" x14ac:dyDescent="0.35">
      <c r="A168" s="4">
        <v>42509</v>
      </c>
      <c r="B168" t="s">
        <v>30</v>
      </c>
      <c r="C168">
        <v>203</v>
      </c>
      <c r="D168">
        <v>3</v>
      </c>
      <c r="E168">
        <v>1</v>
      </c>
      <c r="F168" t="s">
        <v>31</v>
      </c>
      <c r="G168" t="s">
        <v>32</v>
      </c>
      <c r="H168" t="s">
        <v>33</v>
      </c>
      <c r="I168" t="s">
        <v>59</v>
      </c>
      <c r="O168" s="5"/>
      <c r="P168" s="5"/>
      <c r="Z168" t="s">
        <v>39</v>
      </c>
    </row>
    <row r="169" spans="1:29" x14ac:dyDescent="0.35">
      <c r="A169" s="4">
        <v>42509</v>
      </c>
      <c r="B169" t="s">
        <v>30</v>
      </c>
      <c r="C169">
        <v>203</v>
      </c>
      <c r="D169">
        <v>3</v>
      </c>
      <c r="E169">
        <v>2</v>
      </c>
      <c r="F169" t="s">
        <v>31</v>
      </c>
      <c r="G169" t="s">
        <v>32</v>
      </c>
      <c r="H169" t="s">
        <v>33</v>
      </c>
      <c r="I169" t="s">
        <v>59</v>
      </c>
      <c r="O169" s="5"/>
      <c r="P169" s="5"/>
      <c r="Z169" t="s">
        <v>39</v>
      </c>
    </row>
    <row r="170" spans="1:29" x14ac:dyDescent="0.35">
      <c r="A170" s="4">
        <v>42509</v>
      </c>
      <c r="B170" t="s">
        <v>30</v>
      </c>
      <c r="C170">
        <v>202</v>
      </c>
      <c r="D170">
        <v>8</v>
      </c>
      <c r="E170">
        <v>1</v>
      </c>
      <c r="F170" t="s">
        <v>31</v>
      </c>
      <c r="G170" t="s">
        <v>32</v>
      </c>
      <c r="H170" t="s">
        <v>33</v>
      </c>
      <c r="I170" t="s">
        <v>59</v>
      </c>
      <c r="O170" s="5"/>
      <c r="P170" s="5"/>
      <c r="Z170" t="s">
        <v>39</v>
      </c>
    </row>
    <row r="171" spans="1:29" x14ac:dyDescent="0.35">
      <c r="A171" s="4">
        <v>42509</v>
      </c>
      <c r="B171" t="s">
        <v>30</v>
      </c>
      <c r="C171">
        <v>202</v>
      </c>
      <c r="D171">
        <v>10</v>
      </c>
      <c r="E171">
        <v>1</v>
      </c>
      <c r="F171" t="s">
        <v>31</v>
      </c>
      <c r="G171" t="s">
        <v>32</v>
      </c>
      <c r="H171" t="s">
        <v>33</v>
      </c>
      <c r="I171" t="s">
        <v>59</v>
      </c>
      <c r="O171" s="5"/>
      <c r="P171" s="5"/>
      <c r="Z171" t="s">
        <v>39</v>
      </c>
    </row>
    <row r="172" spans="1:29" x14ac:dyDescent="0.35">
      <c r="A172" s="4">
        <v>42509</v>
      </c>
      <c r="B172" t="s">
        <v>30</v>
      </c>
      <c r="C172">
        <v>304</v>
      </c>
      <c r="D172">
        <v>2</v>
      </c>
      <c r="E172">
        <v>2</v>
      </c>
      <c r="F172" t="s">
        <v>31</v>
      </c>
      <c r="G172" t="s">
        <v>32</v>
      </c>
      <c r="H172" t="s">
        <v>33</v>
      </c>
      <c r="I172" t="s">
        <v>59</v>
      </c>
      <c r="O172" s="5"/>
      <c r="P172" s="5"/>
      <c r="Z172" t="s">
        <v>39</v>
      </c>
    </row>
    <row r="173" spans="1:29" x14ac:dyDescent="0.35">
      <c r="A173" s="4">
        <v>42509</v>
      </c>
      <c r="B173" t="s">
        <v>30</v>
      </c>
      <c r="C173">
        <v>113</v>
      </c>
      <c r="D173">
        <v>4</v>
      </c>
      <c r="E173">
        <v>2</v>
      </c>
      <c r="F173" t="s">
        <v>42</v>
      </c>
      <c r="G173" t="s">
        <v>32</v>
      </c>
      <c r="H173" t="s">
        <v>33</v>
      </c>
      <c r="I173" t="s">
        <v>59</v>
      </c>
      <c r="O173" s="5"/>
      <c r="P173" s="5"/>
      <c r="Z173" t="s">
        <v>39</v>
      </c>
    </row>
    <row r="174" spans="1:29" x14ac:dyDescent="0.35">
      <c r="A174" s="4">
        <v>42509</v>
      </c>
      <c r="B174" t="s">
        <v>30</v>
      </c>
      <c r="C174">
        <v>113</v>
      </c>
      <c r="D174">
        <v>6</v>
      </c>
      <c r="E174">
        <v>1</v>
      </c>
      <c r="F174" t="s">
        <v>42</v>
      </c>
      <c r="G174" t="s">
        <v>32</v>
      </c>
      <c r="H174" t="s">
        <v>33</v>
      </c>
      <c r="I174" t="s">
        <v>59</v>
      </c>
      <c r="O174" s="5"/>
      <c r="P174" s="5"/>
      <c r="Z174" t="s">
        <v>39</v>
      </c>
    </row>
    <row r="175" spans="1:29" x14ac:dyDescent="0.35">
      <c r="A175" s="4">
        <v>42509</v>
      </c>
      <c r="B175" t="s">
        <v>30</v>
      </c>
      <c r="C175">
        <v>113</v>
      </c>
      <c r="D175">
        <v>9</v>
      </c>
      <c r="E175">
        <v>1</v>
      </c>
      <c r="F175" t="s">
        <v>42</v>
      </c>
      <c r="G175" t="s">
        <v>32</v>
      </c>
      <c r="H175" t="s">
        <v>33</v>
      </c>
      <c r="I175" t="s">
        <v>59</v>
      </c>
      <c r="O175" s="5"/>
      <c r="P175" s="5"/>
      <c r="Z175" t="s">
        <v>39</v>
      </c>
    </row>
    <row r="176" spans="1:29" x14ac:dyDescent="0.35">
      <c r="A176" s="4">
        <v>42509</v>
      </c>
      <c r="B176" t="s">
        <v>30</v>
      </c>
      <c r="C176">
        <v>304</v>
      </c>
      <c r="D176">
        <v>1</v>
      </c>
      <c r="E176">
        <v>1</v>
      </c>
      <c r="F176" t="s">
        <v>42</v>
      </c>
      <c r="G176" t="s">
        <v>32</v>
      </c>
      <c r="H176" t="s">
        <v>33</v>
      </c>
      <c r="I176" t="s">
        <v>59</v>
      </c>
      <c r="O176" s="5"/>
      <c r="P176" s="5"/>
      <c r="Z176" t="s">
        <v>39</v>
      </c>
    </row>
    <row r="177" spans="1:30" x14ac:dyDescent="0.35">
      <c r="A177" s="4">
        <v>42509</v>
      </c>
      <c r="B177" t="s">
        <v>30</v>
      </c>
      <c r="C177">
        <v>304</v>
      </c>
      <c r="D177">
        <v>2</v>
      </c>
      <c r="E177">
        <v>1</v>
      </c>
      <c r="F177" t="s">
        <v>42</v>
      </c>
      <c r="G177" t="s">
        <v>32</v>
      </c>
      <c r="H177" t="s">
        <v>33</v>
      </c>
      <c r="I177" t="s">
        <v>59</v>
      </c>
      <c r="O177" s="5"/>
      <c r="P177" s="5"/>
      <c r="Z177" t="s">
        <v>39</v>
      </c>
    </row>
    <row r="178" spans="1:30" x14ac:dyDescent="0.35">
      <c r="A178" s="4">
        <v>42509</v>
      </c>
      <c r="B178" t="s">
        <v>30</v>
      </c>
      <c r="C178">
        <v>304</v>
      </c>
      <c r="D178">
        <v>7</v>
      </c>
      <c r="E178">
        <v>1</v>
      </c>
      <c r="F178" t="s">
        <v>42</v>
      </c>
      <c r="G178" t="s">
        <v>32</v>
      </c>
      <c r="H178" t="s">
        <v>33</v>
      </c>
      <c r="I178" t="s">
        <v>59</v>
      </c>
      <c r="O178" s="5"/>
      <c r="P178" s="5"/>
      <c r="Z178" t="s">
        <v>39</v>
      </c>
    </row>
    <row r="179" spans="1:30" x14ac:dyDescent="0.35">
      <c r="A179" s="4">
        <v>42514</v>
      </c>
      <c r="B179" t="s">
        <v>30</v>
      </c>
      <c r="C179">
        <v>803</v>
      </c>
      <c r="D179">
        <v>3</v>
      </c>
      <c r="E179">
        <v>1</v>
      </c>
      <c r="F179" t="s">
        <v>42</v>
      </c>
      <c r="G179" t="s">
        <v>32</v>
      </c>
      <c r="H179" t="s">
        <v>33</v>
      </c>
      <c r="I179" t="s">
        <v>43</v>
      </c>
      <c r="J179" t="s">
        <v>35</v>
      </c>
      <c r="K179" t="s">
        <v>36</v>
      </c>
      <c r="L179" t="s">
        <v>37</v>
      </c>
      <c r="M179">
        <v>1</v>
      </c>
      <c r="N179">
        <v>0</v>
      </c>
      <c r="O179" s="5">
        <v>26620</v>
      </c>
      <c r="P179" s="5">
        <v>26621</v>
      </c>
      <c r="Q179">
        <f>36.5-13</f>
        <v>23.5</v>
      </c>
      <c r="R179" t="s">
        <v>38</v>
      </c>
      <c r="S179" t="s">
        <v>39</v>
      </c>
      <c r="Z179" t="s">
        <v>39</v>
      </c>
      <c r="AB179" t="s">
        <v>47</v>
      </c>
      <c r="AC179" t="s">
        <v>41</v>
      </c>
      <c r="AD179" t="s">
        <v>90</v>
      </c>
    </row>
    <row r="180" spans="1:30" x14ac:dyDescent="0.35">
      <c r="A180" s="4">
        <v>42514</v>
      </c>
      <c r="B180" t="s">
        <v>30</v>
      </c>
      <c r="C180">
        <v>401</v>
      </c>
      <c r="D180">
        <v>6</v>
      </c>
      <c r="E180">
        <v>1</v>
      </c>
      <c r="F180" t="s">
        <v>31</v>
      </c>
      <c r="G180" t="s">
        <v>32</v>
      </c>
      <c r="H180" t="s">
        <v>33</v>
      </c>
      <c r="I180" t="s">
        <v>43</v>
      </c>
      <c r="J180" t="s">
        <v>35</v>
      </c>
      <c r="K180" t="s">
        <v>36</v>
      </c>
      <c r="L180" t="s">
        <v>37</v>
      </c>
      <c r="M180">
        <v>0</v>
      </c>
      <c r="N180">
        <v>1</v>
      </c>
      <c r="O180" s="5">
        <v>50321</v>
      </c>
      <c r="P180" s="5">
        <v>50320</v>
      </c>
      <c r="Q180">
        <v>19</v>
      </c>
      <c r="R180" t="s">
        <v>46</v>
      </c>
      <c r="S180" t="s">
        <v>39</v>
      </c>
      <c r="T180">
        <v>19</v>
      </c>
      <c r="U180">
        <v>86</v>
      </c>
      <c r="V180">
        <v>13</v>
      </c>
      <c r="Z180" t="s">
        <v>39</v>
      </c>
      <c r="AB180" t="s">
        <v>47</v>
      </c>
      <c r="AC180" t="s">
        <v>41</v>
      </c>
    </row>
    <row r="181" spans="1:30" x14ac:dyDescent="0.35">
      <c r="A181" s="4">
        <v>42514</v>
      </c>
      <c r="B181" t="s">
        <v>30</v>
      </c>
      <c r="C181">
        <v>703</v>
      </c>
      <c r="D181">
        <v>8</v>
      </c>
      <c r="E181">
        <v>1</v>
      </c>
      <c r="F181" t="s">
        <v>42</v>
      </c>
      <c r="G181" t="s">
        <v>32</v>
      </c>
      <c r="H181" t="s">
        <v>33</v>
      </c>
      <c r="I181" t="s">
        <v>43</v>
      </c>
      <c r="J181" t="s">
        <v>48</v>
      </c>
      <c r="K181" t="s">
        <v>36</v>
      </c>
      <c r="L181" t="s">
        <v>37</v>
      </c>
      <c r="M181">
        <v>1</v>
      </c>
      <c r="N181">
        <v>0</v>
      </c>
      <c r="O181" s="5">
        <v>50387</v>
      </c>
      <c r="P181" s="5">
        <v>26622</v>
      </c>
      <c r="Q181">
        <v>21.5</v>
      </c>
      <c r="R181" t="s">
        <v>64</v>
      </c>
      <c r="S181" t="s">
        <v>39</v>
      </c>
      <c r="T181">
        <v>18</v>
      </c>
      <c r="U181">
        <v>80</v>
      </c>
      <c r="V181">
        <v>12.5</v>
      </c>
      <c r="W181">
        <v>11.4</v>
      </c>
      <c r="X181">
        <v>29.35</v>
      </c>
      <c r="Y181" t="s">
        <v>91</v>
      </c>
      <c r="Z181" t="s">
        <v>39</v>
      </c>
      <c r="AB181" t="s">
        <v>47</v>
      </c>
      <c r="AC181" t="s">
        <v>41</v>
      </c>
    </row>
    <row r="182" spans="1:30" x14ac:dyDescent="0.35">
      <c r="A182" s="4">
        <v>42514</v>
      </c>
      <c r="B182" t="s">
        <v>30</v>
      </c>
      <c r="C182">
        <v>703</v>
      </c>
      <c r="D182">
        <v>9</v>
      </c>
      <c r="E182">
        <v>2</v>
      </c>
      <c r="F182" t="s">
        <v>42</v>
      </c>
      <c r="G182" t="s">
        <v>32</v>
      </c>
      <c r="H182" t="s">
        <v>33</v>
      </c>
      <c r="I182" t="s">
        <v>43</v>
      </c>
      <c r="J182" t="s">
        <v>44</v>
      </c>
      <c r="K182" t="s">
        <v>36</v>
      </c>
      <c r="L182" t="s">
        <v>45</v>
      </c>
      <c r="M182">
        <v>0</v>
      </c>
      <c r="N182">
        <v>0</v>
      </c>
      <c r="O182" s="5">
        <v>50395</v>
      </c>
      <c r="P182" s="5">
        <v>50394</v>
      </c>
      <c r="Q182">
        <v>22</v>
      </c>
      <c r="R182" t="s">
        <v>46</v>
      </c>
      <c r="S182" t="s">
        <v>39</v>
      </c>
      <c r="T182">
        <v>17.5</v>
      </c>
      <c r="U182">
        <v>83</v>
      </c>
      <c r="V182">
        <v>17</v>
      </c>
      <c r="W182">
        <v>11</v>
      </c>
      <c r="X182">
        <v>25.98</v>
      </c>
      <c r="Z182" t="s">
        <v>39</v>
      </c>
      <c r="AB182" t="s">
        <v>47</v>
      </c>
      <c r="AC182" t="s">
        <v>41</v>
      </c>
    </row>
    <row r="183" spans="1:30" x14ac:dyDescent="0.35">
      <c r="A183" s="4">
        <v>42514</v>
      </c>
      <c r="B183" t="s">
        <v>30</v>
      </c>
      <c r="C183">
        <v>703</v>
      </c>
      <c r="D183">
        <v>9</v>
      </c>
      <c r="E183">
        <v>1</v>
      </c>
      <c r="F183" t="s">
        <v>42</v>
      </c>
      <c r="G183" t="s">
        <v>32</v>
      </c>
      <c r="H183" t="s">
        <v>33</v>
      </c>
      <c r="I183" t="s">
        <v>43</v>
      </c>
      <c r="J183" t="s">
        <v>44</v>
      </c>
      <c r="K183" t="s">
        <v>36</v>
      </c>
      <c r="L183" t="s">
        <v>45</v>
      </c>
      <c r="M183">
        <v>0</v>
      </c>
      <c r="N183">
        <v>0</v>
      </c>
      <c r="O183" s="5" t="s">
        <v>70</v>
      </c>
      <c r="P183" s="5" t="s">
        <v>71</v>
      </c>
      <c r="Q183">
        <f>39-17.5</f>
        <v>21.5</v>
      </c>
      <c r="R183" t="s">
        <v>79</v>
      </c>
      <c r="S183" t="s">
        <v>39</v>
      </c>
      <c r="T183">
        <v>19</v>
      </c>
      <c r="U183">
        <v>90</v>
      </c>
      <c r="V183">
        <v>12</v>
      </c>
      <c r="W183">
        <v>10.85</v>
      </c>
      <c r="X183">
        <v>25.5</v>
      </c>
      <c r="Z183" t="s">
        <v>39</v>
      </c>
      <c r="AB183" t="s">
        <v>47</v>
      </c>
      <c r="AC183" t="s">
        <v>41</v>
      </c>
    </row>
    <row r="184" spans="1:30" x14ac:dyDescent="0.35">
      <c r="A184" s="4">
        <v>42514</v>
      </c>
      <c r="B184" t="s">
        <v>30</v>
      </c>
      <c r="C184">
        <v>801</v>
      </c>
      <c r="D184">
        <v>8</v>
      </c>
      <c r="E184">
        <v>1</v>
      </c>
      <c r="F184" t="s">
        <v>42</v>
      </c>
      <c r="G184" t="s">
        <v>32</v>
      </c>
      <c r="H184" t="s">
        <v>33</v>
      </c>
      <c r="I184" t="s">
        <v>34</v>
      </c>
      <c r="J184" t="s">
        <v>44</v>
      </c>
      <c r="K184" t="s">
        <v>36</v>
      </c>
      <c r="L184" t="s">
        <v>37</v>
      </c>
      <c r="M184">
        <v>0</v>
      </c>
      <c r="N184">
        <v>0</v>
      </c>
      <c r="O184" s="5">
        <v>50392</v>
      </c>
      <c r="P184" s="5"/>
      <c r="Q184">
        <f>185-90</f>
        <v>95</v>
      </c>
      <c r="R184" t="s">
        <v>38</v>
      </c>
      <c r="S184" t="s">
        <v>39</v>
      </c>
      <c r="T184">
        <v>29</v>
      </c>
      <c r="W184">
        <v>22.69</v>
      </c>
      <c r="X184">
        <v>41.15</v>
      </c>
      <c r="Z184" t="s">
        <v>39</v>
      </c>
      <c r="AB184" t="s">
        <v>47</v>
      </c>
      <c r="AC184" t="s">
        <v>41</v>
      </c>
    </row>
    <row r="185" spans="1:30" x14ac:dyDescent="0.35">
      <c r="A185" s="4">
        <v>42514</v>
      </c>
      <c r="B185" t="s">
        <v>30</v>
      </c>
      <c r="C185">
        <v>503</v>
      </c>
      <c r="D185">
        <v>5</v>
      </c>
      <c r="E185">
        <v>2</v>
      </c>
      <c r="F185" t="s">
        <v>31</v>
      </c>
      <c r="G185" t="s">
        <v>32</v>
      </c>
      <c r="H185" t="s">
        <v>33</v>
      </c>
      <c r="I185" t="s">
        <v>34</v>
      </c>
      <c r="J185" t="s">
        <v>92</v>
      </c>
      <c r="O185" s="5"/>
      <c r="P185" s="5"/>
      <c r="Z185" t="s">
        <v>39</v>
      </c>
    </row>
    <row r="186" spans="1:30" x14ac:dyDescent="0.35">
      <c r="A186" s="4">
        <v>42514</v>
      </c>
      <c r="B186" t="s">
        <v>30</v>
      </c>
      <c r="C186">
        <v>701</v>
      </c>
      <c r="D186">
        <v>4</v>
      </c>
      <c r="E186">
        <v>1</v>
      </c>
      <c r="F186" t="s">
        <v>42</v>
      </c>
      <c r="G186" t="s">
        <v>32</v>
      </c>
      <c r="H186" t="s">
        <v>33</v>
      </c>
      <c r="I186" t="s">
        <v>34</v>
      </c>
      <c r="J186" t="s">
        <v>44</v>
      </c>
      <c r="K186" t="s">
        <v>36</v>
      </c>
      <c r="L186" t="s">
        <v>45</v>
      </c>
      <c r="M186">
        <v>0</v>
      </c>
      <c r="N186">
        <v>0</v>
      </c>
      <c r="O186" s="5"/>
      <c r="P186" s="5" t="s">
        <v>93</v>
      </c>
      <c r="Q186">
        <v>90</v>
      </c>
      <c r="R186" t="s">
        <v>46</v>
      </c>
      <c r="S186" t="s">
        <v>39</v>
      </c>
      <c r="T186">
        <v>31</v>
      </c>
      <c r="W186">
        <v>19.45</v>
      </c>
      <c r="X186">
        <v>42.81</v>
      </c>
      <c r="Z186" t="s">
        <v>39</v>
      </c>
      <c r="AB186" t="s">
        <v>47</v>
      </c>
      <c r="AC186" t="s">
        <v>41</v>
      </c>
    </row>
    <row r="187" spans="1:30" x14ac:dyDescent="0.35">
      <c r="A187" s="4">
        <v>42514</v>
      </c>
      <c r="B187" t="s">
        <v>30</v>
      </c>
      <c r="C187">
        <v>501</v>
      </c>
      <c r="D187">
        <v>6</v>
      </c>
      <c r="E187">
        <v>1</v>
      </c>
      <c r="F187" t="s">
        <v>31</v>
      </c>
      <c r="G187" t="s">
        <v>32</v>
      </c>
      <c r="H187" t="s">
        <v>33</v>
      </c>
      <c r="I187" t="s">
        <v>59</v>
      </c>
      <c r="O187" s="5"/>
      <c r="P187" s="5"/>
      <c r="Z187" t="s">
        <v>39</v>
      </c>
    </row>
    <row r="188" spans="1:30" x14ac:dyDescent="0.35">
      <c r="A188" s="4">
        <v>42514</v>
      </c>
      <c r="B188" t="s">
        <v>30</v>
      </c>
      <c r="C188">
        <v>501</v>
      </c>
      <c r="D188">
        <v>9</v>
      </c>
      <c r="E188">
        <v>1</v>
      </c>
      <c r="F188" t="s">
        <v>31</v>
      </c>
      <c r="G188" t="s">
        <v>32</v>
      </c>
      <c r="H188" t="s">
        <v>33</v>
      </c>
      <c r="I188" t="s">
        <v>59</v>
      </c>
      <c r="O188" s="5"/>
      <c r="P188" s="5"/>
      <c r="Z188" t="s">
        <v>39</v>
      </c>
    </row>
    <row r="189" spans="1:30" x14ac:dyDescent="0.35">
      <c r="A189" s="4">
        <v>42514</v>
      </c>
      <c r="B189" t="s">
        <v>30</v>
      </c>
      <c r="C189">
        <v>503</v>
      </c>
      <c r="D189">
        <v>5</v>
      </c>
      <c r="E189">
        <v>1</v>
      </c>
      <c r="F189" t="s">
        <v>31</v>
      </c>
      <c r="G189" t="s">
        <v>32</v>
      </c>
      <c r="H189" t="s">
        <v>33</v>
      </c>
      <c r="I189" t="s">
        <v>59</v>
      </c>
      <c r="O189" s="5"/>
      <c r="P189" s="5"/>
      <c r="Z189" t="s">
        <v>39</v>
      </c>
    </row>
    <row r="190" spans="1:30" x14ac:dyDescent="0.35">
      <c r="A190" s="4">
        <v>42514</v>
      </c>
      <c r="B190" t="s">
        <v>30</v>
      </c>
      <c r="C190">
        <v>503</v>
      </c>
      <c r="D190">
        <v>6</v>
      </c>
      <c r="E190">
        <v>1</v>
      </c>
      <c r="F190" t="s">
        <v>31</v>
      </c>
      <c r="G190" t="s">
        <v>32</v>
      </c>
      <c r="H190" t="s">
        <v>33</v>
      </c>
      <c r="I190" t="s">
        <v>59</v>
      </c>
      <c r="O190" s="5"/>
      <c r="P190" s="5"/>
      <c r="Z190" t="s">
        <v>39</v>
      </c>
    </row>
    <row r="191" spans="1:30" x14ac:dyDescent="0.35">
      <c r="A191" s="4">
        <v>42514</v>
      </c>
      <c r="B191" t="s">
        <v>30</v>
      </c>
      <c r="C191">
        <v>503</v>
      </c>
      <c r="D191">
        <v>6</v>
      </c>
      <c r="E191">
        <v>2</v>
      </c>
      <c r="F191" t="s">
        <v>31</v>
      </c>
      <c r="G191" t="s">
        <v>32</v>
      </c>
      <c r="H191" t="s">
        <v>33</v>
      </c>
      <c r="I191" t="s">
        <v>59</v>
      </c>
      <c r="O191" s="5"/>
      <c r="P191" s="5"/>
      <c r="Z191" t="s">
        <v>39</v>
      </c>
    </row>
    <row r="192" spans="1:30" x14ac:dyDescent="0.35">
      <c r="A192" s="4">
        <v>42514</v>
      </c>
      <c r="B192" t="s">
        <v>30</v>
      </c>
      <c r="C192">
        <v>401</v>
      </c>
      <c r="D192">
        <v>1</v>
      </c>
      <c r="E192">
        <v>1</v>
      </c>
      <c r="F192" t="s">
        <v>31</v>
      </c>
      <c r="G192" t="s">
        <v>32</v>
      </c>
      <c r="H192" t="s">
        <v>33</v>
      </c>
      <c r="I192" t="s">
        <v>59</v>
      </c>
      <c r="O192" s="5"/>
      <c r="P192" s="5"/>
      <c r="Z192" t="s">
        <v>39</v>
      </c>
    </row>
    <row r="193" spans="1:29" x14ac:dyDescent="0.35">
      <c r="A193" s="4">
        <v>42514</v>
      </c>
      <c r="B193" t="s">
        <v>30</v>
      </c>
      <c r="C193">
        <v>401</v>
      </c>
      <c r="D193">
        <v>2</v>
      </c>
      <c r="E193">
        <v>1</v>
      </c>
      <c r="F193" t="s">
        <v>31</v>
      </c>
      <c r="G193" t="s">
        <v>32</v>
      </c>
      <c r="H193" t="s">
        <v>33</v>
      </c>
      <c r="I193" t="s">
        <v>59</v>
      </c>
      <c r="O193" s="5"/>
      <c r="P193" s="5"/>
      <c r="Z193" t="s">
        <v>39</v>
      </c>
    </row>
    <row r="194" spans="1:29" x14ac:dyDescent="0.35">
      <c r="A194" s="4">
        <v>42514</v>
      </c>
      <c r="B194" t="s">
        <v>30</v>
      </c>
      <c r="C194">
        <v>701</v>
      </c>
      <c r="D194">
        <v>6</v>
      </c>
      <c r="E194">
        <v>1</v>
      </c>
      <c r="F194" t="s">
        <v>42</v>
      </c>
      <c r="G194" t="s">
        <v>32</v>
      </c>
      <c r="H194" t="s">
        <v>33</v>
      </c>
      <c r="I194" t="s">
        <v>59</v>
      </c>
      <c r="O194" s="5"/>
      <c r="P194" s="5"/>
      <c r="Z194" t="s">
        <v>39</v>
      </c>
    </row>
    <row r="195" spans="1:29" x14ac:dyDescent="0.35">
      <c r="A195" s="4">
        <v>42514</v>
      </c>
      <c r="B195" t="s">
        <v>30</v>
      </c>
      <c r="C195">
        <v>501</v>
      </c>
      <c r="D195">
        <v>9</v>
      </c>
      <c r="E195">
        <v>2</v>
      </c>
      <c r="F195" t="s">
        <v>31</v>
      </c>
      <c r="G195" t="s">
        <v>32</v>
      </c>
      <c r="H195" t="s">
        <v>33</v>
      </c>
      <c r="I195" t="s">
        <v>94</v>
      </c>
      <c r="J195" t="s">
        <v>35</v>
      </c>
      <c r="K195" t="s">
        <v>36</v>
      </c>
      <c r="L195" t="s">
        <v>37</v>
      </c>
      <c r="M195">
        <v>0</v>
      </c>
      <c r="N195">
        <v>1</v>
      </c>
      <c r="O195" s="5">
        <v>50336</v>
      </c>
      <c r="P195" s="5"/>
      <c r="Q195">
        <f>36.5-5</f>
        <v>31.5</v>
      </c>
      <c r="R195" t="s">
        <v>38</v>
      </c>
      <c r="S195" t="s">
        <v>39</v>
      </c>
      <c r="Z195" t="s">
        <v>39</v>
      </c>
      <c r="AB195" t="s">
        <v>47</v>
      </c>
      <c r="AC195" t="s">
        <v>41</v>
      </c>
    </row>
    <row r="196" spans="1:29" x14ac:dyDescent="0.35">
      <c r="A196" s="4">
        <v>42515</v>
      </c>
      <c r="B196" t="s">
        <v>30</v>
      </c>
      <c r="C196">
        <v>501</v>
      </c>
      <c r="D196">
        <v>4</v>
      </c>
      <c r="E196">
        <v>1</v>
      </c>
      <c r="F196" t="s">
        <v>31</v>
      </c>
      <c r="G196" t="s">
        <v>32</v>
      </c>
      <c r="H196" t="s">
        <v>33</v>
      </c>
      <c r="I196" t="s">
        <v>43</v>
      </c>
      <c r="J196" t="s">
        <v>44</v>
      </c>
      <c r="K196" t="s">
        <v>36</v>
      </c>
      <c r="L196" t="s">
        <v>37</v>
      </c>
      <c r="M196">
        <v>0</v>
      </c>
      <c r="N196">
        <v>0</v>
      </c>
      <c r="O196" s="5">
        <v>26604</v>
      </c>
      <c r="P196" s="5">
        <v>26603</v>
      </c>
      <c r="Q196">
        <f>22.5-2</f>
        <v>20.5</v>
      </c>
      <c r="R196" t="s">
        <v>38</v>
      </c>
      <c r="S196" t="s">
        <v>39</v>
      </c>
      <c r="T196">
        <v>20</v>
      </c>
      <c r="U196">
        <v>85</v>
      </c>
      <c r="V196">
        <v>13</v>
      </c>
      <c r="Z196" t="s">
        <v>39</v>
      </c>
      <c r="AB196" t="s">
        <v>95</v>
      </c>
      <c r="AC196" t="s">
        <v>87</v>
      </c>
    </row>
    <row r="197" spans="1:29" x14ac:dyDescent="0.35">
      <c r="A197" s="4">
        <v>42515</v>
      </c>
      <c r="B197" t="s">
        <v>30</v>
      </c>
      <c r="C197">
        <v>303</v>
      </c>
      <c r="D197">
        <v>1</v>
      </c>
      <c r="E197">
        <v>1</v>
      </c>
      <c r="F197" t="s">
        <v>31</v>
      </c>
      <c r="G197" t="s">
        <v>32</v>
      </c>
      <c r="H197" t="s">
        <v>33</v>
      </c>
      <c r="I197" t="s">
        <v>43</v>
      </c>
      <c r="J197" t="s">
        <v>96</v>
      </c>
      <c r="K197" t="s">
        <v>36</v>
      </c>
      <c r="L197" t="s">
        <v>45</v>
      </c>
      <c r="M197">
        <v>0</v>
      </c>
      <c r="N197">
        <v>0</v>
      </c>
      <c r="O197" s="5">
        <v>26635</v>
      </c>
      <c r="P197" s="5">
        <v>26608</v>
      </c>
      <c r="Q197">
        <f>28-1</f>
        <v>27</v>
      </c>
      <c r="R197" t="s">
        <v>77</v>
      </c>
      <c r="S197" t="s">
        <v>39</v>
      </c>
      <c r="T197">
        <v>20</v>
      </c>
      <c r="U197">
        <v>91</v>
      </c>
      <c r="V197">
        <v>14</v>
      </c>
      <c r="Z197" t="s">
        <v>39</v>
      </c>
      <c r="AB197" t="s">
        <v>95</v>
      </c>
      <c r="AC197" t="s">
        <v>87</v>
      </c>
    </row>
    <row r="198" spans="1:29" x14ac:dyDescent="0.35">
      <c r="A198" s="4">
        <v>42515</v>
      </c>
      <c r="B198" t="s">
        <v>30</v>
      </c>
      <c r="C198">
        <v>401</v>
      </c>
      <c r="D198">
        <v>6</v>
      </c>
      <c r="E198">
        <v>1</v>
      </c>
      <c r="F198" t="s">
        <v>31</v>
      </c>
      <c r="G198" t="s">
        <v>32</v>
      </c>
      <c r="H198" t="s">
        <v>33</v>
      </c>
      <c r="I198" t="s">
        <v>43</v>
      </c>
      <c r="J198" t="s">
        <v>35</v>
      </c>
      <c r="K198" t="s">
        <v>36</v>
      </c>
      <c r="L198" t="s">
        <v>45</v>
      </c>
      <c r="M198">
        <v>0</v>
      </c>
      <c r="N198">
        <v>1</v>
      </c>
      <c r="O198" s="5">
        <v>50317</v>
      </c>
      <c r="P198" s="5">
        <v>50316</v>
      </c>
      <c r="Q198">
        <f>19.5</f>
        <v>19.5</v>
      </c>
      <c r="R198" t="s">
        <v>79</v>
      </c>
      <c r="S198" t="s">
        <v>39</v>
      </c>
      <c r="T198">
        <v>18</v>
      </c>
      <c r="U198">
        <v>82</v>
      </c>
      <c r="V198">
        <v>13</v>
      </c>
      <c r="Z198" t="s">
        <v>39</v>
      </c>
      <c r="AB198" t="s">
        <v>95</v>
      </c>
      <c r="AC198" t="s">
        <v>87</v>
      </c>
    </row>
    <row r="199" spans="1:29" x14ac:dyDescent="0.35">
      <c r="A199" s="4">
        <v>42515</v>
      </c>
      <c r="B199" t="s">
        <v>30</v>
      </c>
      <c r="C199">
        <v>401</v>
      </c>
      <c r="D199">
        <v>5</v>
      </c>
      <c r="E199">
        <v>1</v>
      </c>
      <c r="F199" t="s">
        <v>31</v>
      </c>
      <c r="G199" t="s">
        <v>32</v>
      </c>
      <c r="H199" t="s">
        <v>33</v>
      </c>
      <c r="I199" t="s">
        <v>43</v>
      </c>
      <c r="J199" t="s">
        <v>44</v>
      </c>
      <c r="K199" t="s">
        <v>36</v>
      </c>
      <c r="L199" t="s">
        <v>37</v>
      </c>
      <c r="M199">
        <v>0</v>
      </c>
      <c r="N199">
        <v>0</v>
      </c>
      <c r="O199" s="5">
        <v>50321</v>
      </c>
      <c r="P199" s="5">
        <v>50320</v>
      </c>
      <c r="Q199">
        <f>25.5-1</f>
        <v>24.5</v>
      </c>
      <c r="R199" t="s">
        <v>38</v>
      </c>
      <c r="S199" t="s">
        <v>39</v>
      </c>
      <c r="T199">
        <v>20</v>
      </c>
      <c r="U199">
        <v>88</v>
      </c>
      <c r="V199">
        <v>14</v>
      </c>
      <c r="Z199" t="s">
        <v>39</v>
      </c>
      <c r="AB199" t="s">
        <v>95</v>
      </c>
      <c r="AC199" t="s">
        <v>87</v>
      </c>
    </row>
    <row r="200" spans="1:29" x14ac:dyDescent="0.35">
      <c r="A200" s="4">
        <v>42515</v>
      </c>
      <c r="B200" t="s">
        <v>30</v>
      </c>
      <c r="C200">
        <v>803</v>
      </c>
      <c r="D200">
        <v>8</v>
      </c>
      <c r="E200">
        <v>1</v>
      </c>
      <c r="F200" t="s">
        <v>42</v>
      </c>
      <c r="G200" t="s">
        <v>32</v>
      </c>
      <c r="H200" t="s">
        <v>33</v>
      </c>
      <c r="I200" t="s">
        <v>43</v>
      </c>
      <c r="J200" t="s">
        <v>44</v>
      </c>
      <c r="K200" t="s">
        <v>36</v>
      </c>
      <c r="L200" t="s">
        <v>37</v>
      </c>
      <c r="M200">
        <v>0</v>
      </c>
      <c r="N200">
        <v>0</v>
      </c>
      <c r="O200" s="5">
        <v>50380</v>
      </c>
      <c r="P200" s="5">
        <v>30379</v>
      </c>
      <c r="Q200">
        <f>28.5-9</f>
        <v>19.5</v>
      </c>
      <c r="R200" t="s">
        <v>64</v>
      </c>
      <c r="S200" t="s">
        <v>39</v>
      </c>
      <c r="T200">
        <v>18</v>
      </c>
      <c r="U200">
        <v>91</v>
      </c>
      <c r="V200">
        <v>16</v>
      </c>
      <c r="W200">
        <v>12.72</v>
      </c>
      <c r="X200">
        <v>27.83</v>
      </c>
      <c r="Z200" t="s">
        <v>39</v>
      </c>
      <c r="AB200" t="s">
        <v>97</v>
      </c>
      <c r="AC200" t="s">
        <v>87</v>
      </c>
    </row>
    <row r="201" spans="1:29" x14ac:dyDescent="0.35">
      <c r="A201" s="4">
        <v>42515</v>
      </c>
      <c r="B201" t="s">
        <v>30</v>
      </c>
      <c r="C201">
        <v>703</v>
      </c>
      <c r="D201">
        <v>8</v>
      </c>
      <c r="E201">
        <v>2</v>
      </c>
      <c r="F201" t="s">
        <v>42</v>
      </c>
      <c r="G201" t="s">
        <v>32</v>
      </c>
      <c r="H201" t="s">
        <v>33</v>
      </c>
      <c r="I201" t="s">
        <v>43</v>
      </c>
      <c r="J201" t="s">
        <v>44</v>
      </c>
      <c r="K201" t="s">
        <v>36</v>
      </c>
      <c r="L201" t="s">
        <v>37</v>
      </c>
      <c r="M201">
        <v>0</v>
      </c>
      <c r="N201">
        <v>0</v>
      </c>
      <c r="O201" s="5">
        <v>50384</v>
      </c>
      <c r="P201" s="5">
        <v>50383</v>
      </c>
      <c r="Q201">
        <v>18</v>
      </c>
      <c r="R201" t="s">
        <v>38</v>
      </c>
      <c r="S201" t="s">
        <v>39</v>
      </c>
      <c r="T201">
        <v>18</v>
      </c>
      <c r="U201">
        <v>80.5</v>
      </c>
      <c r="V201">
        <v>16</v>
      </c>
      <c r="W201">
        <v>11.56</v>
      </c>
      <c r="X201">
        <v>27.65</v>
      </c>
      <c r="Z201" t="s">
        <v>39</v>
      </c>
      <c r="AB201" t="s">
        <v>86</v>
      </c>
      <c r="AC201" t="s">
        <v>87</v>
      </c>
    </row>
    <row r="202" spans="1:29" x14ac:dyDescent="0.35">
      <c r="A202" s="4">
        <v>42515</v>
      </c>
      <c r="B202" t="s">
        <v>30</v>
      </c>
      <c r="C202">
        <v>703</v>
      </c>
      <c r="D202">
        <v>1</v>
      </c>
      <c r="E202">
        <v>1</v>
      </c>
      <c r="F202" t="s">
        <v>42</v>
      </c>
      <c r="G202" t="s">
        <v>32</v>
      </c>
      <c r="H202" t="s">
        <v>33</v>
      </c>
      <c r="I202" t="s">
        <v>43</v>
      </c>
      <c r="J202" t="s">
        <v>44</v>
      </c>
      <c r="K202" t="s">
        <v>36</v>
      </c>
      <c r="L202" t="s">
        <v>37</v>
      </c>
      <c r="M202">
        <v>0</v>
      </c>
      <c r="N202">
        <v>0</v>
      </c>
      <c r="O202" s="5">
        <v>50387</v>
      </c>
      <c r="P202" s="5">
        <v>26622</v>
      </c>
      <c r="Q202">
        <v>21</v>
      </c>
      <c r="R202" t="s">
        <v>38</v>
      </c>
      <c r="S202" t="s">
        <v>39</v>
      </c>
      <c r="T202">
        <v>18</v>
      </c>
      <c r="U202">
        <v>76</v>
      </c>
      <c r="V202">
        <v>17</v>
      </c>
      <c r="W202">
        <v>12.65</v>
      </c>
      <c r="X202">
        <v>22.7</v>
      </c>
      <c r="Y202" t="s">
        <v>98</v>
      </c>
      <c r="Z202" t="s">
        <v>39</v>
      </c>
      <c r="AB202" t="s">
        <v>86</v>
      </c>
      <c r="AC202" t="s">
        <v>87</v>
      </c>
    </row>
    <row r="203" spans="1:29" x14ac:dyDescent="0.35">
      <c r="A203" s="4">
        <v>42515</v>
      </c>
      <c r="B203" t="s">
        <v>30</v>
      </c>
      <c r="C203">
        <v>703</v>
      </c>
      <c r="D203">
        <v>9</v>
      </c>
      <c r="E203">
        <v>2</v>
      </c>
      <c r="F203" t="s">
        <v>42</v>
      </c>
      <c r="G203" t="s">
        <v>32</v>
      </c>
      <c r="H203" t="s">
        <v>33</v>
      </c>
      <c r="I203" t="s">
        <v>43</v>
      </c>
      <c r="J203" t="s">
        <v>44</v>
      </c>
      <c r="K203" t="s">
        <v>36</v>
      </c>
      <c r="L203" t="s">
        <v>45</v>
      </c>
      <c r="M203">
        <v>0</v>
      </c>
      <c r="N203">
        <v>0</v>
      </c>
      <c r="O203" s="5">
        <v>50395</v>
      </c>
      <c r="P203" s="5">
        <v>50394</v>
      </c>
      <c r="Q203">
        <f>33.5-12</f>
        <v>21.5</v>
      </c>
      <c r="R203" t="s">
        <v>61</v>
      </c>
      <c r="S203" t="s">
        <v>39</v>
      </c>
      <c r="T203">
        <v>18</v>
      </c>
      <c r="U203">
        <v>83</v>
      </c>
      <c r="V203">
        <v>15</v>
      </c>
      <c r="W203">
        <v>11.35</v>
      </c>
      <c r="X203">
        <v>25.75</v>
      </c>
      <c r="Z203" t="s">
        <v>39</v>
      </c>
      <c r="AB203" t="s">
        <v>97</v>
      </c>
      <c r="AC203" t="s">
        <v>87</v>
      </c>
    </row>
    <row r="204" spans="1:29" x14ac:dyDescent="0.35">
      <c r="A204" s="4">
        <v>42515</v>
      </c>
      <c r="B204" t="s">
        <v>30</v>
      </c>
      <c r="C204">
        <v>703</v>
      </c>
      <c r="D204">
        <v>2</v>
      </c>
      <c r="E204">
        <v>1</v>
      </c>
      <c r="F204" t="s">
        <v>42</v>
      </c>
      <c r="G204" t="s">
        <v>32</v>
      </c>
      <c r="H204" t="s">
        <v>33</v>
      </c>
      <c r="I204" t="s">
        <v>43</v>
      </c>
      <c r="J204" t="s">
        <v>44</v>
      </c>
      <c r="K204" t="s">
        <v>36</v>
      </c>
      <c r="L204" t="s">
        <v>45</v>
      </c>
      <c r="M204">
        <v>0</v>
      </c>
      <c r="N204">
        <v>0</v>
      </c>
      <c r="O204" s="5" t="s">
        <v>70</v>
      </c>
      <c r="P204" s="5" t="s">
        <v>71</v>
      </c>
      <c r="Q204">
        <f>29-10.5</f>
        <v>18.5</v>
      </c>
      <c r="R204" t="s">
        <v>61</v>
      </c>
      <c r="S204" t="s">
        <v>39</v>
      </c>
      <c r="T204">
        <v>18</v>
      </c>
      <c r="U204">
        <v>93</v>
      </c>
      <c r="V204">
        <v>13</v>
      </c>
      <c r="W204">
        <v>11.5</v>
      </c>
      <c r="X204">
        <v>21.25</v>
      </c>
      <c r="Z204" t="s">
        <v>39</v>
      </c>
      <c r="AB204" t="s">
        <v>86</v>
      </c>
      <c r="AC204" t="s">
        <v>87</v>
      </c>
    </row>
    <row r="205" spans="1:29" x14ac:dyDescent="0.35">
      <c r="A205" s="4">
        <v>42515</v>
      </c>
      <c r="B205" t="s">
        <v>30</v>
      </c>
      <c r="C205">
        <v>901</v>
      </c>
      <c r="D205">
        <v>2</v>
      </c>
      <c r="E205">
        <v>1</v>
      </c>
      <c r="F205" t="s">
        <v>42</v>
      </c>
      <c r="G205" t="s">
        <v>32</v>
      </c>
      <c r="H205" t="s">
        <v>33</v>
      </c>
      <c r="I205" t="s">
        <v>43</v>
      </c>
      <c r="J205" t="s">
        <v>44</v>
      </c>
      <c r="K205" t="s">
        <v>36</v>
      </c>
      <c r="L205" t="s">
        <v>45</v>
      </c>
      <c r="M205">
        <v>0</v>
      </c>
      <c r="N205">
        <v>0</v>
      </c>
      <c r="O205" s="5" t="s">
        <v>99</v>
      </c>
      <c r="P205" s="5" t="s">
        <v>100</v>
      </c>
      <c r="Q205">
        <v>21</v>
      </c>
      <c r="R205" t="s">
        <v>46</v>
      </c>
      <c r="S205" t="s">
        <v>39</v>
      </c>
      <c r="T205">
        <v>19</v>
      </c>
      <c r="U205">
        <v>88</v>
      </c>
      <c r="V205">
        <v>16</v>
      </c>
      <c r="W205">
        <v>11.92</v>
      </c>
      <c r="X205">
        <v>28.01</v>
      </c>
      <c r="Y205" t="s">
        <v>101</v>
      </c>
      <c r="Z205" t="s">
        <v>39</v>
      </c>
      <c r="AB205" t="s">
        <v>86</v>
      </c>
      <c r="AC205" t="s">
        <v>87</v>
      </c>
    </row>
    <row r="206" spans="1:29" x14ac:dyDescent="0.35">
      <c r="A206" s="4">
        <v>42515</v>
      </c>
      <c r="B206" t="s">
        <v>30</v>
      </c>
      <c r="C206">
        <v>501</v>
      </c>
      <c r="D206">
        <v>8</v>
      </c>
      <c r="E206">
        <v>1</v>
      </c>
      <c r="F206" t="s">
        <v>31</v>
      </c>
      <c r="G206" t="s">
        <v>32</v>
      </c>
      <c r="H206" t="s">
        <v>33</v>
      </c>
      <c r="I206" t="s">
        <v>34</v>
      </c>
      <c r="J206" t="s">
        <v>44</v>
      </c>
      <c r="K206" t="s">
        <v>36</v>
      </c>
      <c r="L206" t="s">
        <v>45</v>
      </c>
      <c r="M206">
        <v>0</v>
      </c>
      <c r="N206">
        <v>0</v>
      </c>
      <c r="O206" s="5">
        <v>50337</v>
      </c>
      <c r="P206" s="5"/>
      <c r="Q206">
        <f>123-48</f>
        <v>75</v>
      </c>
      <c r="R206" t="s">
        <v>79</v>
      </c>
      <c r="S206" t="s">
        <v>102</v>
      </c>
      <c r="Z206" t="s">
        <v>39</v>
      </c>
      <c r="AB206" t="s">
        <v>95</v>
      </c>
      <c r="AC206" t="s">
        <v>87</v>
      </c>
    </row>
    <row r="207" spans="1:29" x14ac:dyDescent="0.35">
      <c r="A207" s="4">
        <v>42515</v>
      </c>
      <c r="B207" t="s">
        <v>30</v>
      </c>
      <c r="C207">
        <v>503</v>
      </c>
      <c r="D207">
        <v>1</v>
      </c>
      <c r="E207">
        <v>2</v>
      </c>
      <c r="F207" t="s">
        <v>31</v>
      </c>
      <c r="G207" t="s">
        <v>32</v>
      </c>
      <c r="H207" t="s">
        <v>33</v>
      </c>
      <c r="I207" t="s">
        <v>34</v>
      </c>
      <c r="J207" t="s">
        <v>35</v>
      </c>
      <c r="K207" t="s">
        <v>36</v>
      </c>
      <c r="L207" t="s">
        <v>45</v>
      </c>
      <c r="M207">
        <v>0</v>
      </c>
      <c r="N207">
        <v>0</v>
      </c>
      <c r="O207" s="5"/>
      <c r="P207" s="5">
        <v>50318</v>
      </c>
      <c r="Q207">
        <f>146-48</f>
        <v>98</v>
      </c>
      <c r="R207" t="s">
        <v>74</v>
      </c>
      <c r="S207" t="s">
        <v>102</v>
      </c>
      <c r="Z207" t="s">
        <v>39</v>
      </c>
      <c r="AB207" t="s">
        <v>103</v>
      </c>
      <c r="AC207" t="s">
        <v>87</v>
      </c>
    </row>
    <row r="208" spans="1:29" x14ac:dyDescent="0.35">
      <c r="A208" s="4">
        <v>42515</v>
      </c>
      <c r="B208" t="s">
        <v>30</v>
      </c>
      <c r="C208">
        <v>703</v>
      </c>
      <c r="D208">
        <v>5</v>
      </c>
      <c r="E208">
        <v>1</v>
      </c>
      <c r="F208" t="s">
        <v>42</v>
      </c>
      <c r="G208" t="s">
        <v>32</v>
      </c>
      <c r="H208" t="s">
        <v>33</v>
      </c>
      <c r="I208" t="s">
        <v>34</v>
      </c>
      <c r="J208" t="s">
        <v>44</v>
      </c>
      <c r="K208" t="s">
        <v>36</v>
      </c>
      <c r="L208" t="s">
        <v>45</v>
      </c>
      <c r="M208">
        <v>0</v>
      </c>
      <c r="N208">
        <v>0</v>
      </c>
      <c r="O208" s="5"/>
      <c r="P208" s="5" t="s">
        <v>93</v>
      </c>
      <c r="Q208">
        <f>170-90</f>
        <v>80</v>
      </c>
      <c r="R208" t="s">
        <v>46</v>
      </c>
      <c r="S208" t="s">
        <v>39</v>
      </c>
      <c r="T208">
        <v>31.5</v>
      </c>
      <c r="W208">
        <v>19.73</v>
      </c>
      <c r="X208">
        <v>44.25</v>
      </c>
      <c r="Z208" t="s">
        <v>39</v>
      </c>
      <c r="AB208" t="s">
        <v>86</v>
      </c>
      <c r="AC208" t="s">
        <v>87</v>
      </c>
    </row>
    <row r="209" spans="1:29" x14ac:dyDescent="0.35">
      <c r="A209" s="4">
        <v>42515</v>
      </c>
      <c r="B209" t="s">
        <v>30</v>
      </c>
      <c r="C209">
        <v>801</v>
      </c>
      <c r="D209">
        <v>2</v>
      </c>
      <c r="E209">
        <v>1</v>
      </c>
      <c r="F209" t="s">
        <v>42</v>
      </c>
      <c r="G209" t="s">
        <v>32</v>
      </c>
      <c r="H209" t="s">
        <v>33</v>
      </c>
      <c r="I209" t="s">
        <v>34</v>
      </c>
      <c r="J209" t="s">
        <v>44</v>
      </c>
      <c r="K209" t="s">
        <v>36</v>
      </c>
      <c r="L209" t="s">
        <v>37</v>
      </c>
      <c r="M209">
        <v>0</v>
      </c>
      <c r="N209">
        <v>0</v>
      </c>
      <c r="O209" s="5"/>
      <c r="P209" s="5">
        <v>50392</v>
      </c>
      <c r="Q209">
        <f>185-92</f>
        <v>93</v>
      </c>
      <c r="R209" t="s">
        <v>38</v>
      </c>
      <c r="S209" t="s">
        <v>39</v>
      </c>
      <c r="T209">
        <v>32</v>
      </c>
      <c r="W209">
        <v>21.55</v>
      </c>
      <c r="X209">
        <v>43.1</v>
      </c>
      <c r="Z209" t="s">
        <v>39</v>
      </c>
      <c r="AB209" t="s">
        <v>97</v>
      </c>
      <c r="AC209" t="s">
        <v>87</v>
      </c>
    </row>
    <row r="210" spans="1:29" x14ac:dyDescent="0.35">
      <c r="A210" s="4">
        <v>42515</v>
      </c>
      <c r="B210" t="s">
        <v>30</v>
      </c>
      <c r="C210">
        <v>801</v>
      </c>
      <c r="D210">
        <v>8</v>
      </c>
      <c r="E210">
        <v>1</v>
      </c>
      <c r="F210" t="s">
        <v>42</v>
      </c>
      <c r="G210" t="s">
        <v>32</v>
      </c>
      <c r="H210" t="s">
        <v>33</v>
      </c>
      <c r="I210" t="s">
        <v>104</v>
      </c>
      <c r="J210" t="s">
        <v>44</v>
      </c>
      <c r="K210" t="s">
        <v>36</v>
      </c>
      <c r="L210" t="s">
        <v>37</v>
      </c>
      <c r="M210">
        <v>0</v>
      </c>
      <c r="N210">
        <v>1</v>
      </c>
      <c r="O210" s="5"/>
      <c r="P210" s="5">
        <v>50375</v>
      </c>
      <c r="Q210">
        <v>25</v>
      </c>
      <c r="R210" t="s">
        <v>64</v>
      </c>
      <c r="S210" t="s">
        <v>39</v>
      </c>
      <c r="T210">
        <v>31</v>
      </c>
      <c r="W210">
        <v>11.52</v>
      </c>
      <c r="X210">
        <v>27.6</v>
      </c>
      <c r="Z210" t="s">
        <v>39</v>
      </c>
      <c r="AB210" t="s">
        <v>97</v>
      </c>
      <c r="AC210" t="s">
        <v>87</v>
      </c>
    </row>
    <row r="211" spans="1:29" x14ac:dyDescent="0.35">
      <c r="A211" s="4">
        <v>42515</v>
      </c>
      <c r="B211" t="s">
        <v>30</v>
      </c>
      <c r="C211">
        <v>303</v>
      </c>
      <c r="D211">
        <v>8</v>
      </c>
      <c r="E211">
        <v>1</v>
      </c>
      <c r="F211" t="s">
        <v>31</v>
      </c>
      <c r="G211" t="s">
        <v>32</v>
      </c>
      <c r="H211" t="s">
        <v>33</v>
      </c>
      <c r="I211" t="s">
        <v>65</v>
      </c>
      <c r="J211" t="s">
        <v>44</v>
      </c>
      <c r="K211" t="s">
        <v>36</v>
      </c>
      <c r="L211" t="s">
        <v>45</v>
      </c>
      <c r="M211">
        <v>0</v>
      </c>
      <c r="N211">
        <v>0</v>
      </c>
      <c r="O211" s="5">
        <v>509</v>
      </c>
      <c r="P211" s="5"/>
      <c r="Q211">
        <f>222-46</f>
        <v>176</v>
      </c>
      <c r="R211" t="s">
        <v>79</v>
      </c>
      <c r="S211" t="s">
        <v>39</v>
      </c>
      <c r="Z211" t="s">
        <v>39</v>
      </c>
      <c r="AB211" t="s">
        <v>95</v>
      </c>
      <c r="AC211" t="s">
        <v>87</v>
      </c>
    </row>
    <row r="212" spans="1:29" x14ac:dyDescent="0.35">
      <c r="A212" s="4">
        <v>42515</v>
      </c>
      <c r="B212" t="s">
        <v>30</v>
      </c>
      <c r="C212">
        <v>401</v>
      </c>
      <c r="D212">
        <v>1</v>
      </c>
      <c r="E212">
        <v>1</v>
      </c>
      <c r="F212" t="s">
        <v>31</v>
      </c>
      <c r="G212" t="s">
        <v>32</v>
      </c>
      <c r="H212" t="s">
        <v>33</v>
      </c>
      <c r="I212" t="s">
        <v>65</v>
      </c>
      <c r="J212" t="s">
        <v>44</v>
      </c>
      <c r="K212" t="s">
        <v>36</v>
      </c>
      <c r="L212" t="s">
        <v>37</v>
      </c>
      <c r="M212">
        <v>0</v>
      </c>
      <c r="N212">
        <v>0</v>
      </c>
      <c r="O212" s="5">
        <v>540</v>
      </c>
      <c r="P212" s="5">
        <v>2227</v>
      </c>
      <c r="Q212">
        <f>230-47</f>
        <v>183</v>
      </c>
      <c r="R212" t="s">
        <v>38</v>
      </c>
      <c r="S212" t="s">
        <v>39</v>
      </c>
      <c r="Z212" t="s">
        <v>39</v>
      </c>
    </row>
    <row r="213" spans="1:29" x14ac:dyDescent="0.35">
      <c r="A213" s="4">
        <v>42515</v>
      </c>
      <c r="B213" t="s">
        <v>30</v>
      </c>
      <c r="C213">
        <v>501</v>
      </c>
      <c r="D213">
        <v>7</v>
      </c>
      <c r="E213">
        <v>1</v>
      </c>
      <c r="F213" t="s">
        <v>31</v>
      </c>
      <c r="G213" t="s">
        <v>32</v>
      </c>
      <c r="H213" t="s">
        <v>33</v>
      </c>
      <c r="I213" t="s">
        <v>65</v>
      </c>
      <c r="J213" t="s">
        <v>35</v>
      </c>
      <c r="K213" t="s">
        <v>36</v>
      </c>
      <c r="L213" t="s">
        <v>37</v>
      </c>
      <c r="M213">
        <v>0</v>
      </c>
      <c r="N213">
        <v>0</v>
      </c>
      <c r="O213" s="5">
        <v>50319</v>
      </c>
      <c r="P213" s="5"/>
      <c r="Q213">
        <f>198-48</f>
        <v>150</v>
      </c>
      <c r="R213" t="s">
        <v>38</v>
      </c>
      <c r="S213" t="s">
        <v>39</v>
      </c>
      <c r="Z213" t="s">
        <v>39</v>
      </c>
      <c r="AB213" t="s">
        <v>95</v>
      </c>
      <c r="AC213" t="s">
        <v>87</v>
      </c>
    </row>
    <row r="214" spans="1:29" x14ac:dyDescent="0.35">
      <c r="A214" s="4">
        <v>42515</v>
      </c>
      <c r="B214" t="s">
        <v>30</v>
      </c>
      <c r="C214">
        <v>701</v>
      </c>
      <c r="D214">
        <v>8</v>
      </c>
      <c r="E214">
        <v>1</v>
      </c>
      <c r="F214" t="s">
        <v>42</v>
      </c>
      <c r="G214" t="s">
        <v>32</v>
      </c>
      <c r="H214" t="s">
        <v>33</v>
      </c>
      <c r="I214" t="s">
        <v>81</v>
      </c>
      <c r="O214" s="5"/>
      <c r="P214" s="5"/>
      <c r="Z214" t="s">
        <v>39</v>
      </c>
    </row>
    <row r="215" spans="1:29" x14ac:dyDescent="0.35">
      <c r="A215" s="4">
        <v>42515</v>
      </c>
      <c r="B215" t="s">
        <v>30</v>
      </c>
      <c r="C215">
        <v>501</v>
      </c>
      <c r="D215">
        <v>2</v>
      </c>
      <c r="E215">
        <v>1</v>
      </c>
      <c r="F215" t="s">
        <v>31</v>
      </c>
      <c r="G215" t="s">
        <v>32</v>
      </c>
      <c r="H215" t="s">
        <v>33</v>
      </c>
      <c r="I215" t="s">
        <v>59</v>
      </c>
      <c r="O215" s="5"/>
      <c r="P215" s="5"/>
      <c r="Z215" t="s">
        <v>39</v>
      </c>
    </row>
    <row r="216" spans="1:29" x14ac:dyDescent="0.35">
      <c r="A216" s="4">
        <v>42515</v>
      </c>
      <c r="B216" t="s">
        <v>30</v>
      </c>
      <c r="C216">
        <v>503</v>
      </c>
      <c r="D216">
        <v>3</v>
      </c>
      <c r="E216">
        <v>1</v>
      </c>
      <c r="F216" t="s">
        <v>31</v>
      </c>
      <c r="G216" t="s">
        <v>32</v>
      </c>
      <c r="H216" t="s">
        <v>33</v>
      </c>
      <c r="I216" t="s">
        <v>59</v>
      </c>
      <c r="O216" s="5"/>
      <c r="P216" s="5"/>
      <c r="Z216" t="s">
        <v>39</v>
      </c>
    </row>
    <row r="217" spans="1:29" x14ac:dyDescent="0.35">
      <c r="A217" s="4">
        <v>42515</v>
      </c>
      <c r="B217" t="s">
        <v>30</v>
      </c>
      <c r="C217">
        <v>503</v>
      </c>
      <c r="D217">
        <v>5</v>
      </c>
      <c r="E217">
        <v>1</v>
      </c>
      <c r="F217" t="s">
        <v>31</v>
      </c>
      <c r="G217" t="s">
        <v>32</v>
      </c>
      <c r="H217" t="s">
        <v>33</v>
      </c>
      <c r="I217" t="s">
        <v>59</v>
      </c>
      <c r="O217" s="5"/>
      <c r="P217" s="5"/>
      <c r="Z217" t="s">
        <v>39</v>
      </c>
    </row>
    <row r="218" spans="1:29" x14ac:dyDescent="0.35">
      <c r="A218" s="4">
        <v>42515</v>
      </c>
      <c r="B218" t="s">
        <v>30</v>
      </c>
      <c r="C218">
        <v>503</v>
      </c>
      <c r="D218">
        <v>5</v>
      </c>
      <c r="E218">
        <v>2</v>
      </c>
      <c r="F218" t="s">
        <v>31</v>
      </c>
      <c r="G218" t="s">
        <v>32</v>
      </c>
      <c r="H218" t="s">
        <v>33</v>
      </c>
      <c r="I218" t="s">
        <v>59</v>
      </c>
      <c r="O218" s="5"/>
      <c r="P218" s="5"/>
      <c r="Z218" t="s">
        <v>39</v>
      </c>
    </row>
    <row r="219" spans="1:29" x14ac:dyDescent="0.35">
      <c r="A219" s="4">
        <v>42515</v>
      </c>
      <c r="B219" t="s">
        <v>30</v>
      </c>
      <c r="C219">
        <v>503</v>
      </c>
      <c r="D219">
        <v>6</v>
      </c>
      <c r="E219">
        <v>1</v>
      </c>
      <c r="F219" t="s">
        <v>31</v>
      </c>
      <c r="G219" t="s">
        <v>32</v>
      </c>
      <c r="H219" t="s">
        <v>33</v>
      </c>
      <c r="I219" t="s">
        <v>59</v>
      </c>
      <c r="O219" s="5"/>
      <c r="P219" s="5"/>
      <c r="Z219" t="s">
        <v>39</v>
      </c>
    </row>
    <row r="220" spans="1:29" x14ac:dyDescent="0.35">
      <c r="A220" s="4">
        <v>42515</v>
      </c>
      <c r="B220" t="s">
        <v>30</v>
      </c>
      <c r="C220">
        <v>503</v>
      </c>
      <c r="D220">
        <v>10</v>
      </c>
      <c r="E220">
        <v>1</v>
      </c>
      <c r="F220" t="s">
        <v>31</v>
      </c>
      <c r="G220" t="s">
        <v>32</v>
      </c>
      <c r="H220" t="s">
        <v>33</v>
      </c>
      <c r="I220" t="s">
        <v>59</v>
      </c>
      <c r="O220" s="5"/>
      <c r="P220" s="5"/>
      <c r="Z220" t="s">
        <v>39</v>
      </c>
    </row>
    <row r="221" spans="1:29" x14ac:dyDescent="0.35">
      <c r="A221" s="4">
        <v>42515</v>
      </c>
      <c r="B221" t="s">
        <v>30</v>
      </c>
      <c r="C221">
        <v>303</v>
      </c>
      <c r="D221">
        <v>10</v>
      </c>
      <c r="E221">
        <v>1</v>
      </c>
      <c r="F221" t="s">
        <v>31</v>
      </c>
      <c r="G221" t="s">
        <v>32</v>
      </c>
      <c r="H221" t="s">
        <v>33</v>
      </c>
      <c r="I221" t="s">
        <v>59</v>
      </c>
      <c r="O221" s="5"/>
      <c r="P221" s="5"/>
      <c r="Z221" t="s">
        <v>39</v>
      </c>
    </row>
    <row r="222" spans="1:29" x14ac:dyDescent="0.35">
      <c r="A222" s="4">
        <v>42515</v>
      </c>
      <c r="B222" t="s">
        <v>30</v>
      </c>
      <c r="C222">
        <v>303</v>
      </c>
      <c r="D222">
        <v>10</v>
      </c>
      <c r="E222">
        <v>2</v>
      </c>
      <c r="F222" t="s">
        <v>31</v>
      </c>
      <c r="G222" t="s">
        <v>32</v>
      </c>
      <c r="H222" t="s">
        <v>33</v>
      </c>
      <c r="I222" t="s">
        <v>59</v>
      </c>
      <c r="O222" s="5"/>
      <c r="P222" s="5"/>
      <c r="Z222" t="s">
        <v>39</v>
      </c>
    </row>
    <row r="223" spans="1:29" x14ac:dyDescent="0.35">
      <c r="A223" s="4">
        <v>42515</v>
      </c>
      <c r="B223" t="s">
        <v>30</v>
      </c>
      <c r="C223">
        <v>401</v>
      </c>
      <c r="D223">
        <v>10</v>
      </c>
      <c r="E223">
        <v>1</v>
      </c>
      <c r="F223" t="s">
        <v>31</v>
      </c>
      <c r="G223" t="s">
        <v>32</v>
      </c>
      <c r="H223" t="s">
        <v>33</v>
      </c>
      <c r="I223" t="s">
        <v>59</v>
      </c>
      <c r="O223" s="5"/>
      <c r="P223" s="5"/>
      <c r="Z223" t="s">
        <v>39</v>
      </c>
    </row>
    <row r="224" spans="1:29" x14ac:dyDescent="0.35">
      <c r="A224" s="4">
        <v>42515</v>
      </c>
      <c r="B224" t="s">
        <v>30</v>
      </c>
      <c r="C224">
        <v>703</v>
      </c>
      <c r="D224">
        <v>4</v>
      </c>
      <c r="E224">
        <v>1</v>
      </c>
      <c r="F224" t="s">
        <v>42</v>
      </c>
      <c r="G224" t="s">
        <v>32</v>
      </c>
      <c r="H224" t="s">
        <v>33</v>
      </c>
      <c r="I224" t="s">
        <v>59</v>
      </c>
      <c r="O224" s="5"/>
      <c r="P224" s="5"/>
      <c r="Z224" t="s">
        <v>39</v>
      </c>
    </row>
    <row r="225" spans="1:29" x14ac:dyDescent="0.35">
      <c r="A225" s="4">
        <v>42515</v>
      </c>
      <c r="B225" t="s">
        <v>30</v>
      </c>
      <c r="C225">
        <v>703</v>
      </c>
      <c r="D225">
        <v>8</v>
      </c>
      <c r="E225">
        <v>1</v>
      </c>
      <c r="F225" t="s">
        <v>42</v>
      </c>
      <c r="G225" t="s">
        <v>32</v>
      </c>
      <c r="H225" t="s">
        <v>33</v>
      </c>
      <c r="I225" t="s">
        <v>59</v>
      </c>
      <c r="O225" s="5"/>
      <c r="P225" s="5"/>
      <c r="Z225" t="s">
        <v>39</v>
      </c>
    </row>
    <row r="226" spans="1:29" x14ac:dyDescent="0.35">
      <c r="A226" s="4">
        <v>42515</v>
      </c>
      <c r="B226" t="s">
        <v>30</v>
      </c>
      <c r="C226">
        <v>703</v>
      </c>
      <c r="D226">
        <v>9</v>
      </c>
      <c r="E226">
        <v>1</v>
      </c>
      <c r="F226" t="s">
        <v>42</v>
      </c>
      <c r="G226" t="s">
        <v>32</v>
      </c>
      <c r="H226" t="s">
        <v>33</v>
      </c>
      <c r="I226" t="s">
        <v>59</v>
      </c>
      <c r="O226" s="5"/>
      <c r="P226" s="5"/>
      <c r="Z226" t="s">
        <v>39</v>
      </c>
    </row>
    <row r="227" spans="1:29" x14ac:dyDescent="0.35">
      <c r="A227" s="4">
        <v>42515</v>
      </c>
      <c r="B227" t="s">
        <v>30</v>
      </c>
      <c r="C227">
        <v>901</v>
      </c>
      <c r="D227">
        <v>1</v>
      </c>
      <c r="E227">
        <v>1</v>
      </c>
      <c r="F227" t="s">
        <v>42</v>
      </c>
      <c r="G227" t="s">
        <v>32</v>
      </c>
      <c r="H227" t="s">
        <v>33</v>
      </c>
      <c r="I227" t="s">
        <v>59</v>
      </c>
      <c r="O227" s="5"/>
      <c r="P227" s="5"/>
      <c r="Z227" t="s">
        <v>39</v>
      </c>
    </row>
    <row r="228" spans="1:29" x14ac:dyDescent="0.35">
      <c r="A228" s="4">
        <v>42515</v>
      </c>
      <c r="B228" t="s">
        <v>30</v>
      </c>
      <c r="C228">
        <v>901</v>
      </c>
      <c r="D228">
        <v>1</v>
      </c>
      <c r="E228">
        <v>2</v>
      </c>
      <c r="F228" t="s">
        <v>42</v>
      </c>
      <c r="G228" t="s">
        <v>32</v>
      </c>
      <c r="H228" t="s">
        <v>33</v>
      </c>
      <c r="I228" t="s">
        <v>59</v>
      </c>
      <c r="O228" s="5"/>
      <c r="P228" s="5"/>
      <c r="Z228" t="s">
        <v>39</v>
      </c>
    </row>
    <row r="229" spans="1:29" x14ac:dyDescent="0.35">
      <c r="A229" s="4">
        <v>42515</v>
      </c>
      <c r="B229" t="s">
        <v>30</v>
      </c>
      <c r="C229">
        <v>901</v>
      </c>
      <c r="D229">
        <v>10</v>
      </c>
      <c r="E229">
        <v>1</v>
      </c>
      <c r="F229" t="s">
        <v>42</v>
      </c>
      <c r="G229" t="s">
        <v>32</v>
      </c>
      <c r="H229" t="s">
        <v>33</v>
      </c>
      <c r="I229" t="s">
        <v>59</v>
      </c>
      <c r="O229" s="5"/>
      <c r="P229" s="5"/>
      <c r="Z229" t="s">
        <v>39</v>
      </c>
    </row>
    <row r="230" spans="1:29" x14ac:dyDescent="0.35">
      <c r="A230" s="4">
        <v>42515</v>
      </c>
      <c r="B230" t="s">
        <v>30</v>
      </c>
      <c r="C230">
        <v>503</v>
      </c>
      <c r="D230">
        <v>1</v>
      </c>
      <c r="E230">
        <v>1</v>
      </c>
      <c r="F230" t="s">
        <v>31</v>
      </c>
      <c r="G230" t="s">
        <v>32</v>
      </c>
      <c r="H230" t="s">
        <v>33</v>
      </c>
      <c r="I230" t="s">
        <v>105</v>
      </c>
      <c r="O230" s="5"/>
      <c r="P230" s="5"/>
      <c r="Z230" t="s">
        <v>39</v>
      </c>
    </row>
    <row r="231" spans="1:29" x14ac:dyDescent="0.35">
      <c r="A231" s="4">
        <v>42515</v>
      </c>
      <c r="B231" t="s">
        <v>30</v>
      </c>
      <c r="C231">
        <v>501</v>
      </c>
      <c r="D231">
        <v>6</v>
      </c>
      <c r="E231">
        <v>1</v>
      </c>
      <c r="F231" t="s">
        <v>31</v>
      </c>
      <c r="G231" t="s">
        <v>32</v>
      </c>
      <c r="H231" t="s">
        <v>33</v>
      </c>
      <c r="I231" t="s">
        <v>94</v>
      </c>
      <c r="J231" t="s">
        <v>44</v>
      </c>
      <c r="K231" t="s">
        <v>36</v>
      </c>
      <c r="L231" t="s">
        <v>37</v>
      </c>
      <c r="M231">
        <v>0</v>
      </c>
      <c r="N231">
        <v>0</v>
      </c>
      <c r="O231" s="5">
        <v>50336</v>
      </c>
      <c r="P231" s="5"/>
      <c r="Q231">
        <f>23.5-1.5</f>
        <v>22</v>
      </c>
      <c r="R231" t="s">
        <v>38</v>
      </c>
      <c r="S231" t="s">
        <v>39</v>
      </c>
      <c r="Z231" t="s">
        <v>39</v>
      </c>
      <c r="AB231" t="s">
        <v>95</v>
      </c>
      <c r="AC231" t="s">
        <v>87</v>
      </c>
    </row>
    <row r="232" spans="1:29" x14ac:dyDescent="0.35">
      <c r="A232" s="4">
        <v>42516</v>
      </c>
      <c r="B232" t="s">
        <v>30</v>
      </c>
      <c r="C232">
        <v>501</v>
      </c>
      <c r="D232">
        <v>7</v>
      </c>
      <c r="E232">
        <v>1</v>
      </c>
      <c r="F232" t="s">
        <v>31</v>
      </c>
      <c r="G232" t="s">
        <v>32</v>
      </c>
      <c r="H232" t="s">
        <v>33</v>
      </c>
      <c r="I232" t="s">
        <v>43</v>
      </c>
      <c r="J232" t="s">
        <v>44</v>
      </c>
      <c r="K232" t="s">
        <v>36</v>
      </c>
      <c r="L232" t="s">
        <v>37</v>
      </c>
      <c r="M232">
        <v>0</v>
      </c>
      <c r="N232">
        <v>0</v>
      </c>
      <c r="O232" s="5">
        <v>26604</v>
      </c>
      <c r="P232" s="5">
        <v>26603</v>
      </c>
      <c r="Q232">
        <f>25.5-3.5</f>
        <v>22</v>
      </c>
      <c r="R232" t="s">
        <v>38</v>
      </c>
      <c r="S232" t="s">
        <v>39</v>
      </c>
      <c r="T232">
        <v>18</v>
      </c>
      <c r="U232">
        <v>86</v>
      </c>
      <c r="V232">
        <v>13</v>
      </c>
      <c r="Z232" t="s">
        <v>39</v>
      </c>
      <c r="AB232" t="s">
        <v>60</v>
      </c>
      <c r="AC232" t="s">
        <v>87</v>
      </c>
    </row>
    <row r="233" spans="1:29" x14ac:dyDescent="0.35">
      <c r="A233" s="4">
        <v>42516</v>
      </c>
      <c r="B233" t="s">
        <v>30</v>
      </c>
      <c r="C233">
        <v>303</v>
      </c>
      <c r="D233">
        <v>6</v>
      </c>
      <c r="E233">
        <v>1</v>
      </c>
      <c r="F233" t="s">
        <v>31</v>
      </c>
      <c r="G233" t="s">
        <v>32</v>
      </c>
      <c r="H233" t="s">
        <v>33</v>
      </c>
      <c r="I233" t="s">
        <v>43</v>
      </c>
      <c r="J233" t="s">
        <v>35</v>
      </c>
      <c r="K233" t="s">
        <v>36</v>
      </c>
      <c r="L233" t="s">
        <v>37</v>
      </c>
      <c r="M233">
        <v>0</v>
      </c>
      <c r="N233">
        <v>1</v>
      </c>
      <c r="O233" s="5">
        <v>50340</v>
      </c>
      <c r="P233" s="5">
        <v>50339</v>
      </c>
      <c r="Q233">
        <f>22-4.5</f>
        <v>17.5</v>
      </c>
      <c r="R233" t="s">
        <v>38</v>
      </c>
      <c r="S233" t="s">
        <v>39</v>
      </c>
      <c r="T233">
        <v>21</v>
      </c>
      <c r="U233">
        <v>84</v>
      </c>
      <c r="V233">
        <v>15</v>
      </c>
      <c r="Z233" t="s">
        <v>39</v>
      </c>
      <c r="AB233" t="s">
        <v>60</v>
      </c>
      <c r="AC233" t="s">
        <v>87</v>
      </c>
    </row>
    <row r="234" spans="1:29" x14ac:dyDescent="0.35">
      <c r="A234" s="4">
        <v>42516</v>
      </c>
      <c r="B234" t="s">
        <v>30</v>
      </c>
      <c r="C234">
        <v>701</v>
      </c>
      <c r="D234">
        <v>7</v>
      </c>
      <c r="E234">
        <v>1</v>
      </c>
      <c r="F234" t="s">
        <v>42</v>
      </c>
      <c r="G234" t="s">
        <v>32</v>
      </c>
      <c r="H234" t="s">
        <v>33</v>
      </c>
      <c r="I234" t="s">
        <v>43</v>
      </c>
      <c r="J234" t="s">
        <v>35</v>
      </c>
      <c r="K234" t="s">
        <v>36</v>
      </c>
      <c r="L234" t="s">
        <v>37</v>
      </c>
      <c r="M234">
        <v>0</v>
      </c>
      <c r="N234">
        <v>1</v>
      </c>
      <c r="O234" s="5">
        <v>50370</v>
      </c>
      <c r="P234" s="5">
        <v>50369</v>
      </c>
      <c r="Q234">
        <v>20</v>
      </c>
      <c r="R234" t="s">
        <v>64</v>
      </c>
      <c r="S234" t="s">
        <v>39</v>
      </c>
      <c r="T234">
        <v>19</v>
      </c>
      <c r="U234">
        <v>75</v>
      </c>
      <c r="V234">
        <v>16</v>
      </c>
      <c r="W234">
        <v>11.6</v>
      </c>
      <c r="X234">
        <v>25</v>
      </c>
      <c r="Z234" t="s">
        <v>39</v>
      </c>
      <c r="AB234" t="s">
        <v>47</v>
      </c>
      <c r="AC234" t="s">
        <v>41</v>
      </c>
    </row>
    <row r="235" spans="1:29" x14ac:dyDescent="0.35">
      <c r="A235" s="4">
        <v>42516</v>
      </c>
      <c r="B235" t="s">
        <v>30</v>
      </c>
      <c r="C235">
        <v>703</v>
      </c>
      <c r="D235">
        <v>1</v>
      </c>
      <c r="E235">
        <v>1</v>
      </c>
      <c r="F235" t="s">
        <v>42</v>
      </c>
      <c r="G235" t="s">
        <v>32</v>
      </c>
      <c r="H235" t="s">
        <v>33</v>
      </c>
      <c r="I235" t="s">
        <v>43</v>
      </c>
      <c r="J235" t="s">
        <v>35</v>
      </c>
      <c r="K235" t="s">
        <v>36</v>
      </c>
      <c r="L235" t="s">
        <v>45</v>
      </c>
      <c r="M235">
        <v>0</v>
      </c>
      <c r="N235">
        <v>1</v>
      </c>
      <c r="O235" s="5">
        <v>50373</v>
      </c>
      <c r="P235" s="5">
        <v>50372</v>
      </c>
      <c r="Q235">
        <f>38.5-14</f>
        <v>24.5</v>
      </c>
      <c r="R235" t="s">
        <v>77</v>
      </c>
      <c r="S235" t="s">
        <v>39</v>
      </c>
      <c r="T235">
        <v>18</v>
      </c>
      <c r="U235">
        <v>92</v>
      </c>
      <c r="V235">
        <v>16</v>
      </c>
      <c r="W235">
        <v>11.6</v>
      </c>
      <c r="X235">
        <v>27.8</v>
      </c>
      <c r="Z235" t="s">
        <v>39</v>
      </c>
      <c r="AB235" t="s">
        <v>47</v>
      </c>
      <c r="AC235" t="s">
        <v>41</v>
      </c>
    </row>
    <row r="236" spans="1:29" x14ac:dyDescent="0.35">
      <c r="A236" s="4">
        <v>42516</v>
      </c>
      <c r="B236" t="s">
        <v>30</v>
      </c>
      <c r="C236">
        <v>803</v>
      </c>
      <c r="D236">
        <v>6</v>
      </c>
      <c r="E236">
        <v>1</v>
      </c>
      <c r="F236" t="s">
        <v>42</v>
      </c>
      <c r="G236" t="s">
        <v>32</v>
      </c>
      <c r="H236" t="s">
        <v>33</v>
      </c>
      <c r="I236" t="s">
        <v>43</v>
      </c>
      <c r="J236" t="s">
        <v>44</v>
      </c>
      <c r="K236" t="s">
        <v>36</v>
      </c>
      <c r="L236" t="s">
        <v>37</v>
      </c>
      <c r="M236">
        <v>0</v>
      </c>
      <c r="N236">
        <v>0</v>
      </c>
      <c r="O236" s="5">
        <v>50380</v>
      </c>
      <c r="P236" s="5">
        <v>50379</v>
      </c>
      <c r="Q236">
        <f>32-14</f>
        <v>18</v>
      </c>
      <c r="R236" t="s">
        <v>38</v>
      </c>
      <c r="S236" t="s">
        <v>39</v>
      </c>
      <c r="T236">
        <v>19</v>
      </c>
      <c r="U236">
        <v>90</v>
      </c>
      <c r="V236">
        <v>18</v>
      </c>
      <c r="W236">
        <v>10.6</v>
      </c>
      <c r="X236">
        <v>28.8</v>
      </c>
      <c r="Z236" t="s">
        <v>39</v>
      </c>
      <c r="AB236" t="s">
        <v>47</v>
      </c>
      <c r="AC236" t="s">
        <v>41</v>
      </c>
    </row>
    <row r="237" spans="1:29" x14ac:dyDescent="0.35">
      <c r="A237" s="4">
        <v>42516</v>
      </c>
      <c r="B237" t="s">
        <v>30</v>
      </c>
      <c r="C237">
        <v>701</v>
      </c>
      <c r="D237">
        <v>1</v>
      </c>
      <c r="E237">
        <v>1</v>
      </c>
      <c r="F237" t="s">
        <v>42</v>
      </c>
      <c r="G237" t="s">
        <v>32</v>
      </c>
      <c r="H237" t="s">
        <v>33</v>
      </c>
      <c r="I237" t="s">
        <v>43</v>
      </c>
      <c r="J237" t="s">
        <v>44</v>
      </c>
      <c r="K237" t="s">
        <v>36</v>
      </c>
      <c r="L237" t="s">
        <v>37</v>
      </c>
      <c r="M237">
        <v>0</v>
      </c>
      <c r="N237">
        <v>0</v>
      </c>
      <c r="O237" s="5">
        <v>50384</v>
      </c>
      <c r="P237" s="5">
        <v>50383</v>
      </c>
      <c r="Q237">
        <f>29.5-12</f>
        <v>17.5</v>
      </c>
      <c r="R237" t="s">
        <v>38</v>
      </c>
      <c r="S237" t="s">
        <v>39</v>
      </c>
      <c r="T237">
        <v>18</v>
      </c>
      <c r="U237">
        <v>85</v>
      </c>
      <c r="V237">
        <v>16</v>
      </c>
      <c r="W237">
        <v>12</v>
      </c>
      <c r="X237">
        <v>25.5</v>
      </c>
      <c r="Z237" t="s">
        <v>39</v>
      </c>
      <c r="AB237" t="s">
        <v>47</v>
      </c>
      <c r="AC237" t="s">
        <v>41</v>
      </c>
    </row>
    <row r="238" spans="1:29" x14ac:dyDescent="0.35">
      <c r="A238" s="4">
        <v>42516</v>
      </c>
      <c r="B238" t="s">
        <v>30</v>
      </c>
      <c r="C238">
        <v>703</v>
      </c>
      <c r="D238">
        <v>8</v>
      </c>
      <c r="E238">
        <v>2</v>
      </c>
      <c r="F238" t="s">
        <v>42</v>
      </c>
      <c r="G238" t="s">
        <v>32</v>
      </c>
      <c r="H238" t="s">
        <v>33</v>
      </c>
      <c r="I238" t="s">
        <v>43</v>
      </c>
      <c r="J238" t="s">
        <v>44</v>
      </c>
      <c r="K238" t="s">
        <v>36</v>
      </c>
      <c r="L238" t="s">
        <v>37</v>
      </c>
      <c r="M238">
        <v>0</v>
      </c>
      <c r="N238">
        <v>0</v>
      </c>
      <c r="O238" s="5">
        <v>50387</v>
      </c>
      <c r="P238" s="5">
        <v>26622</v>
      </c>
      <c r="Q238">
        <v>20</v>
      </c>
      <c r="R238" t="s">
        <v>38</v>
      </c>
      <c r="S238" t="s">
        <v>39</v>
      </c>
      <c r="T238">
        <v>18</v>
      </c>
      <c r="U238">
        <v>76</v>
      </c>
      <c r="V238">
        <v>17.5</v>
      </c>
      <c r="W238">
        <v>12.2</v>
      </c>
      <c r="X238">
        <v>29.5</v>
      </c>
      <c r="Z238" t="s">
        <v>39</v>
      </c>
      <c r="AB238" t="s">
        <v>47</v>
      </c>
      <c r="AC238" t="s">
        <v>41</v>
      </c>
    </row>
    <row r="239" spans="1:29" x14ac:dyDescent="0.35">
      <c r="A239" s="4">
        <v>42516</v>
      </c>
      <c r="B239" t="s">
        <v>30</v>
      </c>
      <c r="C239">
        <v>703</v>
      </c>
      <c r="D239">
        <v>9</v>
      </c>
      <c r="E239">
        <v>1</v>
      </c>
      <c r="F239" t="s">
        <v>42</v>
      </c>
      <c r="G239" t="s">
        <v>32</v>
      </c>
      <c r="H239" t="s">
        <v>33</v>
      </c>
      <c r="I239" t="s">
        <v>43</v>
      </c>
      <c r="J239" t="s">
        <v>44</v>
      </c>
      <c r="K239" t="s">
        <v>36</v>
      </c>
      <c r="L239" t="s">
        <v>45</v>
      </c>
      <c r="M239">
        <v>0</v>
      </c>
      <c r="N239">
        <v>0</v>
      </c>
      <c r="O239" s="5">
        <v>50395</v>
      </c>
      <c r="P239" s="5">
        <v>50394</v>
      </c>
      <c r="Q239">
        <f>37-15</f>
        <v>22</v>
      </c>
      <c r="R239" t="s">
        <v>77</v>
      </c>
      <c r="S239" t="s">
        <v>39</v>
      </c>
      <c r="T239">
        <v>18</v>
      </c>
      <c r="U239">
        <v>86</v>
      </c>
      <c r="V239">
        <v>16</v>
      </c>
      <c r="W239">
        <v>11.1</v>
      </c>
      <c r="X239">
        <v>27.1</v>
      </c>
      <c r="Z239" t="s">
        <v>39</v>
      </c>
      <c r="AB239" t="s">
        <v>47</v>
      </c>
      <c r="AC239" t="s">
        <v>41</v>
      </c>
    </row>
    <row r="240" spans="1:29" x14ac:dyDescent="0.35">
      <c r="A240" s="4">
        <v>42516</v>
      </c>
      <c r="B240" t="s">
        <v>30</v>
      </c>
      <c r="C240">
        <v>703</v>
      </c>
      <c r="D240">
        <v>3</v>
      </c>
      <c r="E240">
        <v>2</v>
      </c>
      <c r="F240" t="s">
        <v>42</v>
      </c>
      <c r="G240" t="s">
        <v>32</v>
      </c>
      <c r="H240" t="s">
        <v>33</v>
      </c>
      <c r="I240" t="s">
        <v>43</v>
      </c>
      <c r="J240" t="s">
        <v>44</v>
      </c>
      <c r="K240" t="s">
        <v>36</v>
      </c>
      <c r="L240" t="s">
        <v>45</v>
      </c>
      <c r="M240">
        <v>0</v>
      </c>
      <c r="N240">
        <v>0</v>
      </c>
      <c r="O240" s="5" t="s">
        <v>70</v>
      </c>
      <c r="P240" s="5" t="s">
        <v>71</v>
      </c>
      <c r="Q240">
        <f>35-14.5</f>
        <v>20.5</v>
      </c>
      <c r="R240" t="s">
        <v>79</v>
      </c>
      <c r="S240" t="s">
        <v>39</v>
      </c>
      <c r="T240">
        <v>19</v>
      </c>
      <c r="U240">
        <v>92</v>
      </c>
      <c r="V240">
        <v>13</v>
      </c>
      <c r="W240">
        <v>12</v>
      </c>
      <c r="X240">
        <v>25.8</v>
      </c>
      <c r="Z240" t="s">
        <v>39</v>
      </c>
      <c r="AB240" t="s">
        <v>47</v>
      </c>
      <c r="AC240" t="s">
        <v>41</v>
      </c>
    </row>
    <row r="241" spans="1:29" x14ac:dyDescent="0.35">
      <c r="A241" s="4">
        <v>42516</v>
      </c>
      <c r="B241" t="s">
        <v>30</v>
      </c>
      <c r="C241">
        <v>901</v>
      </c>
      <c r="D241">
        <v>1</v>
      </c>
      <c r="E241">
        <v>1</v>
      </c>
      <c r="F241" t="s">
        <v>42</v>
      </c>
      <c r="G241" t="s">
        <v>32</v>
      </c>
      <c r="H241" t="s">
        <v>33</v>
      </c>
      <c r="I241" t="s">
        <v>43</v>
      </c>
      <c r="J241" t="s">
        <v>44</v>
      </c>
      <c r="K241" t="s">
        <v>36</v>
      </c>
      <c r="L241" t="s">
        <v>45</v>
      </c>
      <c r="M241">
        <v>0</v>
      </c>
      <c r="N241">
        <v>0</v>
      </c>
      <c r="O241" s="5" t="s">
        <v>99</v>
      </c>
      <c r="P241" s="5" t="s">
        <v>100</v>
      </c>
      <c r="Q241">
        <v>20</v>
      </c>
      <c r="R241" t="s">
        <v>74</v>
      </c>
      <c r="S241" t="s">
        <v>102</v>
      </c>
      <c r="T241">
        <v>18</v>
      </c>
      <c r="U241">
        <v>90.5</v>
      </c>
      <c r="V241">
        <v>15.5</v>
      </c>
      <c r="W241">
        <v>12.2</v>
      </c>
      <c r="X241">
        <v>27.5</v>
      </c>
      <c r="Z241" t="s">
        <v>39</v>
      </c>
      <c r="AB241" t="s">
        <v>47</v>
      </c>
      <c r="AC241" t="s">
        <v>41</v>
      </c>
    </row>
    <row r="242" spans="1:29" x14ac:dyDescent="0.35">
      <c r="A242" s="4">
        <v>42516</v>
      </c>
      <c r="B242" t="s">
        <v>30</v>
      </c>
      <c r="C242">
        <v>501</v>
      </c>
      <c r="D242">
        <v>3</v>
      </c>
      <c r="E242">
        <v>1</v>
      </c>
      <c r="F242" t="s">
        <v>31</v>
      </c>
      <c r="G242" t="s">
        <v>32</v>
      </c>
      <c r="H242" t="s">
        <v>33</v>
      </c>
      <c r="I242" t="s">
        <v>34</v>
      </c>
      <c r="J242" t="s">
        <v>35</v>
      </c>
      <c r="K242" t="s">
        <v>36</v>
      </c>
      <c r="L242" t="s">
        <v>45</v>
      </c>
      <c r="M242">
        <v>0</v>
      </c>
      <c r="N242">
        <v>1</v>
      </c>
      <c r="O242" s="5"/>
      <c r="P242" s="5">
        <v>50314</v>
      </c>
      <c r="Q242">
        <f>141-46</f>
        <v>95</v>
      </c>
      <c r="R242" t="s">
        <v>46</v>
      </c>
      <c r="S242" t="s">
        <v>39</v>
      </c>
      <c r="Z242" t="s">
        <v>39</v>
      </c>
      <c r="AB242" t="s">
        <v>60</v>
      </c>
      <c r="AC242" t="s">
        <v>87</v>
      </c>
    </row>
    <row r="243" spans="1:29" x14ac:dyDescent="0.35">
      <c r="A243" s="4">
        <v>42516</v>
      </c>
      <c r="B243" t="s">
        <v>30</v>
      </c>
      <c r="C243">
        <v>503</v>
      </c>
      <c r="D243">
        <v>2</v>
      </c>
      <c r="E243">
        <v>1</v>
      </c>
      <c r="F243" t="s">
        <v>31</v>
      </c>
      <c r="G243" t="s">
        <v>32</v>
      </c>
      <c r="H243" t="s">
        <v>33</v>
      </c>
      <c r="I243" t="s">
        <v>34</v>
      </c>
      <c r="J243" t="s">
        <v>44</v>
      </c>
      <c r="K243" t="s">
        <v>36</v>
      </c>
      <c r="L243" t="s">
        <v>45</v>
      </c>
      <c r="M243">
        <v>0</v>
      </c>
      <c r="N243">
        <v>0</v>
      </c>
      <c r="O243" s="5"/>
      <c r="P243" s="5">
        <v>50318</v>
      </c>
      <c r="Q243">
        <f>142-46</f>
        <v>96</v>
      </c>
      <c r="R243" t="s">
        <v>74</v>
      </c>
      <c r="S243" t="s">
        <v>102</v>
      </c>
      <c r="Z243" t="s">
        <v>39</v>
      </c>
      <c r="AB243" t="s">
        <v>60</v>
      </c>
      <c r="AC243" t="s">
        <v>87</v>
      </c>
    </row>
    <row r="244" spans="1:29" x14ac:dyDescent="0.35">
      <c r="A244" s="4">
        <v>42516</v>
      </c>
      <c r="B244" t="s">
        <v>30</v>
      </c>
      <c r="C244">
        <v>703</v>
      </c>
      <c r="D244">
        <v>7</v>
      </c>
      <c r="E244">
        <v>1</v>
      </c>
      <c r="F244" t="s">
        <v>42</v>
      </c>
      <c r="G244" t="s">
        <v>32</v>
      </c>
      <c r="H244" t="s">
        <v>33</v>
      </c>
      <c r="I244" t="s">
        <v>34</v>
      </c>
      <c r="J244" t="s">
        <v>35</v>
      </c>
      <c r="K244" t="s">
        <v>36</v>
      </c>
      <c r="L244" t="s">
        <v>37</v>
      </c>
      <c r="M244">
        <v>0</v>
      </c>
      <c r="N244">
        <v>1</v>
      </c>
      <c r="O244" s="5"/>
      <c r="P244" s="5">
        <v>50371</v>
      </c>
      <c r="Q244">
        <f>170-90</f>
        <v>80</v>
      </c>
      <c r="R244" t="s">
        <v>38</v>
      </c>
      <c r="S244" t="s">
        <v>39</v>
      </c>
      <c r="T244">
        <v>29</v>
      </c>
      <c r="W244">
        <v>20.9</v>
      </c>
      <c r="X244">
        <v>41.9</v>
      </c>
      <c r="Z244" t="s">
        <v>39</v>
      </c>
      <c r="AB244" t="s">
        <v>47</v>
      </c>
      <c r="AC244" t="s">
        <v>41</v>
      </c>
    </row>
    <row r="245" spans="1:29" x14ac:dyDescent="0.35">
      <c r="A245" s="4">
        <v>42516</v>
      </c>
      <c r="B245" t="s">
        <v>30</v>
      </c>
      <c r="C245">
        <v>703</v>
      </c>
      <c r="D245">
        <v>7</v>
      </c>
      <c r="E245">
        <v>2</v>
      </c>
      <c r="F245" t="s">
        <v>42</v>
      </c>
      <c r="G245" t="s">
        <v>32</v>
      </c>
      <c r="H245" t="s">
        <v>33</v>
      </c>
      <c r="I245" t="s">
        <v>34</v>
      </c>
      <c r="J245" t="s">
        <v>44</v>
      </c>
      <c r="K245" t="s">
        <v>36</v>
      </c>
      <c r="L245" t="s">
        <v>45</v>
      </c>
      <c r="M245">
        <v>0</v>
      </c>
      <c r="N245">
        <v>0</v>
      </c>
      <c r="O245" s="5"/>
      <c r="P245" s="5" t="s">
        <v>93</v>
      </c>
      <c r="Q245">
        <v>90</v>
      </c>
      <c r="R245" t="s">
        <v>46</v>
      </c>
      <c r="S245" t="s">
        <v>39</v>
      </c>
      <c r="T245">
        <v>33</v>
      </c>
      <c r="W245">
        <v>20.6</v>
      </c>
      <c r="X245">
        <v>39.9</v>
      </c>
      <c r="Z245" t="s">
        <v>39</v>
      </c>
      <c r="AB245" t="s">
        <v>47</v>
      </c>
      <c r="AC245" t="s">
        <v>41</v>
      </c>
    </row>
    <row r="246" spans="1:29" x14ac:dyDescent="0.35">
      <c r="A246" s="4">
        <v>42516</v>
      </c>
      <c r="B246" t="s">
        <v>30</v>
      </c>
      <c r="C246">
        <v>801</v>
      </c>
      <c r="D246">
        <v>4</v>
      </c>
      <c r="E246">
        <v>1</v>
      </c>
      <c r="F246" t="s">
        <v>42</v>
      </c>
      <c r="G246" t="s">
        <v>32</v>
      </c>
      <c r="H246" t="s">
        <v>33</v>
      </c>
      <c r="I246" t="s">
        <v>58</v>
      </c>
      <c r="J246" t="s">
        <v>35</v>
      </c>
      <c r="K246" t="s">
        <v>36</v>
      </c>
      <c r="L246" t="s">
        <v>45</v>
      </c>
      <c r="M246">
        <v>0</v>
      </c>
      <c r="N246">
        <v>1</v>
      </c>
      <c r="O246" s="5">
        <v>50368</v>
      </c>
      <c r="P246" s="5"/>
      <c r="Q246">
        <f>42-14</f>
        <v>28</v>
      </c>
      <c r="R246" t="s">
        <v>74</v>
      </c>
      <c r="S246" t="s">
        <v>102</v>
      </c>
      <c r="T246">
        <v>17</v>
      </c>
      <c r="W246">
        <v>12.2</v>
      </c>
      <c r="X246">
        <v>26.7</v>
      </c>
      <c r="Z246" t="s">
        <v>39</v>
      </c>
      <c r="AB246" t="s">
        <v>47</v>
      </c>
      <c r="AC246" t="s">
        <v>41</v>
      </c>
    </row>
    <row r="247" spans="1:29" x14ac:dyDescent="0.35">
      <c r="A247" s="4">
        <v>42516</v>
      </c>
      <c r="B247" t="s">
        <v>30</v>
      </c>
      <c r="C247">
        <v>401</v>
      </c>
      <c r="D247">
        <v>6</v>
      </c>
      <c r="E247">
        <v>2</v>
      </c>
      <c r="F247" t="s">
        <v>31</v>
      </c>
      <c r="G247" t="s">
        <v>32</v>
      </c>
      <c r="H247" t="s">
        <v>33</v>
      </c>
      <c r="I247" t="s">
        <v>65</v>
      </c>
      <c r="J247" t="s">
        <v>44</v>
      </c>
      <c r="K247" t="s">
        <v>36</v>
      </c>
      <c r="L247" t="s">
        <v>37</v>
      </c>
      <c r="M247">
        <v>0</v>
      </c>
      <c r="N247">
        <v>0</v>
      </c>
      <c r="O247" s="5">
        <v>2622</v>
      </c>
      <c r="P247" s="5">
        <v>2621</v>
      </c>
      <c r="Q247">
        <f>244-52</f>
        <v>192</v>
      </c>
      <c r="R247" t="s">
        <v>38</v>
      </c>
      <c r="S247" t="s">
        <v>39</v>
      </c>
      <c r="Z247" t="s">
        <v>39</v>
      </c>
      <c r="AB247" t="s">
        <v>106</v>
      </c>
      <c r="AC247" t="s">
        <v>87</v>
      </c>
    </row>
    <row r="248" spans="1:29" x14ac:dyDescent="0.35">
      <c r="A248" s="4">
        <v>42516</v>
      </c>
      <c r="B248" t="s">
        <v>30</v>
      </c>
      <c r="C248">
        <v>503</v>
      </c>
      <c r="D248">
        <v>8</v>
      </c>
      <c r="E248">
        <v>2</v>
      </c>
      <c r="F248" t="s">
        <v>31</v>
      </c>
      <c r="G248" t="s">
        <v>32</v>
      </c>
      <c r="H248" t="s">
        <v>33</v>
      </c>
      <c r="I248" t="s">
        <v>65</v>
      </c>
      <c r="J248" t="s">
        <v>35</v>
      </c>
      <c r="K248" t="s">
        <v>36</v>
      </c>
      <c r="L248" t="s">
        <v>45</v>
      </c>
      <c r="M248">
        <v>0</v>
      </c>
      <c r="N248">
        <v>1</v>
      </c>
      <c r="O248" s="5">
        <v>50338</v>
      </c>
      <c r="P248" s="5"/>
      <c r="Q248">
        <f>208-48</f>
        <v>160</v>
      </c>
      <c r="R248" t="s">
        <v>61</v>
      </c>
      <c r="S248" t="s">
        <v>39</v>
      </c>
      <c r="Z248" t="s">
        <v>39</v>
      </c>
      <c r="AB248" t="s">
        <v>60</v>
      </c>
      <c r="AC248" t="s">
        <v>87</v>
      </c>
    </row>
    <row r="249" spans="1:29" x14ac:dyDescent="0.35">
      <c r="A249" s="4">
        <v>42516</v>
      </c>
      <c r="B249" t="s">
        <v>30</v>
      </c>
      <c r="C249">
        <v>501</v>
      </c>
      <c r="D249">
        <v>1</v>
      </c>
      <c r="E249">
        <v>1</v>
      </c>
      <c r="F249" t="s">
        <v>31</v>
      </c>
      <c r="G249" t="s">
        <v>32</v>
      </c>
      <c r="H249" t="s">
        <v>33</v>
      </c>
      <c r="I249" t="s">
        <v>81</v>
      </c>
      <c r="O249" s="5"/>
      <c r="P249" s="5"/>
      <c r="Z249" t="s">
        <v>39</v>
      </c>
    </row>
    <row r="250" spans="1:29" x14ac:dyDescent="0.35">
      <c r="A250" s="4">
        <v>42516</v>
      </c>
      <c r="B250" t="s">
        <v>30</v>
      </c>
      <c r="C250">
        <v>503</v>
      </c>
      <c r="D250">
        <v>8</v>
      </c>
      <c r="E250">
        <v>1</v>
      </c>
      <c r="F250" t="s">
        <v>31</v>
      </c>
      <c r="G250" t="s">
        <v>32</v>
      </c>
      <c r="H250" t="s">
        <v>33</v>
      </c>
      <c r="I250" t="s">
        <v>81</v>
      </c>
      <c r="O250" s="5"/>
      <c r="P250" s="5"/>
      <c r="Z250" t="s">
        <v>39</v>
      </c>
    </row>
    <row r="251" spans="1:29" x14ac:dyDescent="0.35">
      <c r="A251" s="4">
        <v>42516</v>
      </c>
      <c r="B251" t="s">
        <v>30</v>
      </c>
      <c r="C251">
        <v>401</v>
      </c>
      <c r="D251">
        <v>1</v>
      </c>
      <c r="E251">
        <v>1</v>
      </c>
      <c r="F251" t="s">
        <v>31</v>
      </c>
      <c r="G251" t="s">
        <v>32</v>
      </c>
      <c r="H251" t="s">
        <v>33</v>
      </c>
      <c r="I251" t="s">
        <v>81</v>
      </c>
      <c r="O251" s="5"/>
      <c r="P251" s="5"/>
      <c r="Z251" t="s">
        <v>39</v>
      </c>
    </row>
    <row r="252" spans="1:29" x14ac:dyDescent="0.35">
      <c r="A252" s="4">
        <v>42516</v>
      </c>
      <c r="B252" t="s">
        <v>30</v>
      </c>
      <c r="C252">
        <v>401</v>
      </c>
      <c r="D252">
        <v>1</v>
      </c>
      <c r="E252">
        <v>2</v>
      </c>
      <c r="F252" t="s">
        <v>31</v>
      </c>
      <c r="G252" t="s">
        <v>32</v>
      </c>
      <c r="H252" t="s">
        <v>33</v>
      </c>
      <c r="I252" t="s">
        <v>81</v>
      </c>
      <c r="O252" s="5"/>
      <c r="P252" s="5"/>
      <c r="Z252" t="s">
        <v>39</v>
      </c>
    </row>
    <row r="253" spans="1:29" x14ac:dyDescent="0.35">
      <c r="A253" s="4">
        <v>42516</v>
      </c>
      <c r="B253" t="s">
        <v>30</v>
      </c>
      <c r="C253">
        <v>401</v>
      </c>
      <c r="D253">
        <v>2</v>
      </c>
      <c r="E253">
        <v>1</v>
      </c>
      <c r="F253" t="s">
        <v>31</v>
      </c>
      <c r="G253" t="s">
        <v>32</v>
      </c>
      <c r="H253" t="s">
        <v>33</v>
      </c>
      <c r="I253" t="s">
        <v>81</v>
      </c>
      <c r="O253" s="5"/>
      <c r="P253" s="5"/>
      <c r="Z253" t="s">
        <v>39</v>
      </c>
    </row>
    <row r="254" spans="1:29" x14ac:dyDescent="0.35">
      <c r="A254" s="4">
        <v>42516</v>
      </c>
      <c r="B254" t="s">
        <v>30</v>
      </c>
      <c r="C254">
        <v>401</v>
      </c>
      <c r="D254">
        <v>2</v>
      </c>
      <c r="E254">
        <v>2</v>
      </c>
      <c r="F254" t="s">
        <v>31</v>
      </c>
      <c r="G254" t="s">
        <v>32</v>
      </c>
      <c r="H254" t="s">
        <v>33</v>
      </c>
      <c r="I254" t="s">
        <v>81</v>
      </c>
      <c r="O254" s="5"/>
      <c r="P254" s="5"/>
      <c r="Z254" t="s">
        <v>39</v>
      </c>
    </row>
    <row r="255" spans="1:29" x14ac:dyDescent="0.35">
      <c r="A255" s="4">
        <v>42516</v>
      </c>
      <c r="B255" t="s">
        <v>30</v>
      </c>
      <c r="C255">
        <v>401</v>
      </c>
      <c r="D255">
        <v>3</v>
      </c>
      <c r="E255">
        <v>1</v>
      </c>
      <c r="F255" t="s">
        <v>31</v>
      </c>
      <c r="G255" t="s">
        <v>32</v>
      </c>
      <c r="H255" t="s">
        <v>33</v>
      </c>
      <c r="I255" t="s">
        <v>81</v>
      </c>
      <c r="O255" s="5"/>
      <c r="P255" s="5"/>
      <c r="Z255" t="s">
        <v>39</v>
      </c>
    </row>
    <row r="256" spans="1:29" x14ac:dyDescent="0.35">
      <c r="A256" s="4">
        <v>42516</v>
      </c>
      <c r="B256" t="s">
        <v>30</v>
      </c>
      <c r="C256">
        <v>401</v>
      </c>
      <c r="D256">
        <v>3</v>
      </c>
      <c r="E256">
        <v>2</v>
      </c>
      <c r="F256" t="s">
        <v>31</v>
      </c>
      <c r="G256" t="s">
        <v>32</v>
      </c>
      <c r="H256" t="s">
        <v>33</v>
      </c>
      <c r="I256" t="s">
        <v>81</v>
      </c>
      <c r="O256" s="5"/>
      <c r="P256" s="5"/>
      <c r="Z256" t="s">
        <v>39</v>
      </c>
    </row>
    <row r="257" spans="1:26" x14ac:dyDescent="0.35">
      <c r="A257" s="4">
        <v>42516</v>
      </c>
      <c r="B257" t="s">
        <v>30</v>
      </c>
      <c r="C257">
        <v>401</v>
      </c>
      <c r="D257">
        <v>4</v>
      </c>
      <c r="E257">
        <v>1</v>
      </c>
      <c r="F257" t="s">
        <v>31</v>
      </c>
      <c r="G257" t="s">
        <v>32</v>
      </c>
      <c r="H257" t="s">
        <v>33</v>
      </c>
      <c r="I257" t="s">
        <v>81</v>
      </c>
      <c r="O257" s="5"/>
      <c r="P257" s="5"/>
      <c r="Z257" t="s">
        <v>39</v>
      </c>
    </row>
    <row r="258" spans="1:26" x14ac:dyDescent="0.35">
      <c r="A258" s="4">
        <v>42516</v>
      </c>
      <c r="B258" t="s">
        <v>30</v>
      </c>
      <c r="C258">
        <v>401</v>
      </c>
      <c r="D258">
        <v>4</v>
      </c>
      <c r="E258">
        <v>2</v>
      </c>
      <c r="F258" t="s">
        <v>31</v>
      </c>
      <c r="G258" t="s">
        <v>32</v>
      </c>
      <c r="H258" t="s">
        <v>33</v>
      </c>
      <c r="I258" t="s">
        <v>81</v>
      </c>
      <c r="O258" s="5"/>
      <c r="P258" s="5"/>
      <c r="Z258" t="s">
        <v>39</v>
      </c>
    </row>
    <row r="259" spans="1:26" x14ac:dyDescent="0.35">
      <c r="A259" s="4">
        <v>42516</v>
      </c>
      <c r="B259" t="s">
        <v>30</v>
      </c>
      <c r="C259">
        <v>401</v>
      </c>
      <c r="D259">
        <v>5</v>
      </c>
      <c r="E259">
        <v>1</v>
      </c>
      <c r="F259" t="s">
        <v>31</v>
      </c>
      <c r="G259" t="s">
        <v>32</v>
      </c>
      <c r="H259" t="s">
        <v>33</v>
      </c>
      <c r="I259" t="s">
        <v>81</v>
      </c>
      <c r="O259" s="5"/>
      <c r="P259" s="5"/>
      <c r="Z259" t="s">
        <v>39</v>
      </c>
    </row>
    <row r="260" spans="1:26" x14ac:dyDescent="0.35">
      <c r="A260" s="4">
        <v>42516</v>
      </c>
      <c r="B260" t="s">
        <v>30</v>
      </c>
      <c r="C260">
        <v>401</v>
      </c>
      <c r="D260">
        <v>5</v>
      </c>
      <c r="E260">
        <v>2</v>
      </c>
      <c r="F260" t="s">
        <v>31</v>
      </c>
      <c r="G260" t="s">
        <v>32</v>
      </c>
      <c r="H260" t="s">
        <v>33</v>
      </c>
      <c r="I260" t="s">
        <v>81</v>
      </c>
      <c r="O260" s="5"/>
      <c r="P260" s="5"/>
      <c r="Z260" t="s">
        <v>39</v>
      </c>
    </row>
    <row r="261" spans="1:26" x14ac:dyDescent="0.35">
      <c r="A261" s="4">
        <v>42516</v>
      </c>
      <c r="B261" t="s">
        <v>30</v>
      </c>
      <c r="C261">
        <v>401</v>
      </c>
      <c r="D261">
        <v>6</v>
      </c>
      <c r="E261">
        <v>1</v>
      </c>
      <c r="F261" t="s">
        <v>31</v>
      </c>
      <c r="G261" t="s">
        <v>32</v>
      </c>
      <c r="H261" t="s">
        <v>33</v>
      </c>
      <c r="I261" t="s">
        <v>81</v>
      </c>
      <c r="O261" s="5"/>
      <c r="P261" s="5"/>
      <c r="Z261" t="s">
        <v>39</v>
      </c>
    </row>
    <row r="262" spans="1:26" x14ac:dyDescent="0.35">
      <c r="A262" s="4">
        <v>42516</v>
      </c>
      <c r="B262" t="s">
        <v>30</v>
      </c>
      <c r="C262">
        <v>401</v>
      </c>
      <c r="D262">
        <v>7</v>
      </c>
      <c r="E262">
        <v>1</v>
      </c>
      <c r="F262" t="s">
        <v>31</v>
      </c>
      <c r="G262" t="s">
        <v>32</v>
      </c>
      <c r="H262" t="s">
        <v>33</v>
      </c>
      <c r="I262" t="s">
        <v>81</v>
      </c>
      <c r="O262" s="5"/>
      <c r="P262" s="5"/>
      <c r="Z262" t="s">
        <v>39</v>
      </c>
    </row>
    <row r="263" spans="1:26" x14ac:dyDescent="0.35">
      <c r="A263" s="4">
        <v>42516</v>
      </c>
      <c r="B263" t="s">
        <v>30</v>
      </c>
      <c r="C263">
        <v>401</v>
      </c>
      <c r="D263">
        <v>7</v>
      </c>
      <c r="E263">
        <v>2</v>
      </c>
      <c r="F263" t="s">
        <v>31</v>
      </c>
      <c r="G263" t="s">
        <v>32</v>
      </c>
      <c r="H263" t="s">
        <v>33</v>
      </c>
      <c r="I263" t="s">
        <v>81</v>
      </c>
      <c r="O263" s="5"/>
      <c r="P263" s="5"/>
      <c r="Z263" t="s">
        <v>39</v>
      </c>
    </row>
    <row r="264" spans="1:26" x14ac:dyDescent="0.35">
      <c r="A264" s="4">
        <v>42516</v>
      </c>
      <c r="B264" t="s">
        <v>30</v>
      </c>
      <c r="C264">
        <v>401</v>
      </c>
      <c r="D264">
        <v>8</v>
      </c>
      <c r="E264">
        <v>2</v>
      </c>
      <c r="F264" t="s">
        <v>31</v>
      </c>
      <c r="G264" t="s">
        <v>32</v>
      </c>
      <c r="H264" t="s">
        <v>33</v>
      </c>
      <c r="I264" t="s">
        <v>81</v>
      </c>
      <c r="O264" s="5"/>
      <c r="P264" s="5"/>
      <c r="Z264" t="s">
        <v>39</v>
      </c>
    </row>
    <row r="265" spans="1:26" x14ac:dyDescent="0.35">
      <c r="A265" s="4">
        <v>42516</v>
      </c>
      <c r="B265" t="s">
        <v>30</v>
      </c>
      <c r="C265">
        <v>401</v>
      </c>
      <c r="D265">
        <v>9</v>
      </c>
      <c r="E265">
        <v>1</v>
      </c>
      <c r="F265" t="s">
        <v>31</v>
      </c>
      <c r="G265" t="s">
        <v>32</v>
      </c>
      <c r="H265" t="s">
        <v>33</v>
      </c>
      <c r="I265" t="s">
        <v>81</v>
      </c>
      <c r="O265" s="5"/>
      <c r="P265" s="5"/>
      <c r="Z265" t="s">
        <v>39</v>
      </c>
    </row>
    <row r="266" spans="1:26" x14ac:dyDescent="0.35">
      <c r="A266" s="4">
        <v>42516</v>
      </c>
      <c r="B266" t="s">
        <v>30</v>
      </c>
      <c r="C266">
        <v>401</v>
      </c>
      <c r="D266">
        <v>9</v>
      </c>
      <c r="E266">
        <v>2</v>
      </c>
      <c r="F266" t="s">
        <v>31</v>
      </c>
      <c r="G266" t="s">
        <v>32</v>
      </c>
      <c r="H266" t="s">
        <v>33</v>
      </c>
      <c r="I266" t="s">
        <v>81</v>
      </c>
      <c r="O266" s="5"/>
      <c r="P266" s="5"/>
      <c r="Z266" t="s">
        <v>39</v>
      </c>
    </row>
    <row r="267" spans="1:26" x14ac:dyDescent="0.35">
      <c r="A267" s="4">
        <v>42516</v>
      </c>
      <c r="B267" t="s">
        <v>30</v>
      </c>
      <c r="C267">
        <v>401</v>
      </c>
      <c r="D267">
        <v>10</v>
      </c>
      <c r="E267">
        <v>1</v>
      </c>
      <c r="F267" t="s">
        <v>31</v>
      </c>
      <c r="G267" t="s">
        <v>32</v>
      </c>
      <c r="H267" t="s">
        <v>33</v>
      </c>
      <c r="I267" t="s">
        <v>81</v>
      </c>
      <c r="O267" s="5"/>
      <c r="P267" s="5"/>
      <c r="Z267" t="s">
        <v>39</v>
      </c>
    </row>
    <row r="268" spans="1:26" x14ac:dyDescent="0.35">
      <c r="A268" s="4">
        <v>42516</v>
      </c>
      <c r="B268" t="s">
        <v>30</v>
      </c>
      <c r="C268">
        <v>401</v>
      </c>
      <c r="D268">
        <v>10</v>
      </c>
      <c r="E268">
        <v>2</v>
      </c>
      <c r="F268" t="s">
        <v>31</v>
      </c>
      <c r="G268" t="s">
        <v>32</v>
      </c>
      <c r="H268" t="s">
        <v>33</v>
      </c>
      <c r="I268" t="s">
        <v>81</v>
      </c>
      <c r="O268" s="5"/>
      <c r="P268" s="5"/>
      <c r="Z268" t="s">
        <v>39</v>
      </c>
    </row>
    <row r="269" spans="1:26" x14ac:dyDescent="0.35">
      <c r="A269" s="4">
        <v>42516</v>
      </c>
      <c r="B269" t="s">
        <v>30</v>
      </c>
      <c r="C269">
        <v>703</v>
      </c>
      <c r="D269">
        <v>6</v>
      </c>
      <c r="E269">
        <v>2</v>
      </c>
      <c r="F269" t="s">
        <v>42</v>
      </c>
      <c r="G269" t="s">
        <v>32</v>
      </c>
      <c r="H269" t="s">
        <v>33</v>
      </c>
      <c r="I269" t="s">
        <v>81</v>
      </c>
      <c r="O269" s="5"/>
      <c r="P269" s="5"/>
      <c r="Z269" t="s">
        <v>39</v>
      </c>
    </row>
    <row r="270" spans="1:26" x14ac:dyDescent="0.35">
      <c r="A270" s="4">
        <v>42516</v>
      </c>
      <c r="B270" t="s">
        <v>30</v>
      </c>
      <c r="C270">
        <v>401</v>
      </c>
      <c r="D270">
        <v>8</v>
      </c>
      <c r="E270">
        <v>1</v>
      </c>
      <c r="F270" t="s">
        <v>31</v>
      </c>
      <c r="G270" t="s">
        <v>32</v>
      </c>
      <c r="H270" t="s">
        <v>33</v>
      </c>
      <c r="I270" t="s">
        <v>107</v>
      </c>
      <c r="O270" s="5"/>
      <c r="P270" s="5"/>
      <c r="Z270" t="s">
        <v>39</v>
      </c>
    </row>
    <row r="271" spans="1:26" x14ac:dyDescent="0.35">
      <c r="A271" s="4">
        <v>42516</v>
      </c>
      <c r="B271" t="s">
        <v>30</v>
      </c>
      <c r="C271">
        <v>501</v>
      </c>
      <c r="D271">
        <v>8</v>
      </c>
      <c r="E271">
        <v>1</v>
      </c>
      <c r="F271" t="s">
        <v>31</v>
      </c>
      <c r="G271" t="s">
        <v>32</v>
      </c>
      <c r="H271" t="s">
        <v>33</v>
      </c>
      <c r="I271" t="s">
        <v>59</v>
      </c>
      <c r="O271" s="5"/>
      <c r="P271" s="5"/>
      <c r="Z271" t="s">
        <v>39</v>
      </c>
    </row>
    <row r="272" spans="1:26" x14ac:dyDescent="0.35">
      <c r="A272" s="4">
        <v>42516</v>
      </c>
      <c r="B272" t="s">
        <v>30</v>
      </c>
      <c r="C272">
        <v>501</v>
      </c>
      <c r="D272">
        <v>10</v>
      </c>
      <c r="E272">
        <v>1</v>
      </c>
      <c r="F272" t="s">
        <v>31</v>
      </c>
      <c r="G272" t="s">
        <v>32</v>
      </c>
      <c r="H272" t="s">
        <v>33</v>
      </c>
      <c r="I272" t="s">
        <v>59</v>
      </c>
      <c r="O272" s="5"/>
      <c r="P272" s="5"/>
      <c r="Z272" t="s">
        <v>39</v>
      </c>
    </row>
    <row r="273" spans="1:29" x14ac:dyDescent="0.35">
      <c r="A273" s="4">
        <v>42516</v>
      </c>
      <c r="B273" t="s">
        <v>30</v>
      </c>
      <c r="C273">
        <v>303</v>
      </c>
      <c r="D273">
        <v>9</v>
      </c>
      <c r="E273">
        <v>1</v>
      </c>
      <c r="F273" t="s">
        <v>31</v>
      </c>
      <c r="G273" t="s">
        <v>32</v>
      </c>
      <c r="H273" t="s">
        <v>33</v>
      </c>
      <c r="I273" t="s">
        <v>59</v>
      </c>
      <c r="O273" s="5"/>
      <c r="P273" s="5"/>
      <c r="Z273" t="s">
        <v>39</v>
      </c>
    </row>
    <row r="274" spans="1:29" x14ac:dyDescent="0.35">
      <c r="A274" s="4">
        <v>42516</v>
      </c>
      <c r="B274" t="s">
        <v>30</v>
      </c>
      <c r="C274">
        <v>703</v>
      </c>
      <c r="D274">
        <v>3</v>
      </c>
      <c r="E274">
        <v>1</v>
      </c>
      <c r="F274" t="s">
        <v>42</v>
      </c>
      <c r="G274" t="s">
        <v>32</v>
      </c>
      <c r="H274" t="s">
        <v>33</v>
      </c>
      <c r="I274" t="s">
        <v>59</v>
      </c>
      <c r="O274" s="5"/>
      <c r="P274" s="5"/>
      <c r="Z274" t="s">
        <v>39</v>
      </c>
    </row>
    <row r="275" spans="1:29" x14ac:dyDescent="0.35">
      <c r="A275" s="4">
        <v>42516</v>
      </c>
      <c r="B275" t="s">
        <v>30</v>
      </c>
      <c r="C275">
        <v>703</v>
      </c>
      <c r="D275">
        <v>4</v>
      </c>
      <c r="E275">
        <v>1</v>
      </c>
      <c r="F275" t="s">
        <v>42</v>
      </c>
      <c r="G275" t="s">
        <v>32</v>
      </c>
      <c r="H275" t="s">
        <v>33</v>
      </c>
      <c r="I275" t="s">
        <v>59</v>
      </c>
      <c r="O275" s="5"/>
      <c r="P275" s="5"/>
      <c r="Z275" t="s">
        <v>39</v>
      </c>
    </row>
    <row r="276" spans="1:29" x14ac:dyDescent="0.35">
      <c r="A276" s="4">
        <v>42516</v>
      </c>
      <c r="B276" t="s">
        <v>30</v>
      </c>
      <c r="C276">
        <v>703</v>
      </c>
      <c r="D276">
        <v>5</v>
      </c>
      <c r="E276">
        <v>1</v>
      </c>
      <c r="F276" t="s">
        <v>42</v>
      </c>
      <c r="G276" t="s">
        <v>32</v>
      </c>
      <c r="H276" t="s">
        <v>33</v>
      </c>
      <c r="I276" t="s">
        <v>59</v>
      </c>
      <c r="O276" s="5"/>
      <c r="P276" s="5"/>
      <c r="Z276" t="s">
        <v>39</v>
      </c>
    </row>
    <row r="277" spans="1:29" x14ac:dyDescent="0.35">
      <c r="A277" s="4">
        <v>42516</v>
      </c>
      <c r="B277" t="s">
        <v>30</v>
      </c>
      <c r="C277">
        <v>703</v>
      </c>
      <c r="D277">
        <v>6</v>
      </c>
      <c r="E277">
        <v>1</v>
      </c>
      <c r="F277" t="s">
        <v>42</v>
      </c>
      <c r="G277" t="s">
        <v>32</v>
      </c>
      <c r="H277" t="s">
        <v>33</v>
      </c>
      <c r="I277" t="s">
        <v>59</v>
      </c>
      <c r="O277" s="5"/>
      <c r="P277" s="5"/>
      <c r="Z277" t="s">
        <v>39</v>
      </c>
    </row>
    <row r="278" spans="1:29" x14ac:dyDescent="0.35">
      <c r="A278" s="4">
        <v>42516</v>
      </c>
      <c r="B278" t="s">
        <v>30</v>
      </c>
      <c r="C278">
        <v>703</v>
      </c>
      <c r="D278">
        <v>8</v>
      </c>
      <c r="E278">
        <v>1</v>
      </c>
      <c r="F278" t="s">
        <v>42</v>
      </c>
      <c r="G278" t="s">
        <v>32</v>
      </c>
      <c r="H278" t="s">
        <v>33</v>
      </c>
      <c r="I278" t="s">
        <v>59</v>
      </c>
      <c r="O278" s="5"/>
      <c r="P278" s="5"/>
      <c r="Z278" t="s">
        <v>39</v>
      </c>
    </row>
    <row r="279" spans="1:29" x14ac:dyDescent="0.35">
      <c r="A279" s="4">
        <v>42516</v>
      </c>
      <c r="B279" t="s">
        <v>30</v>
      </c>
      <c r="C279">
        <v>801</v>
      </c>
      <c r="D279">
        <v>6</v>
      </c>
      <c r="E279">
        <v>1</v>
      </c>
      <c r="F279" t="s">
        <v>42</v>
      </c>
      <c r="G279" t="s">
        <v>32</v>
      </c>
      <c r="H279" t="s">
        <v>33</v>
      </c>
      <c r="I279" t="s">
        <v>59</v>
      </c>
      <c r="O279" s="5"/>
      <c r="P279" s="5"/>
      <c r="Z279" t="s">
        <v>39</v>
      </c>
    </row>
    <row r="280" spans="1:29" x14ac:dyDescent="0.35">
      <c r="A280" s="4">
        <v>42516</v>
      </c>
      <c r="B280" t="s">
        <v>30</v>
      </c>
      <c r="C280">
        <v>801</v>
      </c>
      <c r="D280">
        <v>10</v>
      </c>
      <c r="E280">
        <v>1</v>
      </c>
      <c r="F280" t="s">
        <v>42</v>
      </c>
      <c r="G280" t="s">
        <v>32</v>
      </c>
      <c r="H280" t="s">
        <v>33</v>
      </c>
      <c r="I280" t="s">
        <v>59</v>
      </c>
      <c r="O280" s="5"/>
      <c r="P280" s="5"/>
      <c r="Z280" t="s">
        <v>39</v>
      </c>
    </row>
    <row r="281" spans="1:29" x14ac:dyDescent="0.35">
      <c r="A281" s="4">
        <v>42516</v>
      </c>
      <c r="B281" t="s">
        <v>30</v>
      </c>
      <c r="C281">
        <v>501</v>
      </c>
      <c r="D281">
        <v>9</v>
      </c>
      <c r="E281">
        <v>1</v>
      </c>
      <c r="F281" t="s">
        <v>31</v>
      </c>
      <c r="G281" t="s">
        <v>32</v>
      </c>
      <c r="H281" t="s">
        <v>33</v>
      </c>
      <c r="I281" t="s">
        <v>108</v>
      </c>
      <c r="K281" t="s">
        <v>36</v>
      </c>
      <c r="L281" t="s">
        <v>37</v>
      </c>
      <c r="M281">
        <v>0</v>
      </c>
      <c r="N281">
        <v>0</v>
      </c>
      <c r="O281" s="5">
        <v>50336</v>
      </c>
      <c r="P281" s="5"/>
      <c r="Q281">
        <f>27-5.5</f>
        <v>21.5</v>
      </c>
      <c r="R281" t="s">
        <v>38</v>
      </c>
      <c r="S281" t="s">
        <v>39</v>
      </c>
      <c r="Z281" t="s">
        <v>39</v>
      </c>
      <c r="AB281" t="s">
        <v>60</v>
      </c>
      <c r="AC281" t="s">
        <v>87</v>
      </c>
    </row>
    <row r="282" spans="1:29" x14ac:dyDescent="0.35">
      <c r="A282" s="4">
        <v>42528</v>
      </c>
      <c r="B282" t="s">
        <v>30</v>
      </c>
      <c r="C282">
        <v>304</v>
      </c>
      <c r="D282">
        <v>2</v>
      </c>
      <c r="E282">
        <v>1</v>
      </c>
      <c r="F282" t="s">
        <v>42</v>
      </c>
      <c r="G282" t="s">
        <v>32</v>
      </c>
      <c r="H282" t="s">
        <v>33</v>
      </c>
      <c r="I282" t="s">
        <v>43</v>
      </c>
      <c r="J282" t="s">
        <v>44</v>
      </c>
      <c r="K282" t="s">
        <v>36</v>
      </c>
      <c r="L282" t="s">
        <v>37</v>
      </c>
      <c r="M282">
        <v>0</v>
      </c>
      <c r="N282">
        <v>0</v>
      </c>
      <c r="O282" s="5">
        <v>26628</v>
      </c>
      <c r="P282" s="5">
        <v>26629</v>
      </c>
      <c r="R282" t="s">
        <v>38</v>
      </c>
      <c r="S282" t="s">
        <v>39</v>
      </c>
      <c r="T282">
        <v>19</v>
      </c>
      <c r="U282">
        <v>86</v>
      </c>
      <c r="V282">
        <v>17</v>
      </c>
      <c r="W282">
        <v>12.5</v>
      </c>
      <c r="X282">
        <v>30</v>
      </c>
      <c r="Y282" t="s">
        <v>109</v>
      </c>
      <c r="Z282" t="s">
        <v>39</v>
      </c>
      <c r="AB282" t="s">
        <v>97</v>
      </c>
      <c r="AC282" t="s">
        <v>41</v>
      </c>
    </row>
    <row r="283" spans="1:29" x14ac:dyDescent="0.35">
      <c r="A283" s="4">
        <v>42528</v>
      </c>
      <c r="B283" t="s">
        <v>30</v>
      </c>
      <c r="C283">
        <v>201</v>
      </c>
      <c r="D283">
        <v>1</v>
      </c>
      <c r="E283">
        <v>1</v>
      </c>
      <c r="F283" t="s">
        <v>42</v>
      </c>
      <c r="G283" t="s">
        <v>32</v>
      </c>
      <c r="H283" t="s">
        <v>33</v>
      </c>
      <c r="I283" t="s">
        <v>43</v>
      </c>
      <c r="J283" t="s">
        <v>44</v>
      </c>
      <c r="K283" t="s">
        <v>36</v>
      </c>
      <c r="L283" t="s">
        <v>37</v>
      </c>
      <c r="M283">
        <v>0</v>
      </c>
      <c r="N283">
        <v>0</v>
      </c>
      <c r="O283" s="5">
        <v>26648</v>
      </c>
      <c r="P283" s="5">
        <v>26647</v>
      </c>
      <c r="Q283">
        <f>34-11.5</f>
        <v>22.5</v>
      </c>
      <c r="R283" t="s">
        <v>38</v>
      </c>
      <c r="S283" t="s">
        <v>39</v>
      </c>
      <c r="T283">
        <v>19</v>
      </c>
      <c r="U283">
        <v>99.5</v>
      </c>
      <c r="V283">
        <v>15</v>
      </c>
      <c r="W283">
        <v>12.3</v>
      </c>
      <c r="X283">
        <v>28</v>
      </c>
      <c r="Z283" t="s">
        <v>39</v>
      </c>
      <c r="AB283" t="s">
        <v>86</v>
      </c>
      <c r="AC283" t="s">
        <v>41</v>
      </c>
    </row>
    <row r="284" spans="1:29" x14ac:dyDescent="0.35">
      <c r="A284" s="4">
        <v>42528</v>
      </c>
      <c r="B284" t="s">
        <v>30</v>
      </c>
      <c r="C284">
        <v>112</v>
      </c>
      <c r="D284">
        <v>4</v>
      </c>
      <c r="E284">
        <v>1</v>
      </c>
      <c r="F284" t="s">
        <v>31</v>
      </c>
      <c r="G284" t="s">
        <v>32</v>
      </c>
      <c r="H284" t="s">
        <v>33</v>
      </c>
      <c r="I284" t="s">
        <v>43</v>
      </c>
      <c r="J284" t="s">
        <v>35</v>
      </c>
      <c r="K284" t="s">
        <v>36</v>
      </c>
      <c r="L284" t="s">
        <v>45</v>
      </c>
      <c r="M284">
        <v>0</v>
      </c>
      <c r="N284">
        <v>1</v>
      </c>
      <c r="O284" s="5">
        <v>50303</v>
      </c>
      <c r="P284" s="5">
        <v>50302</v>
      </c>
      <c r="Q284">
        <f>35-3.5</f>
        <v>31.5</v>
      </c>
      <c r="R284" t="s">
        <v>77</v>
      </c>
      <c r="S284" t="s">
        <v>39</v>
      </c>
      <c r="T284">
        <v>19</v>
      </c>
      <c r="U284">
        <v>84</v>
      </c>
      <c r="V284">
        <v>15</v>
      </c>
      <c r="W284">
        <v>11</v>
      </c>
      <c r="X284">
        <v>25.8</v>
      </c>
      <c r="Z284" t="s">
        <v>39</v>
      </c>
      <c r="AB284" t="s">
        <v>97</v>
      </c>
      <c r="AC284" t="s">
        <v>41</v>
      </c>
    </row>
    <row r="285" spans="1:29" x14ac:dyDescent="0.35">
      <c r="A285" s="4">
        <v>42528</v>
      </c>
      <c r="B285" t="s">
        <v>30</v>
      </c>
      <c r="C285">
        <v>112</v>
      </c>
      <c r="D285">
        <v>10</v>
      </c>
      <c r="E285">
        <v>1</v>
      </c>
      <c r="F285" t="s">
        <v>31</v>
      </c>
      <c r="G285" t="s">
        <v>32</v>
      </c>
      <c r="H285" t="s">
        <v>33</v>
      </c>
      <c r="I285" t="s">
        <v>43</v>
      </c>
      <c r="J285" t="s">
        <v>35</v>
      </c>
      <c r="K285" t="s">
        <v>36</v>
      </c>
      <c r="L285" t="s">
        <v>45</v>
      </c>
      <c r="M285">
        <v>0</v>
      </c>
      <c r="N285">
        <v>1</v>
      </c>
      <c r="O285" s="5">
        <v>50305</v>
      </c>
      <c r="P285" s="5">
        <v>50304</v>
      </c>
      <c r="Q285">
        <f>25.5-4</f>
        <v>21.5</v>
      </c>
      <c r="R285" t="s">
        <v>61</v>
      </c>
      <c r="S285" t="s">
        <v>102</v>
      </c>
      <c r="T285">
        <v>19</v>
      </c>
      <c r="U285">
        <v>78</v>
      </c>
      <c r="V285">
        <v>16</v>
      </c>
      <c r="W285">
        <v>11.8</v>
      </c>
      <c r="X285">
        <v>26</v>
      </c>
      <c r="Z285" t="s">
        <v>39</v>
      </c>
      <c r="AB285" t="s">
        <v>86</v>
      </c>
      <c r="AC285" t="s">
        <v>41</v>
      </c>
    </row>
    <row r="286" spans="1:29" x14ac:dyDescent="0.35">
      <c r="A286" s="4">
        <v>42528</v>
      </c>
      <c r="B286" t="s">
        <v>30</v>
      </c>
      <c r="C286">
        <v>112</v>
      </c>
      <c r="D286">
        <v>2</v>
      </c>
      <c r="E286">
        <v>2</v>
      </c>
      <c r="F286" t="s">
        <v>31</v>
      </c>
      <c r="G286" t="s">
        <v>32</v>
      </c>
      <c r="H286" t="s">
        <v>33</v>
      </c>
      <c r="I286" t="s">
        <v>43</v>
      </c>
      <c r="J286" t="s">
        <v>35</v>
      </c>
      <c r="K286" t="s">
        <v>88</v>
      </c>
      <c r="L286" t="s">
        <v>37</v>
      </c>
      <c r="M286">
        <v>0</v>
      </c>
      <c r="N286">
        <v>1</v>
      </c>
      <c r="O286" s="5">
        <v>50313</v>
      </c>
      <c r="P286" s="5">
        <v>50312</v>
      </c>
      <c r="Q286">
        <f>25-13</f>
        <v>12</v>
      </c>
      <c r="R286" t="s">
        <v>46</v>
      </c>
      <c r="S286" t="s">
        <v>39</v>
      </c>
      <c r="T286">
        <v>18</v>
      </c>
      <c r="U286">
        <v>75</v>
      </c>
      <c r="V286">
        <v>15</v>
      </c>
      <c r="W286">
        <v>10.199999999999999</v>
      </c>
      <c r="X286">
        <v>24</v>
      </c>
      <c r="Z286" t="s">
        <v>39</v>
      </c>
      <c r="AB286" t="s">
        <v>97</v>
      </c>
      <c r="AC286" t="s">
        <v>41</v>
      </c>
    </row>
    <row r="287" spans="1:29" x14ac:dyDescent="0.35">
      <c r="A287" s="4">
        <v>42528</v>
      </c>
      <c r="B287" t="s">
        <v>30</v>
      </c>
      <c r="C287">
        <v>111</v>
      </c>
      <c r="D287">
        <v>4</v>
      </c>
      <c r="E287">
        <v>1</v>
      </c>
      <c r="F287" t="s">
        <v>31</v>
      </c>
      <c r="G287" t="s">
        <v>32</v>
      </c>
      <c r="H287" t="s">
        <v>33</v>
      </c>
      <c r="I287" t="s">
        <v>43</v>
      </c>
      <c r="J287" t="s">
        <v>35</v>
      </c>
      <c r="K287" t="s">
        <v>36</v>
      </c>
      <c r="L287" t="s">
        <v>45</v>
      </c>
      <c r="M287">
        <v>0</v>
      </c>
      <c r="N287">
        <v>1</v>
      </c>
      <c r="O287" s="5" t="s">
        <v>110</v>
      </c>
      <c r="P287" s="5">
        <v>50345</v>
      </c>
      <c r="Q287">
        <f>45-15</f>
        <v>30</v>
      </c>
      <c r="R287" t="s">
        <v>77</v>
      </c>
      <c r="S287" t="s">
        <v>39</v>
      </c>
      <c r="T287">
        <v>19</v>
      </c>
      <c r="U287">
        <v>78</v>
      </c>
      <c r="V287">
        <v>15</v>
      </c>
      <c r="W287">
        <v>22.4</v>
      </c>
      <c r="X287">
        <v>25.5</v>
      </c>
      <c r="Z287" t="s">
        <v>39</v>
      </c>
      <c r="AB287" t="s">
        <v>86</v>
      </c>
      <c r="AC287" t="s">
        <v>41</v>
      </c>
    </row>
    <row r="288" spans="1:29" x14ac:dyDescent="0.35">
      <c r="A288" s="4">
        <v>42528</v>
      </c>
      <c r="B288" t="s">
        <v>30</v>
      </c>
      <c r="C288">
        <v>111</v>
      </c>
      <c r="D288">
        <v>8</v>
      </c>
      <c r="E288">
        <v>1</v>
      </c>
      <c r="F288" t="s">
        <v>31</v>
      </c>
      <c r="G288" t="s">
        <v>32</v>
      </c>
      <c r="H288" t="s">
        <v>33</v>
      </c>
      <c r="I288" t="s">
        <v>43</v>
      </c>
      <c r="J288" t="s">
        <v>35</v>
      </c>
      <c r="K288" t="s">
        <v>36</v>
      </c>
      <c r="L288" t="s">
        <v>45</v>
      </c>
      <c r="M288">
        <v>0</v>
      </c>
      <c r="N288">
        <v>1</v>
      </c>
      <c r="O288" s="5">
        <v>50348</v>
      </c>
      <c r="P288" s="5">
        <v>50347</v>
      </c>
      <c r="Q288">
        <v>22</v>
      </c>
      <c r="R288" t="s">
        <v>79</v>
      </c>
      <c r="S288" t="s">
        <v>102</v>
      </c>
      <c r="T288">
        <v>20</v>
      </c>
      <c r="U288">
        <v>88</v>
      </c>
      <c r="V288">
        <v>16</v>
      </c>
      <c r="W288">
        <v>21.3</v>
      </c>
      <c r="X288">
        <v>26.4</v>
      </c>
      <c r="Z288" t="s">
        <v>39</v>
      </c>
      <c r="AB288" t="s">
        <v>97</v>
      </c>
      <c r="AC288" t="s">
        <v>41</v>
      </c>
    </row>
    <row r="289" spans="1:29" x14ac:dyDescent="0.35">
      <c r="A289" s="4">
        <v>42528</v>
      </c>
      <c r="B289" t="s">
        <v>30</v>
      </c>
      <c r="C289">
        <v>112</v>
      </c>
      <c r="D289">
        <v>1</v>
      </c>
      <c r="E289">
        <v>2</v>
      </c>
      <c r="F289" t="s">
        <v>31</v>
      </c>
      <c r="G289" t="s">
        <v>32</v>
      </c>
      <c r="H289" t="s">
        <v>33</v>
      </c>
      <c r="I289" t="s">
        <v>43</v>
      </c>
      <c r="J289" t="s">
        <v>35</v>
      </c>
      <c r="K289" t="s">
        <v>36</v>
      </c>
      <c r="L289" t="s">
        <v>45</v>
      </c>
      <c r="M289">
        <v>0</v>
      </c>
      <c r="N289">
        <v>1</v>
      </c>
      <c r="O289" s="5">
        <v>50350</v>
      </c>
      <c r="P289" s="5">
        <v>50349</v>
      </c>
      <c r="Q289">
        <f>40-11</f>
        <v>29</v>
      </c>
      <c r="R289" t="s">
        <v>77</v>
      </c>
      <c r="S289" t="s">
        <v>39</v>
      </c>
      <c r="T289">
        <v>19</v>
      </c>
      <c r="U289">
        <v>97</v>
      </c>
      <c r="V289">
        <v>15</v>
      </c>
      <c r="W289">
        <v>22.3</v>
      </c>
      <c r="X289">
        <v>28</v>
      </c>
      <c r="Z289" t="s">
        <v>39</v>
      </c>
      <c r="AB289" t="s">
        <v>86</v>
      </c>
      <c r="AC289" t="s">
        <v>41</v>
      </c>
    </row>
    <row r="290" spans="1:29" x14ac:dyDescent="0.35">
      <c r="A290" s="4">
        <v>42528</v>
      </c>
      <c r="B290" t="s">
        <v>30</v>
      </c>
      <c r="C290">
        <v>201</v>
      </c>
      <c r="D290">
        <v>8</v>
      </c>
      <c r="E290">
        <v>2</v>
      </c>
      <c r="F290" t="s">
        <v>42</v>
      </c>
      <c r="G290" t="s">
        <v>32</v>
      </c>
      <c r="H290" t="s">
        <v>33</v>
      </c>
      <c r="I290" t="s">
        <v>43</v>
      </c>
      <c r="J290" t="s">
        <v>35</v>
      </c>
      <c r="K290" t="s">
        <v>36</v>
      </c>
      <c r="L290" t="s">
        <v>45</v>
      </c>
      <c r="M290">
        <v>0</v>
      </c>
      <c r="N290">
        <v>1</v>
      </c>
      <c r="O290" s="5">
        <v>50359</v>
      </c>
      <c r="P290" s="5">
        <v>50358</v>
      </c>
      <c r="Q290">
        <f>35-12</f>
        <v>23</v>
      </c>
      <c r="R290" t="s">
        <v>79</v>
      </c>
      <c r="S290" t="s">
        <v>39</v>
      </c>
      <c r="T290">
        <v>18</v>
      </c>
      <c r="U290">
        <v>90</v>
      </c>
      <c r="V290">
        <v>15.5</v>
      </c>
      <c r="W290">
        <v>12.8</v>
      </c>
      <c r="X290">
        <v>27</v>
      </c>
      <c r="Z290" t="s">
        <v>39</v>
      </c>
      <c r="AB290" t="s">
        <v>97</v>
      </c>
      <c r="AC290" t="s">
        <v>41</v>
      </c>
    </row>
    <row r="291" spans="1:29" x14ac:dyDescent="0.35">
      <c r="A291" s="4">
        <v>42528</v>
      </c>
      <c r="B291" t="s">
        <v>30</v>
      </c>
      <c r="C291">
        <v>203</v>
      </c>
      <c r="D291">
        <v>9</v>
      </c>
      <c r="E291">
        <v>2</v>
      </c>
      <c r="F291" t="s">
        <v>42</v>
      </c>
      <c r="G291" t="s">
        <v>32</v>
      </c>
      <c r="H291" t="s">
        <v>33</v>
      </c>
      <c r="I291" t="s">
        <v>43</v>
      </c>
      <c r="J291" t="s">
        <v>44</v>
      </c>
      <c r="K291" t="s">
        <v>36</v>
      </c>
      <c r="L291" t="s">
        <v>37</v>
      </c>
      <c r="M291">
        <v>1</v>
      </c>
      <c r="N291">
        <v>0</v>
      </c>
      <c r="O291" s="5">
        <v>50490</v>
      </c>
      <c r="P291" s="5" t="s">
        <v>111</v>
      </c>
      <c r="Q291">
        <f>34.5-13.5</f>
        <v>21</v>
      </c>
      <c r="R291" t="s">
        <v>38</v>
      </c>
      <c r="S291" t="s">
        <v>39</v>
      </c>
      <c r="T291">
        <v>17</v>
      </c>
      <c r="U291">
        <v>85</v>
      </c>
      <c r="V291">
        <v>16</v>
      </c>
      <c r="W291">
        <v>12.65</v>
      </c>
      <c r="X291">
        <v>29.5</v>
      </c>
      <c r="Z291" t="s">
        <v>39</v>
      </c>
      <c r="AB291" t="s">
        <v>97</v>
      </c>
      <c r="AC291" t="s">
        <v>41</v>
      </c>
    </row>
    <row r="292" spans="1:29" x14ac:dyDescent="0.35">
      <c r="A292" s="4">
        <v>42528</v>
      </c>
      <c r="B292" t="s">
        <v>30</v>
      </c>
      <c r="C292">
        <v>202</v>
      </c>
      <c r="D292">
        <v>6</v>
      </c>
      <c r="E292">
        <v>1</v>
      </c>
      <c r="F292" t="s">
        <v>42</v>
      </c>
      <c r="G292" t="s">
        <v>32</v>
      </c>
      <c r="H292" t="s">
        <v>33</v>
      </c>
      <c r="I292" t="s">
        <v>55</v>
      </c>
      <c r="O292" s="5"/>
      <c r="P292" s="5"/>
      <c r="Z292" t="s">
        <v>39</v>
      </c>
    </row>
    <row r="293" spans="1:29" x14ac:dyDescent="0.35">
      <c r="A293" s="4">
        <v>42528</v>
      </c>
      <c r="B293" t="s">
        <v>30</v>
      </c>
      <c r="C293">
        <v>304</v>
      </c>
      <c r="D293">
        <v>5</v>
      </c>
      <c r="E293">
        <v>1</v>
      </c>
      <c r="F293" t="s">
        <v>42</v>
      </c>
      <c r="G293" t="s">
        <v>32</v>
      </c>
      <c r="H293" t="s">
        <v>33</v>
      </c>
      <c r="I293" t="s">
        <v>55</v>
      </c>
      <c r="O293" s="5"/>
      <c r="P293" s="5"/>
      <c r="Z293" t="s">
        <v>39</v>
      </c>
    </row>
    <row r="294" spans="1:29" x14ac:dyDescent="0.35">
      <c r="A294" s="4">
        <v>42528</v>
      </c>
      <c r="B294" t="s">
        <v>30</v>
      </c>
      <c r="C294">
        <v>111</v>
      </c>
      <c r="D294">
        <v>1</v>
      </c>
      <c r="E294">
        <v>1</v>
      </c>
      <c r="F294" t="s">
        <v>31</v>
      </c>
      <c r="G294" t="s">
        <v>32</v>
      </c>
      <c r="H294" t="s">
        <v>33</v>
      </c>
      <c r="I294" t="s">
        <v>84</v>
      </c>
      <c r="O294" s="5"/>
      <c r="P294" s="5"/>
      <c r="Z294" t="s">
        <v>39</v>
      </c>
    </row>
    <row r="295" spans="1:29" x14ac:dyDescent="0.35">
      <c r="A295" s="4">
        <v>42528</v>
      </c>
      <c r="B295" t="s">
        <v>30</v>
      </c>
      <c r="C295">
        <v>111</v>
      </c>
      <c r="D295">
        <v>2</v>
      </c>
      <c r="E295">
        <v>1</v>
      </c>
      <c r="F295" t="s">
        <v>31</v>
      </c>
      <c r="G295" t="s">
        <v>32</v>
      </c>
      <c r="H295" t="s">
        <v>33</v>
      </c>
      <c r="I295" t="s">
        <v>84</v>
      </c>
      <c r="O295" s="5"/>
      <c r="P295" s="5"/>
      <c r="Z295" t="s">
        <v>39</v>
      </c>
    </row>
    <row r="296" spans="1:29" x14ac:dyDescent="0.35">
      <c r="A296" s="4">
        <v>42528</v>
      </c>
      <c r="B296" t="s">
        <v>30</v>
      </c>
      <c r="C296">
        <v>113</v>
      </c>
      <c r="D296">
        <v>1</v>
      </c>
      <c r="E296">
        <v>1</v>
      </c>
      <c r="F296" t="s">
        <v>31</v>
      </c>
      <c r="G296" t="s">
        <v>32</v>
      </c>
      <c r="H296" t="s">
        <v>33</v>
      </c>
      <c r="I296" t="s">
        <v>84</v>
      </c>
      <c r="O296" s="5"/>
      <c r="P296" s="5"/>
      <c r="Z296" t="s">
        <v>39</v>
      </c>
    </row>
    <row r="297" spans="1:29" x14ac:dyDescent="0.35">
      <c r="A297" s="4">
        <v>42528</v>
      </c>
      <c r="B297" t="s">
        <v>30</v>
      </c>
      <c r="C297">
        <v>113</v>
      </c>
      <c r="D297">
        <v>1</v>
      </c>
      <c r="E297">
        <v>2</v>
      </c>
      <c r="F297" t="s">
        <v>31</v>
      </c>
      <c r="G297" t="s">
        <v>32</v>
      </c>
      <c r="H297" t="s">
        <v>33</v>
      </c>
      <c r="I297" t="s">
        <v>84</v>
      </c>
      <c r="O297" s="5"/>
      <c r="P297" s="5"/>
      <c r="Z297" t="s">
        <v>39</v>
      </c>
    </row>
    <row r="298" spans="1:29" x14ac:dyDescent="0.35">
      <c r="A298" s="4">
        <v>42528</v>
      </c>
      <c r="B298" t="s">
        <v>30</v>
      </c>
      <c r="C298">
        <v>113</v>
      </c>
      <c r="D298">
        <v>2</v>
      </c>
      <c r="E298">
        <v>1</v>
      </c>
      <c r="F298" t="s">
        <v>31</v>
      </c>
      <c r="G298" t="s">
        <v>32</v>
      </c>
      <c r="H298" t="s">
        <v>33</v>
      </c>
      <c r="I298" t="s">
        <v>84</v>
      </c>
      <c r="O298" s="5"/>
      <c r="P298" s="5"/>
      <c r="Z298" t="s">
        <v>39</v>
      </c>
    </row>
    <row r="299" spans="1:29" x14ac:dyDescent="0.35">
      <c r="A299" s="4">
        <v>42528</v>
      </c>
      <c r="B299" t="s">
        <v>30</v>
      </c>
      <c r="C299">
        <v>113</v>
      </c>
      <c r="D299">
        <v>2</v>
      </c>
      <c r="E299">
        <v>2</v>
      </c>
      <c r="F299" t="s">
        <v>31</v>
      </c>
      <c r="G299" t="s">
        <v>32</v>
      </c>
      <c r="H299" t="s">
        <v>33</v>
      </c>
      <c r="I299" t="s">
        <v>84</v>
      </c>
      <c r="O299" s="5"/>
      <c r="P299" s="5"/>
      <c r="Z299" t="s">
        <v>39</v>
      </c>
    </row>
    <row r="300" spans="1:29" x14ac:dyDescent="0.35">
      <c r="A300" s="4">
        <v>42528</v>
      </c>
      <c r="B300" t="s">
        <v>30</v>
      </c>
      <c r="C300">
        <v>113</v>
      </c>
      <c r="D300">
        <v>3</v>
      </c>
      <c r="E300">
        <v>1</v>
      </c>
      <c r="F300" t="s">
        <v>31</v>
      </c>
      <c r="G300" t="s">
        <v>32</v>
      </c>
      <c r="H300" t="s">
        <v>33</v>
      </c>
      <c r="I300" t="s">
        <v>84</v>
      </c>
      <c r="O300" s="5"/>
      <c r="P300" s="5"/>
      <c r="Z300" t="s">
        <v>39</v>
      </c>
    </row>
    <row r="301" spans="1:29" x14ac:dyDescent="0.35">
      <c r="A301" s="4">
        <v>42528</v>
      </c>
      <c r="B301" t="s">
        <v>30</v>
      </c>
      <c r="C301">
        <v>113</v>
      </c>
      <c r="D301">
        <v>3</v>
      </c>
      <c r="E301">
        <v>2</v>
      </c>
      <c r="F301" t="s">
        <v>31</v>
      </c>
      <c r="G301" t="s">
        <v>32</v>
      </c>
      <c r="H301" t="s">
        <v>33</v>
      </c>
      <c r="I301" t="s">
        <v>84</v>
      </c>
      <c r="O301" s="5"/>
      <c r="P301" s="5"/>
      <c r="Z301" t="s">
        <v>39</v>
      </c>
    </row>
    <row r="302" spans="1:29" x14ac:dyDescent="0.35">
      <c r="A302" s="4">
        <v>42528</v>
      </c>
      <c r="B302" t="s">
        <v>30</v>
      </c>
      <c r="C302">
        <v>113</v>
      </c>
      <c r="D302">
        <v>4</v>
      </c>
      <c r="E302">
        <v>1</v>
      </c>
      <c r="F302" t="s">
        <v>31</v>
      </c>
      <c r="G302" t="s">
        <v>32</v>
      </c>
      <c r="H302" t="s">
        <v>33</v>
      </c>
      <c r="I302" t="s">
        <v>84</v>
      </c>
      <c r="O302" s="5"/>
      <c r="P302" s="5"/>
      <c r="Z302" t="s">
        <v>39</v>
      </c>
    </row>
    <row r="303" spans="1:29" x14ac:dyDescent="0.35">
      <c r="A303" s="4">
        <v>42528</v>
      </c>
      <c r="B303" t="s">
        <v>30</v>
      </c>
      <c r="C303">
        <v>113</v>
      </c>
      <c r="D303">
        <v>4</v>
      </c>
      <c r="E303">
        <v>2</v>
      </c>
      <c r="F303" t="s">
        <v>31</v>
      </c>
      <c r="G303" t="s">
        <v>32</v>
      </c>
      <c r="H303" t="s">
        <v>33</v>
      </c>
      <c r="I303" t="s">
        <v>84</v>
      </c>
      <c r="O303" s="5"/>
      <c r="P303" s="5"/>
      <c r="Z303" t="s">
        <v>39</v>
      </c>
    </row>
    <row r="304" spans="1:29" x14ac:dyDescent="0.35">
      <c r="A304" s="4">
        <v>42528</v>
      </c>
      <c r="B304" t="s">
        <v>30</v>
      </c>
      <c r="C304">
        <v>113</v>
      </c>
      <c r="D304">
        <v>5</v>
      </c>
      <c r="E304">
        <v>1</v>
      </c>
      <c r="F304" t="s">
        <v>31</v>
      </c>
      <c r="G304" t="s">
        <v>32</v>
      </c>
      <c r="H304" t="s">
        <v>33</v>
      </c>
      <c r="I304" t="s">
        <v>84</v>
      </c>
      <c r="O304" s="5"/>
      <c r="P304" s="5"/>
      <c r="Z304" t="s">
        <v>39</v>
      </c>
    </row>
    <row r="305" spans="1:26" x14ac:dyDescent="0.35">
      <c r="A305" s="4">
        <v>42528</v>
      </c>
      <c r="B305" t="s">
        <v>30</v>
      </c>
      <c r="C305">
        <v>113</v>
      </c>
      <c r="D305">
        <v>5</v>
      </c>
      <c r="E305">
        <v>2</v>
      </c>
      <c r="F305" t="s">
        <v>31</v>
      </c>
      <c r="G305" t="s">
        <v>32</v>
      </c>
      <c r="H305" t="s">
        <v>33</v>
      </c>
      <c r="I305" t="s">
        <v>84</v>
      </c>
      <c r="O305" s="5"/>
      <c r="P305" s="5"/>
      <c r="Z305" t="s">
        <v>39</v>
      </c>
    </row>
    <row r="306" spans="1:26" x14ac:dyDescent="0.35">
      <c r="A306" s="4">
        <v>42528</v>
      </c>
      <c r="B306" t="s">
        <v>30</v>
      </c>
      <c r="C306">
        <v>113</v>
      </c>
      <c r="D306">
        <v>6</v>
      </c>
      <c r="E306">
        <v>1</v>
      </c>
      <c r="F306" t="s">
        <v>31</v>
      </c>
      <c r="G306" t="s">
        <v>32</v>
      </c>
      <c r="H306" t="s">
        <v>33</v>
      </c>
      <c r="I306" t="s">
        <v>84</v>
      </c>
      <c r="O306" s="5"/>
      <c r="P306" s="5"/>
      <c r="Z306" t="s">
        <v>39</v>
      </c>
    </row>
    <row r="307" spans="1:26" x14ac:dyDescent="0.35">
      <c r="A307" s="4">
        <v>42528</v>
      </c>
      <c r="B307" t="s">
        <v>30</v>
      </c>
      <c r="C307">
        <v>113</v>
      </c>
      <c r="D307">
        <v>6</v>
      </c>
      <c r="E307">
        <v>2</v>
      </c>
      <c r="F307" t="s">
        <v>31</v>
      </c>
      <c r="G307" t="s">
        <v>32</v>
      </c>
      <c r="H307" t="s">
        <v>33</v>
      </c>
      <c r="I307" t="s">
        <v>84</v>
      </c>
      <c r="O307" s="5"/>
      <c r="P307" s="5"/>
      <c r="Z307" t="s">
        <v>39</v>
      </c>
    </row>
    <row r="308" spans="1:26" x14ac:dyDescent="0.35">
      <c r="A308" s="4">
        <v>42528</v>
      </c>
      <c r="B308" t="s">
        <v>30</v>
      </c>
      <c r="C308">
        <v>113</v>
      </c>
      <c r="D308">
        <v>7</v>
      </c>
      <c r="E308">
        <v>1</v>
      </c>
      <c r="F308" t="s">
        <v>31</v>
      </c>
      <c r="G308" t="s">
        <v>32</v>
      </c>
      <c r="H308" t="s">
        <v>33</v>
      </c>
      <c r="I308" t="s">
        <v>84</v>
      </c>
      <c r="O308" s="5"/>
      <c r="P308" s="5"/>
      <c r="Z308" t="s">
        <v>39</v>
      </c>
    </row>
    <row r="309" spans="1:26" x14ac:dyDescent="0.35">
      <c r="A309" s="4">
        <v>42528</v>
      </c>
      <c r="B309" t="s">
        <v>30</v>
      </c>
      <c r="C309">
        <v>113</v>
      </c>
      <c r="D309">
        <v>7</v>
      </c>
      <c r="E309">
        <v>2</v>
      </c>
      <c r="F309" t="s">
        <v>31</v>
      </c>
      <c r="G309" t="s">
        <v>32</v>
      </c>
      <c r="H309" t="s">
        <v>33</v>
      </c>
      <c r="I309" t="s">
        <v>84</v>
      </c>
      <c r="O309" s="5"/>
      <c r="P309" s="5"/>
      <c r="Z309" t="s">
        <v>39</v>
      </c>
    </row>
    <row r="310" spans="1:26" x14ac:dyDescent="0.35">
      <c r="A310" s="4">
        <v>42528</v>
      </c>
      <c r="B310" t="s">
        <v>30</v>
      </c>
      <c r="C310">
        <v>113</v>
      </c>
      <c r="D310">
        <v>8</v>
      </c>
      <c r="E310">
        <v>1</v>
      </c>
      <c r="F310" t="s">
        <v>31</v>
      </c>
      <c r="G310" t="s">
        <v>32</v>
      </c>
      <c r="H310" t="s">
        <v>33</v>
      </c>
      <c r="I310" t="s">
        <v>84</v>
      </c>
      <c r="O310" s="5"/>
      <c r="P310" s="5"/>
      <c r="Z310" t="s">
        <v>39</v>
      </c>
    </row>
    <row r="311" spans="1:26" x14ac:dyDescent="0.35">
      <c r="A311" s="4">
        <v>42528</v>
      </c>
      <c r="B311" t="s">
        <v>30</v>
      </c>
      <c r="C311">
        <v>113</v>
      </c>
      <c r="D311">
        <v>8</v>
      </c>
      <c r="E311">
        <v>2</v>
      </c>
      <c r="F311" t="s">
        <v>31</v>
      </c>
      <c r="G311" t="s">
        <v>32</v>
      </c>
      <c r="H311" t="s">
        <v>33</v>
      </c>
      <c r="I311" t="s">
        <v>84</v>
      </c>
      <c r="O311" s="5"/>
      <c r="P311" s="5"/>
      <c r="Z311" t="s">
        <v>39</v>
      </c>
    </row>
    <row r="312" spans="1:26" x14ac:dyDescent="0.35">
      <c r="A312" s="4">
        <v>42528</v>
      </c>
      <c r="B312" t="s">
        <v>30</v>
      </c>
      <c r="C312">
        <v>113</v>
      </c>
      <c r="D312">
        <v>9</v>
      </c>
      <c r="E312">
        <v>1</v>
      </c>
      <c r="F312" t="s">
        <v>31</v>
      </c>
      <c r="G312" t="s">
        <v>32</v>
      </c>
      <c r="H312" t="s">
        <v>33</v>
      </c>
      <c r="I312" t="s">
        <v>84</v>
      </c>
      <c r="O312" s="5"/>
      <c r="P312" s="5"/>
      <c r="Z312" t="s">
        <v>39</v>
      </c>
    </row>
    <row r="313" spans="1:26" x14ac:dyDescent="0.35">
      <c r="A313" s="4">
        <v>42528</v>
      </c>
      <c r="B313" t="s">
        <v>30</v>
      </c>
      <c r="C313">
        <v>113</v>
      </c>
      <c r="D313">
        <v>9</v>
      </c>
      <c r="E313">
        <v>2</v>
      </c>
      <c r="F313" t="s">
        <v>31</v>
      </c>
      <c r="G313" t="s">
        <v>32</v>
      </c>
      <c r="H313" t="s">
        <v>33</v>
      </c>
      <c r="I313" t="s">
        <v>84</v>
      </c>
      <c r="O313" s="5"/>
      <c r="P313" s="5"/>
      <c r="Z313" t="s">
        <v>39</v>
      </c>
    </row>
    <row r="314" spans="1:26" x14ac:dyDescent="0.35">
      <c r="A314" s="4">
        <v>42528</v>
      </c>
      <c r="B314" t="s">
        <v>30</v>
      </c>
      <c r="C314">
        <v>113</v>
      </c>
      <c r="D314">
        <v>10</v>
      </c>
      <c r="E314">
        <v>1</v>
      </c>
      <c r="F314" t="s">
        <v>31</v>
      </c>
      <c r="G314" t="s">
        <v>32</v>
      </c>
      <c r="H314" t="s">
        <v>33</v>
      </c>
      <c r="I314" t="s">
        <v>84</v>
      </c>
      <c r="O314" s="5"/>
      <c r="P314" s="5"/>
      <c r="Z314" t="s">
        <v>39</v>
      </c>
    </row>
    <row r="315" spans="1:26" x14ac:dyDescent="0.35">
      <c r="A315" s="4">
        <v>42528</v>
      </c>
      <c r="B315" t="s">
        <v>30</v>
      </c>
      <c r="C315">
        <v>113</v>
      </c>
      <c r="D315">
        <v>10</v>
      </c>
      <c r="E315">
        <v>2</v>
      </c>
      <c r="F315" t="s">
        <v>31</v>
      </c>
      <c r="G315" t="s">
        <v>32</v>
      </c>
      <c r="H315" t="s">
        <v>33</v>
      </c>
      <c r="I315" t="s">
        <v>84</v>
      </c>
      <c r="O315" s="5"/>
      <c r="P315" s="5"/>
      <c r="Z315" t="s">
        <v>39</v>
      </c>
    </row>
    <row r="316" spans="1:26" x14ac:dyDescent="0.35">
      <c r="A316" s="4">
        <v>42528</v>
      </c>
      <c r="B316" t="s">
        <v>30</v>
      </c>
      <c r="C316">
        <v>402</v>
      </c>
      <c r="D316">
        <v>1</v>
      </c>
      <c r="E316">
        <v>1</v>
      </c>
      <c r="F316" t="s">
        <v>31</v>
      </c>
      <c r="G316" t="s">
        <v>32</v>
      </c>
      <c r="H316" t="s">
        <v>33</v>
      </c>
      <c r="I316" t="s">
        <v>84</v>
      </c>
      <c r="O316" s="5"/>
      <c r="P316" s="5"/>
      <c r="Z316" t="s">
        <v>39</v>
      </c>
    </row>
    <row r="317" spans="1:26" x14ac:dyDescent="0.35">
      <c r="A317" s="4">
        <v>42528</v>
      </c>
      <c r="B317" t="s">
        <v>30</v>
      </c>
      <c r="C317">
        <v>402</v>
      </c>
      <c r="D317">
        <v>1</v>
      </c>
      <c r="E317">
        <v>2</v>
      </c>
      <c r="F317" t="s">
        <v>31</v>
      </c>
      <c r="G317" t="s">
        <v>32</v>
      </c>
      <c r="H317" t="s">
        <v>33</v>
      </c>
      <c r="I317" t="s">
        <v>84</v>
      </c>
      <c r="O317" s="5"/>
      <c r="P317" s="5"/>
      <c r="Z317" t="s">
        <v>39</v>
      </c>
    </row>
    <row r="318" spans="1:26" x14ac:dyDescent="0.35">
      <c r="A318" s="4">
        <v>42528</v>
      </c>
      <c r="B318" t="s">
        <v>30</v>
      </c>
      <c r="C318">
        <v>402</v>
      </c>
      <c r="D318">
        <v>2</v>
      </c>
      <c r="E318">
        <v>1</v>
      </c>
      <c r="F318" t="s">
        <v>31</v>
      </c>
      <c r="G318" t="s">
        <v>32</v>
      </c>
      <c r="H318" t="s">
        <v>33</v>
      </c>
      <c r="I318" t="s">
        <v>84</v>
      </c>
      <c r="O318" s="5"/>
      <c r="P318" s="5"/>
      <c r="Z318" t="s">
        <v>39</v>
      </c>
    </row>
    <row r="319" spans="1:26" x14ac:dyDescent="0.35">
      <c r="A319" s="4">
        <v>42528</v>
      </c>
      <c r="B319" t="s">
        <v>30</v>
      </c>
      <c r="C319">
        <v>402</v>
      </c>
      <c r="D319">
        <v>2</v>
      </c>
      <c r="E319">
        <v>2</v>
      </c>
      <c r="F319" t="s">
        <v>31</v>
      </c>
      <c r="G319" t="s">
        <v>32</v>
      </c>
      <c r="H319" t="s">
        <v>33</v>
      </c>
      <c r="I319" t="s">
        <v>84</v>
      </c>
      <c r="O319" s="5"/>
      <c r="P319" s="5"/>
      <c r="Z319" t="s">
        <v>39</v>
      </c>
    </row>
    <row r="320" spans="1:26" x14ac:dyDescent="0.35">
      <c r="A320" s="4">
        <v>42528</v>
      </c>
      <c r="B320" t="s">
        <v>30</v>
      </c>
      <c r="C320">
        <v>402</v>
      </c>
      <c r="D320">
        <v>3</v>
      </c>
      <c r="E320">
        <v>1</v>
      </c>
      <c r="F320" t="s">
        <v>31</v>
      </c>
      <c r="G320" t="s">
        <v>32</v>
      </c>
      <c r="H320" t="s">
        <v>33</v>
      </c>
      <c r="I320" t="s">
        <v>84</v>
      </c>
      <c r="O320" s="5"/>
      <c r="P320" s="5"/>
      <c r="Z320" t="s">
        <v>39</v>
      </c>
    </row>
    <row r="321" spans="1:26" x14ac:dyDescent="0.35">
      <c r="A321" s="4">
        <v>42528</v>
      </c>
      <c r="B321" t="s">
        <v>30</v>
      </c>
      <c r="C321">
        <v>402</v>
      </c>
      <c r="D321">
        <v>3</v>
      </c>
      <c r="E321">
        <v>2</v>
      </c>
      <c r="F321" t="s">
        <v>31</v>
      </c>
      <c r="G321" t="s">
        <v>32</v>
      </c>
      <c r="H321" t="s">
        <v>33</v>
      </c>
      <c r="I321" t="s">
        <v>84</v>
      </c>
      <c r="O321" s="5"/>
      <c r="P321" s="5"/>
      <c r="Z321" t="s">
        <v>39</v>
      </c>
    </row>
    <row r="322" spans="1:26" x14ac:dyDescent="0.35">
      <c r="A322" s="4">
        <v>42528</v>
      </c>
      <c r="B322" t="s">
        <v>30</v>
      </c>
      <c r="C322">
        <v>402</v>
      </c>
      <c r="D322">
        <v>4</v>
      </c>
      <c r="E322">
        <v>1</v>
      </c>
      <c r="F322" t="s">
        <v>31</v>
      </c>
      <c r="G322" t="s">
        <v>32</v>
      </c>
      <c r="H322" t="s">
        <v>33</v>
      </c>
      <c r="I322" t="s">
        <v>84</v>
      </c>
      <c r="O322" s="5"/>
      <c r="P322" s="5"/>
      <c r="Z322" t="s">
        <v>39</v>
      </c>
    </row>
    <row r="323" spans="1:26" x14ac:dyDescent="0.35">
      <c r="A323" s="4">
        <v>42528</v>
      </c>
      <c r="B323" t="s">
        <v>30</v>
      </c>
      <c r="C323">
        <v>402</v>
      </c>
      <c r="D323">
        <v>4</v>
      </c>
      <c r="E323">
        <v>2</v>
      </c>
      <c r="F323" t="s">
        <v>31</v>
      </c>
      <c r="G323" t="s">
        <v>32</v>
      </c>
      <c r="H323" t="s">
        <v>33</v>
      </c>
      <c r="I323" t="s">
        <v>84</v>
      </c>
      <c r="O323" s="5"/>
      <c r="P323" s="5"/>
      <c r="Z323" t="s">
        <v>39</v>
      </c>
    </row>
    <row r="324" spans="1:26" x14ac:dyDescent="0.35">
      <c r="A324" s="4">
        <v>42528</v>
      </c>
      <c r="B324" t="s">
        <v>30</v>
      </c>
      <c r="C324">
        <v>402</v>
      </c>
      <c r="D324">
        <v>5</v>
      </c>
      <c r="E324">
        <v>1</v>
      </c>
      <c r="F324" t="s">
        <v>31</v>
      </c>
      <c r="G324" t="s">
        <v>32</v>
      </c>
      <c r="H324" t="s">
        <v>33</v>
      </c>
      <c r="I324" t="s">
        <v>84</v>
      </c>
      <c r="O324" s="5"/>
      <c r="P324" s="5"/>
      <c r="Z324" t="s">
        <v>39</v>
      </c>
    </row>
    <row r="325" spans="1:26" x14ac:dyDescent="0.35">
      <c r="A325" s="4">
        <v>42528</v>
      </c>
      <c r="B325" t="s">
        <v>30</v>
      </c>
      <c r="C325">
        <v>402</v>
      </c>
      <c r="D325">
        <v>5</v>
      </c>
      <c r="E325">
        <v>2</v>
      </c>
      <c r="F325" t="s">
        <v>31</v>
      </c>
      <c r="G325" t="s">
        <v>32</v>
      </c>
      <c r="H325" t="s">
        <v>33</v>
      </c>
      <c r="I325" t="s">
        <v>84</v>
      </c>
      <c r="O325" s="5"/>
      <c r="P325" s="5"/>
      <c r="Z325" t="s">
        <v>39</v>
      </c>
    </row>
    <row r="326" spans="1:26" x14ac:dyDescent="0.35">
      <c r="A326" s="4">
        <v>42528</v>
      </c>
      <c r="B326" t="s">
        <v>30</v>
      </c>
      <c r="C326">
        <v>402</v>
      </c>
      <c r="D326">
        <v>6</v>
      </c>
      <c r="E326">
        <v>1</v>
      </c>
      <c r="F326" t="s">
        <v>31</v>
      </c>
      <c r="G326" t="s">
        <v>32</v>
      </c>
      <c r="H326" t="s">
        <v>33</v>
      </c>
      <c r="I326" t="s">
        <v>84</v>
      </c>
      <c r="O326" s="5"/>
      <c r="P326" s="5"/>
      <c r="Z326" t="s">
        <v>39</v>
      </c>
    </row>
    <row r="327" spans="1:26" x14ac:dyDescent="0.35">
      <c r="A327" s="4">
        <v>42528</v>
      </c>
      <c r="B327" t="s">
        <v>30</v>
      </c>
      <c r="C327">
        <v>402</v>
      </c>
      <c r="D327">
        <v>6</v>
      </c>
      <c r="E327">
        <v>2</v>
      </c>
      <c r="F327" t="s">
        <v>31</v>
      </c>
      <c r="G327" t="s">
        <v>32</v>
      </c>
      <c r="H327" t="s">
        <v>33</v>
      </c>
      <c r="I327" t="s">
        <v>84</v>
      </c>
      <c r="O327" s="5"/>
      <c r="P327" s="5"/>
      <c r="Z327" t="s">
        <v>39</v>
      </c>
    </row>
    <row r="328" spans="1:26" x14ac:dyDescent="0.35">
      <c r="A328" s="4">
        <v>42528</v>
      </c>
      <c r="B328" t="s">
        <v>30</v>
      </c>
      <c r="C328">
        <v>402</v>
      </c>
      <c r="D328">
        <v>7</v>
      </c>
      <c r="E328">
        <v>1</v>
      </c>
      <c r="F328" t="s">
        <v>31</v>
      </c>
      <c r="G328" t="s">
        <v>32</v>
      </c>
      <c r="H328" t="s">
        <v>33</v>
      </c>
      <c r="I328" t="s">
        <v>84</v>
      </c>
      <c r="O328" s="5"/>
      <c r="P328" s="5"/>
      <c r="Z328" t="s">
        <v>39</v>
      </c>
    </row>
    <row r="329" spans="1:26" x14ac:dyDescent="0.35">
      <c r="A329" s="4">
        <v>42528</v>
      </c>
      <c r="B329" t="s">
        <v>30</v>
      </c>
      <c r="C329">
        <v>402</v>
      </c>
      <c r="D329">
        <v>7</v>
      </c>
      <c r="E329">
        <v>2</v>
      </c>
      <c r="F329" t="s">
        <v>31</v>
      </c>
      <c r="G329" t="s">
        <v>32</v>
      </c>
      <c r="H329" t="s">
        <v>33</v>
      </c>
      <c r="I329" t="s">
        <v>84</v>
      </c>
      <c r="O329" s="5"/>
      <c r="P329" s="5"/>
      <c r="Z329" t="s">
        <v>39</v>
      </c>
    </row>
    <row r="330" spans="1:26" x14ac:dyDescent="0.35">
      <c r="A330" s="4">
        <v>42528</v>
      </c>
      <c r="B330" t="s">
        <v>30</v>
      </c>
      <c r="C330">
        <v>402</v>
      </c>
      <c r="D330">
        <v>8</v>
      </c>
      <c r="E330">
        <v>1</v>
      </c>
      <c r="F330" t="s">
        <v>31</v>
      </c>
      <c r="G330" t="s">
        <v>32</v>
      </c>
      <c r="H330" t="s">
        <v>33</v>
      </c>
      <c r="I330" t="s">
        <v>84</v>
      </c>
      <c r="O330" s="5"/>
      <c r="P330" s="5"/>
      <c r="Z330" t="s">
        <v>39</v>
      </c>
    </row>
    <row r="331" spans="1:26" x14ac:dyDescent="0.35">
      <c r="A331" s="4">
        <v>42528</v>
      </c>
      <c r="B331" t="s">
        <v>30</v>
      </c>
      <c r="C331">
        <v>402</v>
      </c>
      <c r="D331">
        <v>8</v>
      </c>
      <c r="E331">
        <v>2</v>
      </c>
      <c r="F331" t="s">
        <v>31</v>
      </c>
      <c r="G331" t="s">
        <v>32</v>
      </c>
      <c r="H331" t="s">
        <v>33</v>
      </c>
      <c r="I331" t="s">
        <v>84</v>
      </c>
      <c r="O331" s="5"/>
      <c r="P331" s="5"/>
      <c r="Z331" t="s">
        <v>39</v>
      </c>
    </row>
    <row r="332" spans="1:26" x14ac:dyDescent="0.35">
      <c r="A332" s="4">
        <v>42528</v>
      </c>
      <c r="B332" t="s">
        <v>30</v>
      </c>
      <c r="C332">
        <v>402</v>
      </c>
      <c r="D332">
        <v>9</v>
      </c>
      <c r="E332">
        <v>1</v>
      </c>
      <c r="F332" t="s">
        <v>31</v>
      </c>
      <c r="G332" t="s">
        <v>32</v>
      </c>
      <c r="H332" t="s">
        <v>33</v>
      </c>
      <c r="I332" t="s">
        <v>84</v>
      </c>
      <c r="O332" s="5"/>
      <c r="P332" s="5"/>
      <c r="Z332" t="s">
        <v>39</v>
      </c>
    </row>
    <row r="333" spans="1:26" x14ac:dyDescent="0.35">
      <c r="A333" s="4">
        <v>42528</v>
      </c>
      <c r="B333" t="s">
        <v>30</v>
      </c>
      <c r="C333">
        <v>402</v>
      </c>
      <c r="D333">
        <v>9</v>
      </c>
      <c r="E333">
        <v>2</v>
      </c>
      <c r="F333" t="s">
        <v>31</v>
      </c>
      <c r="G333" t="s">
        <v>32</v>
      </c>
      <c r="H333" t="s">
        <v>33</v>
      </c>
      <c r="I333" t="s">
        <v>84</v>
      </c>
      <c r="O333" s="5"/>
      <c r="P333" s="5"/>
      <c r="Z333" t="s">
        <v>39</v>
      </c>
    </row>
    <row r="334" spans="1:26" x14ac:dyDescent="0.35">
      <c r="A334" s="4">
        <v>42528</v>
      </c>
      <c r="B334" t="s">
        <v>30</v>
      </c>
      <c r="C334">
        <v>402</v>
      </c>
      <c r="D334">
        <v>10</v>
      </c>
      <c r="E334">
        <v>1</v>
      </c>
      <c r="F334" t="s">
        <v>31</v>
      </c>
      <c r="G334" t="s">
        <v>32</v>
      </c>
      <c r="H334" t="s">
        <v>33</v>
      </c>
      <c r="I334" t="s">
        <v>84</v>
      </c>
      <c r="O334" s="5"/>
      <c r="P334" s="5"/>
      <c r="Z334" t="s">
        <v>39</v>
      </c>
    </row>
    <row r="335" spans="1:26" x14ac:dyDescent="0.35">
      <c r="A335" s="4">
        <v>42528</v>
      </c>
      <c r="B335" t="s">
        <v>30</v>
      </c>
      <c r="C335">
        <v>402</v>
      </c>
      <c r="D335">
        <v>10</v>
      </c>
      <c r="E335">
        <v>2</v>
      </c>
      <c r="F335" t="s">
        <v>31</v>
      </c>
      <c r="G335" t="s">
        <v>32</v>
      </c>
      <c r="H335" t="s">
        <v>33</v>
      </c>
      <c r="I335" t="s">
        <v>84</v>
      </c>
      <c r="O335" s="5"/>
      <c r="P335" s="5"/>
      <c r="Z335" t="s">
        <v>39</v>
      </c>
    </row>
    <row r="336" spans="1:26" x14ac:dyDescent="0.35">
      <c r="A336" s="4">
        <v>42528</v>
      </c>
      <c r="B336" t="s">
        <v>30</v>
      </c>
      <c r="C336">
        <v>201</v>
      </c>
      <c r="D336">
        <v>3</v>
      </c>
      <c r="E336">
        <v>1</v>
      </c>
      <c r="F336" t="s">
        <v>42</v>
      </c>
      <c r="G336" t="s">
        <v>32</v>
      </c>
      <c r="H336" t="s">
        <v>33</v>
      </c>
      <c r="I336" t="s">
        <v>59</v>
      </c>
      <c r="O336" s="5"/>
      <c r="P336" s="5"/>
      <c r="Z336" t="s">
        <v>39</v>
      </c>
    </row>
    <row r="337" spans="1:29" x14ac:dyDescent="0.35">
      <c r="A337" s="4">
        <v>42528</v>
      </c>
      <c r="B337" t="s">
        <v>30</v>
      </c>
      <c r="C337">
        <v>201</v>
      </c>
      <c r="D337">
        <v>8</v>
      </c>
      <c r="E337">
        <v>1</v>
      </c>
      <c r="F337" t="s">
        <v>42</v>
      </c>
      <c r="G337" t="s">
        <v>32</v>
      </c>
      <c r="H337" t="s">
        <v>33</v>
      </c>
      <c r="I337" t="s">
        <v>59</v>
      </c>
      <c r="O337" s="5"/>
      <c r="P337" s="5"/>
      <c r="Z337" t="s">
        <v>39</v>
      </c>
    </row>
    <row r="338" spans="1:29" x14ac:dyDescent="0.35">
      <c r="A338" s="4">
        <v>42528</v>
      </c>
      <c r="B338" t="s">
        <v>30</v>
      </c>
      <c r="C338">
        <v>203</v>
      </c>
      <c r="D338">
        <v>2</v>
      </c>
      <c r="E338">
        <v>1</v>
      </c>
      <c r="F338" t="s">
        <v>42</v>
      </c>
      <c r="G338" t="s">
        <v>32</v>
      </c>
      <c r="H338" t="s">
        <v>33</v>
      </c>
      <c r="I338" t="s">
        <v>59</v>
      </c>
      <c r="O338" s="5"/>
      <c r="P338" s="5"/>
      <c r="Z338" t="s">
        <v>39</v>
      </c>
    </row>
    <row r="339" spans="1:29" x14ac:dyDescent="0.35">
      <c r="A339" s="4">
        <v>42528</v>
      </c>
      <c r="B339" t="s">
        <v>30</v>
      </c>
      <c r="C339">
        <v>203</v>
      </c>
      <c r="D339">
        <v>3</v>
      </c>
      <c r="E339">
        <v>1</v>
      </c>
      <c r="F339" t="s">
        <v>42</v>
      </c>
      <c r="G339" t="s">
        <v>32</v>
      </c>
      <c r="H339" t="s">
        <v>33</v>
      </c>
      <c r="I339" t="s">
        <v>59</v>
      </c>
      <c r="O339" s="5"/>
      <c r="P339" s="5"/>
      <c r="Z339" t="s">
        <v>39</v>
      </c>
    </row>
    <row r="340" spans="1:29" x14ac:dyDescent="0.35">
      <c r="A340" s="4">
        <v>42528</v>
      </c>
      <c r="B340" t="s">
        <v>30</v>
      </c>
      <c r="C340">
        <v>203</v>
      </c>
      <c r="D340">
        <v>3</v>
      </c>
      <c r="E340">
        <v>2</v>
      </c>
      <c r="F340" t="s">
        <v>42</v>
      </c>
      <c r="G340" t="s">
        <v>32</v>
      </c>
      <c r="H340" t="s">
        <v>33</v>
      </c>
      <c r="I340" t="s">
        <v>59</v>
      </c>
      <c r="O340" s="5"/>
      <c r="P340" s="5"/>
      <c r="Z340" t="s">
        <v>39</v>
      </c>
    </row>
    <row r="341" spans="1:29" x14ac:dyDescent="0.35">
      <c r="A341" s="4">
        <v>42528</v>
      </c>
      <c r="B341" t="s">
        <v>30</v>
      </c>
      <c r="C341">
        <v>203</v>
      </c>
      <c r="D341">
        <v>9</v>
      </c>
      <c r="E341">
        <v>1</v>
      </c>
      <c r="F341" t="s">
        <v>42</v>
      </c>
      <c r="G341" t="s">
        <v>32</v>
      </c>
      <c r="H341" t="s">
        <v>33</v>
      </c>
      <c r="I341" t="s">
        <v>59</v>
      </c>
      <c r="O341" s="5"/>
      <c r="P341" s="5"/>
      <c r="Z341" t="s">
        <v>39</v>
      </c>
    </row>
    <row r="342" spans="1:29" x14ac:dyDescent="0.35">
      <c r="A342" s="4">
        <v>42528</v>
      </c>
      <c r="B342" t="s">
        <v>30</v>
      </c>
      <c r="C342">
        <v>202</v>
      </c>
      <c r="D342">
        <v>3</v>
      </c>
      <c r="E342">
        <v>1</v>
      </c>
      <c r="F342" t="s">
        <v>42</v>
      </c>
      <c r="G342" t="s">
        <v>32</v>
      </c>
      <c r="H342" t="s">
        <v>33</v>
      </c>
      <c r="I342" t="s">
        <v>59</v>
      </c>
      <c r="O342" s="5"/>
      <c r="P342" s="5"/>
      <c r="Z342" t="s">
        <v>39</v>
      </c>
    </row>
    <row r="343" spans="1:29" x14ac:dyDescent="0.35">
      <c r="A343" s="4">
        <v>42528</v>
      </c>
      <c r="B343" t="s">
        <v>30</v>
      </c>
      <c r="C343">
        <v>202</v>
      </c>
      <c r="D343">
        <v>3</v>
      </c>
      <c r="E343">
        <v>2</v>
      </c>
      <c r="F343" t="s">
        <v>42</v>
      </c>
      <c r="G343" t="s">
        <v>32</v>
      </c>
      <c r="H343" t="s">
        <v>33</v>
      </c>
      <c r="I343" t="s">
        <v>59</v>
      </c>
      <c r="O343" s="5"/>
      <c r="P343" s="5"/>
      <c r="Z343" t="s">
        <v>39</v>
      </c>
    </row>
    <row r="344" spans="1:29" x14ac:dyDescent="0.35">
      <c r="A344" s="4">
        <v>42528</v>
      </c>
      <c r="B344" t="s">
        <v>30</v>
      </c>
      <c r="C344">
        <v>304</v>
      </c>
      <c r="D344">
        <v>4</v>
      </c>
      <c r="E344">
        <v>1</v>
      </c>
      <c r="F344" t="s">
        <v>42</v>
      </c>
      <c r="G344" t="s">
        <v>32</v>
      </c>
      <c r="H344" t="s">
        <v>33</v>
      </c>
      <c r="I344" t="s">
        <v>59</v>
      </c>
      <c r="O344" s="5"/>
      <c r="P344" s="5"/>
      <c r="Z344" t="s">
        <v>39</v>
      </c>
    </row>
    <row r="345" spans="1:29" x14ac:dyDescent="0.35">
      <c r="A345" s="4">
        <v>42528</v>
      </c>
      <c r="B345" t="s">
        <v>30</v>
      </c>
      <c r="C345">
        <v>111</v>
      </c>
      <c r="D345">
        <v>9</v>
      </c>
      <c r="E345">
        <v>1</v>
      </c>
      <c r="F345" t="s">
        <v>31</v>
      </c>
      <c r="G345" t="s">
        <v>32</v>
      </c>
      <c r="H345" t="s">
        <v>33</v>
      </c>
      <c r="I345" t="s">
        <v>59</v>
      </c>
      <c r="O345" s="5"/>
      <c r="P345" s="5"/>
      <c r="Z345" t="s">
        <v>39</v>
      </c>
    </row>
    <row r="346" spans="1:29" x14ac:dyDescent="0.35">
      <c r="A346" s="4">
        <v>42528</v>
      </c>
      <c r="B346" t="s">
        <v>30</v>
      </c>
      <c r="C346">
        <v>112</v>
      </c>
      <c r="D346">
        <v>1</v>
      </c>
      <c r="E346">
        <v>1</v>
      </c>
      <c r="F346" t="s">
        <v>31</v>
      </c>
      <c r="G346" t="s">
        <v>32</v>
      </c>
      <c r="H346" t="s">
        <v>33</v>
      </c>
      <c r="I346" t="s">
        <v>59</v>
      </c>
      <c r="O346" s="5"/>
      <c r="P346" s="5"/>
      <c r="Z346" t="s">
        <v>39</v>
      </c>
    </row>
    <row r="347" spans="1:29" x14ac:dyDescent="0.35">
      <c r="A347" s="4">
        <v>42528</v>
      </c>
      <c r="B347" t="s">
        <v>30</v>
      </c>
      <c r="C347">
        <v>112</v>
      </c>
      <c r="D347">
        <v>2</v>
      </c>
      <c r="E347">
        <v>1</v>
      </c>
      <c r="F347" t="s">
        <v>31</v>
      </c>
      <c r="G347" t="s">
        <v>32</v>
      </c>
      <c r="H347" t="s">
        <v>33</v>
      </c>
      <c r="I347" t="s">
        <v>59</v>
      </c>
      <c r="O347" s="5"/>
      <c r="P347" s="5"/>
      <c r="Z347" t="s">
        <v>39</v>
      </c>
    </row>
    <row r="348" spans="1:29" x14ac:dyDescent="0.35">
      <c r="A348" s="4">
        <v>42528</v>
      </c>
      <c r="B348" t="s">
        <v>30</v>
      </c>
      <c r="C348">
        <v>112</v>
      </c>
      <c r="D348">
        <v>5</v>
      </c>
      <c r="E348">
        <v>1</v>
      </c>
      <c r="F348" t="s">
        <v>31</v>
      </c>
      <c r="G348" t="s">
        <v>32</v>
      </c>
      <c r="H348" t="s">
        <v>33</v>
      </c>
      <c r="I348" t="s">
        <v>59</v>
      </c>
      <c r="O348" s="5"/>
      <c r="P348" s="5"/>
      <c r="Z348" t="s">
        <v>39</v>
      </c>
    </row>
    <row r="349" spans="1:29" x14ac:dyDescent="0.35">
      <c r="A349" s="4">
        <v>42528</v>
      </c>
      <c r="B349" t="s">
        <v>30</v>
      </c>
      <c r="C349">
        <v>112</v>
      </c>
      <c r="D349">
        <v>7</v>
      </c>
      <c r="E349">
        <v>1</v>
      </c>
      <c r="F349" t="s">
        <v>31</v>
      </c>
      <c r="G349" t="s">
        <v>32</v>
      </c>
      <c r="H349" t="s">
        <v>33</v>
      </c>
      <c r="I349" t="s">
        <v>59</v>
      </c>
      <c r="O349" s="5"/>
      <c r="P349" s="5"/>
      <c r="Z349" t="s">
        <v>39</v>
      </c>
    </row>
    <row r="350" spans="1:29" x14ac:dyDescent="0.35">
      <c r="A350" s="4">
        <v>42528</v>
      </c>
      <c r="B350" t="s">
        <v>30</v>
      </c>
      <c r="C350">
        <v>111</v>
      </c>
      <c r="D350">
        <v>7</v>
      </c>
      <c r="E350">
        <v>1</v>
      </c>
      <c r="F350" t="s">
        <v>31</v>
      </c>
      <c r="G350" t="s">
        <v>32</v>
      </c>
      <c r="H350" t="s">
        <v>33</v>
      </c>
      <c r="I350" t="s">
        <v>105</v>
      </c>
      <c r="O350" s="5"/>
      <c r="P350" s="5"/>
      <c r="Z350" t="s">
        <v>39</v>
      </c>
    </row>
    <row r="351" spans="1:29" x14ac:dyDescent="0.35">
      <c r="A351" s="4">
        <v>42528</v>
      </c>
      <c r="B351" t="s">
        <v>30</v>
      </c>
      <c r="C351">
        <v>112</v>
      </c>
      <c r="D351">
        <v>6</v>
      </c>
      <c r="E351">
        <v>1</v>
      </c>
      <c r="F351" t="s">
        <v>31</v>
      </c>
      <c r="G351" t="s">
        <v>32</v>
      </c>
      <c r="H351" t="s">
        <v>33</v>
      </c>
      <c r="I351" t="s">
        <v>94</v>
      </c>
      <c r="J351" t="s">
        <v>35</v>
      </c>
      <c r="K351" t="s">
        <v>36</v>
      </c>
      <c r="L351" t="s">
        <v>37</v>
      </c>
      <c r="M351">
        <v>0</v>
      </c>
      <c r="N351">
        <v>1</v>
      </c>
      <c r="O351" s="5"/>
      <c r="P351" s="5">
        <v>50342</v>
      </c>
      <c r="R351" t="s">
        <v>38</v>
      </c>
      <c r="S351" t="s">
        <v>39</v>
      </c>
      <c r="W351">
        <v>11.4</v>
      </c>
      <c r="X351">
        <v>23.9</v>
      </c>
      <c r="Z351" t="s">
        <v>39</v>
      </c>
      <c r="AB351" t="s">
        <v>97</v>
      </c>
      <c r="AC351" t="s">
        <v>41</v>
      </c>
    </row>
    <row r="352" spans="1:29" x14ac:dyDescent="0.35">
      <c r="A352" s="4">
        <v>42528</v>
      </c>
      <c r="B352" t="s">
        <v>30</v>
      </c>
      <c r="C352">
        <v>112</v>
      </c>
      <c r="D352">
        <v>8</v>
      </c>
      <c r="E352">
        <v>1</v>
      </c>
      <c r="F352" t="s">
        <v>31</v>
      </c>
      <c r="G352" t="s">
        <v>32</v>
      </c>
      <c r="H352" t="s">
        <v>33</v>
      </c>
      <c r="I352" t="s">
        <v>94</v>
      </c>
      <c r="J352" t="s">
        <v>35</v>
      </c>
      <c r="K352" t="s">
        <v>36</v>
      </c>
      <c r="M352">
        <v>0</v>
      </c>
      <c r="N352">
        <v>1</v>
      </c>
      <c r="O352" s="5"/>
      <c r="P352" s="5">
        <v>50311</v>
      </c>
      <c r="Q352">
        <f>22.5-3</f>
        <v>19.5</v>
      </c>
      <c r="W352">
        <v>10.8</v>
      </c>
      <c r="X352">
        <v>24.5</v>
      </c>
      <c r="Z352" t="s">
        <v>39</v>
      </c>
      <c r="AB352" t="s">
        <v>86</v>
      </c>
      <c r="AC352" t="s">
        <v>41</v>
      </c>
    </row>
    <row r="353" spans="1:29" x14ac:dyDescent="0.35">
      <c r="A353" s="4">
        <v>42529</v>
      </c>
      <c r="B353" t="s">
        <v>30</v>
      </c>
      <c r="C353">
        <v>201</v>
      </c>
      <c r="D353">
        <v>4</v>
      </c>
      <c r="E353">
        <v>1</v>
      </c>
      <c r="F353" t="s">
        <v>42</v>
      </c>
      <c r="G353" t="s">
        <v>32</v>
      </c>
      <c r="H353" t="s">
        <v>33</v>
      </c>
      <c r="I353" t="s">
        <v>43</v>
      </c>
      <c r="J353" t="s">
        <v>44</v>
      </c>
      <c r="K353" t="s">
        <v>112</v>
      </c>
      <c r="L353" t="s">
        <v>37</v>
      </c>
      <c r="M353">
        <v>0</v>
      </c>
      <c r="N353">
        <v>0</v>
      </c>
      <c r="O353" s="5">
        <v>26648</v>
      </c>
      <c r="P353" s="5">
        <v>26647</v>
      </c>
      <c r="Q353">
        <f>35-13.5</f>
        <v>21.5</v>
      </c>
      <c r="R353" t="s">
        <v>38</v>
      </c>
      <c r="S353" t="s">
        <v>39</v>
      </c>
      <c r="T353">
        <v>19</v>
      </c>
      <c r="U353">
        <v>96</v>
      </c>
      <c r="V353">
        <v>15</v>
      </c>
      <c r="W353">
        <v>12.3</v>
      </c>
      <c r="X353">
        <v>28.7</v>
      </c>
      <c r="Z353" t="s">
        <v>39</v>
      </c>
      <c r="AB353" t="s">
        <v>86</v>
      </c>
      <c r="AC353" t="s">
        <v>41</v>
      </c>
    </row>
    <row r="354" spans="1:29" x14ac:dyDescent="0.35">
      <c r="A354" s="4">
        <v>42529</v>
      </c>
      <c r="B354" t="s">
        <v>30</v>
      </c>
      <c r="C354">
        <v>111</v>
      </c>
      <c r="D354">
        <v>9</v>
      </c>
      <c r="E354">
        <v>2</v>
      </c>
      <c r="F354" t="s">
        <v>31</v>
      </c>
      <c r="G354" t="s">
        <v>32</v>
      </c>
      <c r="H354" t="s">
        <v>33</v>
      </c>
      <c r="I354" t="s">
        <v>43</v>
      </c>
      <c r="J354" t="s">
        <v>35</v>
      </c>
      <c r="K354" t="s">
        <v>113</v>
      </c>
      <c r="L354" t="s">
        <v>37</v>
      </c>
      <c r="M354">
        <v>0</v>
      </c>
      <c r="N354">
        <v>1</v>
      </c>
      <c r="O354" s="5">
        <v>50307</v>
      </c>
      <c r="P354" s="5">
        <v>50306</v>
      </c>
      <c r="Q354">
        <f>21-5.5</f>
        <v>15.5</v>
      </c>
      <c r="R354" t="s">
        <v>38</v>
      </c>
      <c r="S354" t="s">
        <v>39</v>
      </c>
      <c r="T354">
        <v>19</v>
      </c>
      <c r="U354">
        <v>87</v>
      </c>
      <c r="V354">
        <v>15</v>
      </c>
      <c r="W354">
        <v>10.5</v>
      </c>
      <c r="X354">
        <v>24</v>
      </c>
      <c r="Z354" t="s">
        <v>39</v>
      </c>
      <c r="AB354" t="s">
        <v>97</v>
      </c>
      <c r="AC354" t="s">
        <v>41</v>
      </c>
    </row>
    <row r="355" spans="1:29" x14ac:dyDescent="0.35">
      <c r="A355" s="4">
        <v>42529</v>
      </c>
      <c r="B355" t="s">
        <v>30</v>
      </c>
      <c r="C355">
        <v>111</v>
      </c>
      <c r="D355">
        <v>7</v>
      </c>
      <c r="E355">
        <v>2</v>
      </c>
      <c r="F355" t="s">
        <v>31</v>
      </c>
      <c r="G355" t="s">
        <v>32</v>
      </c>
      <c r="H355" t="s">
        <v>33</v>
      </c>
      <c r="I355" t="s">
        <v>43</v>
      </c>
      <c r="J355" t="s">
        <v>44</v>
      </c>
      <c r="K355" t="s">
        <v>112</v>
      </c>
      <c r="L355" t="s">
        <v>45</v>
      </c>
      <c r="M355">
        <v>0</v>
      </c>
      <c r="N355">
        <v>0</v>
      </c>
      <c r="O355" s="5">
        <v>50348</v>
      </c>
      <c r="P355" s="5">
        <v>50347</v>
      </c>
      <c r="Q355">
        <f>26-5.5</f>
        <v>20.5</v>
      </c>
      <c r="R355" t="s">
        <v>61</v>
      </c>
      <c r="S355" t="s">
        <v>102</v>
      </c>
      <c r="T355">
        <v>19</v>
      </c>
      <c r="U355">
        <v>88</v>
      </c>
      <c r="V355">
        <v>15</v>
      </c>
      <c r="W355">
        <v>10.5</v>
      </c>
      <c r="X355">
        <v>28.4</v>
      </c>
      <c r="Z355" t="s">
        <v>39</v>
      </c>
      <c r="AB355" t="s">
        <v>86</v>
      </c>
      <c r="AC355" t="s">
        <v>41</v>
      </c>
    </row>
    <row r="356" spans="1:29" x14ac:dyDescent="0.35">
      <c r="A356" s="4">
        <v>42529</v>
      </c>
      <c r="B356" t="s">
        <v>30</v>
      </c>
      <c r="C356">
        <v>202</v>
      </c>
      <c r="D356">
        <v>9</v>
      </c>
      <c r="E356">
        <v>1</v>
      </c>
      <c r="F356" t="s">
        <v>42</v>
      </c>
      <c r="G356" t="s">
        <v>32</v>
      </c>
      <c r="H356" t="s">
        <v>33</v>
      </c>
      <c r="I356" t="s">
        <v>43</v>
      </c>
      <c r="J356" t="s">
        <v>35</v>
      </c>
      <c r="K356" t="s">
        <v>112</v>
      </c>
      <c r="L356" t="s">
        <v>37</v>
      </c>
      <c r="M356">
        <v>0</v>
      </c>
      <c r="N356">
        <v>1</v>
      </c>
      <c r="O356" s="5">
        <v>50354</v>
      </c>
      <c r="P356" s="5">
        <v>50353</v>
      </c>
      <c r="Q356">
        <v>21</v>
      </c>
      <c r="R356" t="s">
        <v>38</v>
      </c>
      <c r="S356" t="s">
        <v>39</v>
      </c>
      <c r="T356">
        <v>18</v>
      </c>
      <c r="U356">
        <v>88</v>
      </c>
      <c r="V356">
        <v>17</v>
      </c>
      <c r="W356">
        <v>12</v>
      </c>
      <c r="X356">
        <v>26.3</v>
      </c>
      <c r="Z356" t="s">
        <v>39</v>
      </c>
      <c r="AB356" t="s">
        <v>114</v>
      </c>
    </row>
    <row r="357" spans="1:29" x14ac:dyDescent="0.35">
      <c r="A357" s="4">
        <v>42529</v>
      </c>
      <c r="B357" t="s">
        <v>30</v>
      </c>
      <c r="C357">
        <v>203</v>
      </c>
      <c r="D357">
        <v>9</v>
      </c>
      <c r="E357">
        <v>2</v>
      </c>
      <c r="F357" t="s">
        <v>42</v>
      </c>
      <c r="G357" t="s">
        <v>32</v>
      </c>
      <c r="H357" t="s">
        <v>33</v>
      </c>
      <c r="I357" t="s">
        <v>43</v>
      </c>
      <c r="J357" t="s">
        <v>35</v>
      </c>
      <c r="K357" t="s">
        <v>112</v>
      </c>
      <c r="L357" t="s">
        <v>37</v>
      </c>
      <c r="M357">
        <v>0</v>
      </c>
      <c r="N357">
        <v>1</v>
      </c>
      <c r="O357" s="5">
        <v>50356</v>
      </c>
      <c r="P357" s="5">
        <v>50355</v>
      </c>
      <c r="Q357">
        <f>34-12</f>
        <v>22</v>
      </c>
      <c r="R357" t="s">
        <v>38</v>
      </c>
      <c r="S357" t="s">
        <v>39</v>
      </c>
      <c r="T357">
        <v>19</v>
      </c>
      <c r="U357">
        <v>88</v>
      </c>
      <c r="V357">
        <v>16</v>
      </c>
      <c r="W357">
        <v>12.7</v>
      </c>
      <c r="X357">
        <v>29.5</v>
      </c>
      <c r="Z357" t="s">
        <v>39</v>
      </c>
      <c r="AB357" t="s">
        <v>86</v>
      </c>
      <c r="AC357" t="s">
        <v>41</v>
      </c>
    </row>
    <row r="358" spans="1:29" x14ac:dyDescent="0.35">
      <c r="A358" s="4">
        <v>42529</v>
      </c>
      <c r="B358" t="s">
        <v>30</v>
      </c>
      <c r="C358">
        <v>203</v>
      </c>
      <c r="D358">
        <v>7</v>
      </c>
      <c r="E358">
        <v>2</v>
      </c>
      <c r="F358" t="s">
        <v>42</v>
      </c>
      <c r="G358" t="s">
        <v>32</v>
      </c>
      <c r="H358" t="s">
        <v>33</v>
      </c>
      <c r="I358" t="s">
        <v>43</v>
      </c>
      <c r="J358" t="s">
        <v>44</v>
      </c>
      <c r="K358" t="s">
        <v>112</v>
      </c>
      <c r="L358" t="s">
        <v>37</v>
      </c>
      <c r="M358">
        <v>0</v>
      </c>
      <c r="N358">
        <v>0</v>
      </c>
      <c r="O358" s="5">
        <v>50490</v>
      </c>
      <c r="P358" s="5" t="s">
        <v>111</v>
      </c>
      <c r="Q358">
        <f>37-16.5</f>
        <v>20.5</v>
      </c>
      <c r="R358" t="s">
        <v>64</v>
      </c>
      <c r="S358" t="s">
        <v>39</v>
      </c>
      <c r="T358">
        <v>18</v>
      </c>
      <c r="U358">
        <v>83</v>
      </c>
      <c r="V358">
        <v>16.5</v>
      </c>
      <c r="W358">
        <v>12.85</v>
      </c>
      <c r="X358">
        <v>28.5</v>
      </c>
      <c r="Z358" t="s">
        <v>39</v>
      </c>
      <c r="AB358" t="s">
        <v>86</v>
      </c>
      <c r="AC358" t="s">
        <v>41</v>
      </c>
    </row>
    <row r="359" spans="1:29" x14ac:dyDescent="0.35">
      <c r="A359" s="4">
        <v>42529</v>
      </c>
      <c r="B359" t="s">
        <v>30</v>
      </c>
      <c r="C359">
        <v>203</v>
      </c>
      <c r="D359">
        <v>5</v>
      </c>
      <c r="E359">
        <v>1</v>
      </c>
      <c r="F359" t="s">
        <v>42</v>
      </c>
      <c r="G359" t="s">
        <v>32</v>
      </c>
      <c r="H359" t="s">
        <v>33</v>
      </c>
      <c r="I359" t="s">
        <v>43</v>
      </c>
      <c r="J359" t="s">
        <v>35</v>
      </c>
      <c r="K359" t="s">
        <v>112</v>
      </c>
      <c r="L359" t="s">
        <v>37</v>
      </c>
      <c r="M359">
        <v>0</v>
      </c>
      <c r="N359">
        <v>1</v>
      </c>
      <c r="O359" s="5">
        <v>50491</v>
      </c>
      <c r="P359" s="5">
        <v>50357</v>
      </c>
      <c r="Q359">
        <f>35-13</f>
        <v>22</v>
      </c>
      <c r="R359" t="s">
        <v>38</v>
      </c>
      <c r="S359" t="s">
        <v>39</v>
      </c>
      <c r="T359">
        <v>20</v>
      </c>
      <c r="U359">
        <v>98</v>
      </c>
      <c r="V359">
        <v>16</v>
      </c>
      <c r="W359">
        <v>13</v>
      </c>
      <c r="X359">
        <v>29.6</v>
      </c>
      <c r="Y359" t="s">
        <v>115</v>
      </c>
      <c r="Z359" t="s">
        <v>39</v>
      </c>
      <c r="AB359" t="s">
        <v>97</v>
      </c>
      <c r="AC359" t="s">
        <v>41</v>
      </c>
    </row>
    <row r="360" spans="1:29" x14ac:dyDescent="0.35">
      <c r="A360" s="4">
        <v>42529</v>
      </c>
      <c r="B360" t="s">
        <v>30</v>
      </c>
      <c r="C360">
        <v>203</v>
      </c>
      <c r="D360">
        <v>9</v>
      </c>
      <c r="E360">
        <v>1</v>
      </c>
      <c r="F360" t="s">
        <v>42</v>
      </c>
      <c r="G360" t="s">
        <v>32</v>
      </c>
      <c r="H360" t="s">
        <v>33</v>
      </c>
      <c r="I360" t="s">
        <v>43</v>
      </c>
      <c r="J360" t="s">
        <v>44</v>
      </c>
      <c r="K360" t="s">
        <v>112</v>
      </c>
      <c r="L360" t="s">
        <v>37</v>
      </c>
      <c r="M360">
        <v>0</v>
      </c>
      <c r="N360">
        <v>0</v>
      </c>
      <c r="O360" s="5" t="s">
        <v>51</v>
      </c>
      <c r="P360" s="5" t="s">
        <v>52</v>
      </c>
      <c r="Q360">
        <f>34-12</f>
        <v>22</v>
      </c>
      <c r="R360" t="s">
        <v>38</v>
      </c>
      <c r="S360" t="s">
        <v>39</v>
      </c>
      <c r="T360">
        <v>18</v>
      </c>
      <c r="U360">
        <v>86</v>
      </c>
      <c r="V360">
        <v>15.5</v>
      </c>
      <c r="W360">
        <v>12.8</v>
      </c>
      <c r="X360">
        <v>30.5</v>
      </c>
      <c r="Z360" t="s">
        <v>39</v>
      </c>
      <c r="AB360" t="s">
        <v>86</v>
      </c>
      <c r="AC360" t="s">
        <v>41</v>
      </c>
    </row>
    <row r="361" spans="1:29" x14ac:dyDescent="0.35">
      <c r="A361" s="4">
        <v>42529</v>
      </c>
      <c r="B361" t="s">
        <v>30</v>
      </c>
      <c r="C361">
        <v>304</v>
      </c>
      <c r="D361">
        <v>5</v>
      </c>
      <c r="E361">
        <v>1</v>
      </c>
      <c r="F361" t="s">
        <v>31</v>
      </c>
      <c r="G361" t="s">
        <v>32</v>
      </c>
      <c r="H361" t="s">
        <v>33</v>
      </c>
      <c r="I361" t="s">
        <v>55</v>
      </c>
      <c r="J361" t="s">
        <v>66</v>
      </c>
      <c r="O361" s="5"/>
      <c r="P361" s="5"/>
      <c r="Z361" t="s">
        <v>39</v>
      </c>
    </row>
    <row r="362" spans="1:29" x14ac:dyDescent="0.35">
      <c r="A362" s="4">
        <v>42529</v>
      </c>
      <c r="B362" t="s">
        <v>30</v>
      </c>
      <c r="C362">
        <v>111</v>
      </c>
      <c r="D362">
        <v>1</v>
      </c>
      <c r="E362">
        <v>1</v>
      </c>
      <c r="F362" t="s">
        <v>31</v>
      </c>
      <c r="G362" t="s">
        <v>32</v>
      </c>
      <c r="H362" t="s">
        <v>33</v>
      </c>
      <c r="I362" t="s">
        <v>84</v>
      </c>
      <c r="O362" s="5"/>
      <c r="P362" s="5"/>
      <c r="Z362" t="s">
        <v>39</v>
      </c>
    </row>
    <row r="363" spans="1:29" x14ac:dyDescent="0.35">
      <c r="A363" s="4">
        <v>42529</v>
      </c>
      <c r="B363" t="s">
        <v>30</v>
      </c>
      <c r="C363">
        <v>111</v>
      </c>
      <c r="D363">
        <v>1</v>
      </c>
      <c r="E363">
        <v>2</v>
      </c>
      <c r="F363" t="s">
        <v>31</v>
      </c>
      <c r="G363" t="s">
        <v>32</v>
      </c>
      <c r="H363" t="s">
        <v>33</v>
      </c>
      <c r="I363" t="s">
        <v>84</v>
      </c>
      <c r="O363" s="5"/>
      <c r="P363" s="5"/>
      <c r="Z363" t="s">
        <v>39</v>
      </c>
    </row>
    <row r="364" spans="1:29" x14ac:dyDescent="0.35">
      <c r="A364" s="4">
        <v>42529</v>
      </c>
      <c r="B364" t="s">
        <v>30</v>
      </c>
      <c r="C364">
        <v>111</v>
      </c>
      <c r="D364">
        <v>2</v>
      </c>
      <c r="E364">
        <v>1</v>
      </c>
      <c r="F364" t="s">
        <v>31</v>
      </c>
      <c r="G364" t="s">
        <v>32</v>
      </c>
      <c r="H364" t="s">
        <v>33</v>
      </c>
      <c r="I364" t="s">
        <v>84</v>
      </c>
      <c r="O364" s="5"/>
      <c r="P364" s="5"/>
      <c r="Z364" t="s">
        <v>39</v>
      </c>
    </row>
    <row r="365" spans="1:29" x14ac:dyDescent="0.35">
      <c r="A365" s="4">
        <v>42529</v>
      </c>
      <c r="B365" t="s">
        <v>30</v>
      </c>
      <c r="C365">
        <v>111</v>
      </c>
      <c r="D365">
        <v>2</v>
      </c>
      <c r="E365">
        <v>2</v>
      </c>
      <c r="F365" t="s">
        <v>31</v>
      </c>
      <c r="G365" t="s">
        <v>32</v>
      </c>
      <c r="H365" t="s">
        <v>33</v>
      </c>
      <c r="I365" t="s">
        <v>84</v>
      </c>
      <c r="O365" s="5"/>
      <c r="P365" s="5"/>
      <c r="Z365" t="s">
        <v>39</v>
      </c>
    </row>
    <row r="366" spans="1:29" x14ac:dyDescent="0.35">
      <c r="A366" s="4">
        <v>42529</v>
      </c>
      <c r="B366" t="s">
        <v>30</v>
      </c>
      <c r="C366">
        <v>111</v>
      </c>
      <c r="D366">
        <v>3</v>
      </c>
      <c r="E366">
        <v>1</v>
      </c>
      <c r="F366" t="s">
        <v>31</v>
      </c>
      <c r="G366" t="s">
        <v>32</v>
      </c>
      <c r="H366" t="s">
        <v>33</v>
      </c>
      <c r="I366" t="s">
        <v>84</v>
      </c>
      <c r="O366" s="5"/>
      <c r="P366" s="5"/>
      <c r="Z366" t="s">
        <v>39</v>
      </c>
    </row>
    <row r="367" spans="1:29" x14ac:dyDescent="0.35">
      <c r="A367" s="4">
        <v>42529</v>
      </c>
      <c r="B367" t="s">
        <v>30</v>
      </c>
      <c r="C367">
        <v>111</v>
      </c>
      <c r="D367">
        <v>3</v>
      </c>
      <c r="E367">
        <v>2</v>
      </c>
      <c r="F367" t="s">
        <v>31</v>
      </c>
      <c r="G367" t="s">
        <v>32</v>
      </c>
      <c r="H367" t="s">
        <v>33</v>
      </c>
      <c r="I367" t="s">
        <v>84</v>
      </c>
      <c r="O367" s="5"/>
      <c r="P367" s="5"/>
      <c r="Z367" t="s">
        <v>39</v>
      </c>
    </row>
    <row r="368" spans="1:29" x14ac:dyDescent="0.35">
      <c r="A368" s="4">
        <v>42529</v>
      </c>
      <c r="B368" t="s">
        <v>30</v>
      </c>
      <c r="C368">
        <v>111</v>
      </c>
      <c r="D368">
        <v>4</v>
      </c>
      <c r="E368">
        <v>1</v>
      </c>
      <c r="F368" t="s">
        <v>31</v>
      </c>
      <c r="G368" t="s">
        <v>32</v>
      </c>
      <c r="H368" t="s">
        <v>33</v>
      </c>
      <c r="I368" t="s">
        <v>84</v>
      </c>
      <c r="O368" s="5"/>
      <c r="P368" s="5"/>
      <c r="Z368" t="s">
        <v>39</v>
      </c>
    </row>
    <row r="369" spans="1:26" x14ac:dyDescent="0.35">
      <c r="A369" s="4">
        <v>42529</v>
      </c>
      <c r="B369" t="s">
        <v>30</v>
      </c>
      <c r="C369">
        <v>111</v>
      </c>
      <c r="D369">
        <v>4</v>
      </c>
      <c r="E369">
        <v>2</v>
      </c>
      <c r="F369" t="s">
        <v>31</v>
      </c>
      <c r="G369" t="s">
        <v>32</v>
      </c>
      <c r="H369" t="s">
        <v>33</v>
      </c>
      <c r="I369" t="s">
        <v>84</v>
      </c>
      <c r="O369" s="5"/>
      <c r="P369" s="5"/>
      <c r="Z369" t="s">
        <v>39</v>
      </c>
    </row>
    <row r="370" spans="1:26" x14ac:dyDescent="0.35">
      <c r="A370" s="4">
        <v>42529</v>
      </c>
      <c r="B370" t="s">
        <v>30</v>
      </c>
      <c r="C370">
        <v>111</v>
      </c>
      <c r="D370">
        <v>5</v>
      </c>
      <c r="E370">
        <v>1</v>
      </c>
      <c r="F370" t="s">
        <v>31</v>
      </c>
      <c r="G370" t="s">
        <v>32</v>
      </c>
      <c r="H370" t="s">
        <v>33</v>
      </c>
      <c r="I370" t="s">
        <v>84</v>
      </c>
      <c r="O370" s="5"/>
      <c r="P370" s="5"/>
      <c r="Z370" t="s">
        <v>39</v>
      </c>
    </row>
    <row r="371" spans="1:26" x14ac:dyDescent="0.35">
      <c r="A371" s="4">
        <v>42529</v>
      </c>
      <c r="B371" t="s">
        <v>30</v>
      </c>
      <c r="C371">
        <v>111</v>
      </c>
      <c r="D371">
        <v>5</v>
      </c>
      <c r="E371">
        <v>2</v>
      </c>
      <c r="F371" t="s">
        <v>31</v>
      </c>
      <c r="G371" t="s">
        <v>32</v>
      </c>
      <c r="H371" t="s">
        <v>33</v>
      </c>
      <c r="I371" t="s">
        <v>84</v>
      </c>
      <c r="O371" s="5"/>
      <c r="P371" s="5"/>
      <c r="Z371" t="s">
        <v>39</v>
      </c>
    </row>
    <row r="372" spans="1:26" x14ac:dyDescent="0.35">
      <c r="A372" s="4">
        <v>42529</v>
      </c>
      <c r="B372" t="s">
        <v>30</v>
      </c>
      <c r="C372">
        <v>111</v>
      </c>
      <c r="D372">
        <v>6</v>
      </c>
      <c r="E372">
        <v>1</v>
      </c>
      <c r="F372" t="s">
        <v>31</v>
      </c>
      <c r="G372" t="s">
        <v>32</v>
      </c>
      <c r="H372" t="s">
        <v>33</v>
      </c>
      <c r="I372" t="s">
        <v>84</v>
      </c>
      <c r="O372" s="5"/>
      <c r="P372" s="5"/>
      <c r="Z372" t="s">
        <v>39</v>
      </c>
    </row>
    <row r="373" spans="1:26" x14ac:dyDescent="0.35">
      <c r="A373" s="4">
        <v>42529</v>
      </c>
      <c r="B373" t="s">
        <v>30</v>
      </c>
      <c r="C373">
        <v>111</v>
      </c>
      <c r="D373">
        <v>6</v>
      </c>
      <c r="E373">
        <v>2</v>
      </c>
      <c r="F373" t="s">
        <v>31</v>
      </c>
      <c r="G373" t="s">
        <v>32</v>
      </c>
      <c r="H373" t="s">
        <v>33</v>
      </c>
      <c r="I373" t="s">
        <v>84</v>
      </c>
      <c r="O373" s="5"/>
      <c r="P373" s="5"/>
      <c r="Z373" t="s">
        <v>39</v>
      </c>
    </row>
    <row r="374" spans="1:26" x14ac:dyDescent="0.35">
      <c r="A374" s="4">
        <v>42529</v>
      </c>
      <c r="B374" t="s">
        <v>30</v>
      </c>
      <c r="C374">
        <v>111</v>
      </c>
      <c r="D374">
        <v>7</v>
      </c>
      <c r="E374">
        <v>1</v>
      </c>
      <c r="F374" t="s">
        <v>31</v>
      </c>
      <c r="G374" t="s">
        <v>32</v>
      </c>
      <c r="H374" t="s">
        <v>33</v>
      </c>
      <c r="I374" t="s">
        <v>84</v>
      </c>
      <c r="O374" s="5"/>
      <c r="P374" s="5"/>
      <c r="Z374" t="s">
        <v>39</v>
      </c>
    </row>
    <row r="375" spans="1:26" x14ac:dyDescent="0.35">
      <c r="A375" s="4">
        <v>42529</v>
      </c>
      <c r="B375" t="s">
        <v>30</v>
      </c>
      <c r="C375">
        <v>111</v>
      </c>
      <c r="D375">
        <v>9</v>
      </c>
      <c r="E375">
        <v>1</v>
      </c>
      <c r="F375" t="s">
        <v>31</v>
      </c>
      <c r="G375" t="s">
        <v>32</v>
      </c>
      <c r="H375" t="s">
        <v>33</v>
      </c>
      <c r="I375" t="s">
        <v>84</v>
      </c>
      <c r="O375" s="5"/>
      <c r="P375" s="5"/>
      <c r="Z375" t="s">
        <v>39</v>
      </c>
    </row>
    <row r="376" spans="1:26" x14ac:dyDescent="0.35">
      <c r="A376" s="4">
        <v>42529</v>
      </c>
      <c r="B376" t="s">
        <v>30</v>
      </c>
      <c r="C376">
        <v>111</v>
      </c>
      <c r="D376">
        <v>10</v>
      </c>
      <c r="E376">
        <v>1</v>
      </c>
      <c r="F376" t="s">
        <v>31</v>
      </c>
      <c r="G376" t="s">
        <v>32</v>
      </c>
      <c r="H376" t="s">
        <v>33</v>
      </c>
      <c r="I376" t="s">
        <v>84</v>
      </c>
      <c r="O376" s="5"/>
      <c r="P376" s="5"/>
      <c r="Z376" t="s">
        <v>39</v>
      </c>
    </row>
    <row r="377" spans="1:26" x14ac:dyDescent="0.35">
      <c r="A377" s="4">
        <v>42529</v>
      </c>
      <c r="B377" t="s">
        <v>30</v>
      </c>
      <c r="C377">
        <v>112</v>
      </c>
      <c r="D377">
        <v>1</v>
      </c>
      <c r="E377">
        <v>1</v>
      </c>
      <c r="F377" t="s">
        <v>31</v>
      </c>
      <c r="G377" t="s">
        <v>32</v>
      </c>
      <c r="H377" t="s">
        <v>33</v>
      </c>
      <c r="I377" t="s">
        <v>84</v>
      </c>
      <c r="O377" s="5"/>
      <c r="P377" s="5"/>
      <c r="Z377" t="s">
        <v>39</v>
      </c>
    </row>
    <row r="378" spans="1:26" x14ac:dyDescent="0.35">
      <c r="A378" s="4">
        <v>42529</v>
      </c>
      <c r="B378" t="s">
        <v>30</v>
      </c>
      <c r="C378">
        <v>112</v>
      </c>
      <c r="D378">
        <v>1</v>
      </c>
      <c r="E378">
        <v>2</v>
      </c>
      <c r="F378" t="s">
        <v>31</v>
      </c>
      <c r="G378" t="s">
        <v>32</v>
      </c>
      <c r="H378" t="s">
        <v>33</v>
      </c>
      <c r="I378" t="s">
        <v>84</v>
      </c>
      <c r="O378" s="5"/>
      <c r="P378" s="5"/>
      <c r="Z378" t="s">
        <v>39</v>
      </c>
    </row>
    <row r="379" spans="1:26" x14ac:dyDescent="0.35">
      <c r="A379" s="4">
        <v>42529</v>
      </c>
      <c r="B379" t="s">
        <v>30</v>
      </c>
      <c r="C379">
        <v>112</v>
      </c>
      <c r="D379">
        <v>2</v>
      </c>
      <c r="E379">
        <v>2</v>
      </c>
      <c r="F379" t="s">
        <v>31</v>
      </c>
      <c r="G379" t="s">
        <v>32</v>
      </c>
      <c r="H379" t="s">
        <v>33</v>
      </c>
      <c r="I379" t="s">
        <v>84</v>
      </c>
      <c r="O379" s="5"/>
      <c r="P379" s="5"/>
      <c r="Z379" t="s">
        <v>39</v>
      </c>
    </row>
    <row r="380" spans="1:26" x14ac:dyDescent="0.35">
      <c r="A380" s="4">
        <v>42529</v>
      </c>
      <c r="B380" t="s">
        <v>30</v>
      </c>
      <c r="C380">
        <v>112</v>
      </c>
      <c r="D380">
        <v>5</v>
      </c>
      <c r="E380">
        <v>1</v>
      </c>
      <c r="F380" t="s">
        <v>31</v>
      </c>
      <c r="G380" t="s">
        <v>32</v>
      </c>
      <c r="H380" t="s">
        <v>33</v>
      </c>
      <c r="I380" t="s">
        <v>84</v>
      </c>
      <c r="O380" s="5"/>
      <c r="P380" s="5"/>
      <c r="Z380" t="s">
        <v>39</v>
      </c>
    </row>
    <row r="381" spans="1:26" x14ac:dyDescent="0.35">
      <c r="A381" s="4">
        <v>42529</v>
      </c>
      <c r="B381" t="s">
        <v>30</v>
      </c>
      <c r="C381">
        <v>112</v>
      </c>
      <c r="D381">
        <v>5</v>
      </c>
      <c r="E381">
        <v>2</v>
      </c>
      <c r="F381" t="s">
        <v>31</v>
      </c>
      <c r="G381" t="s">
        <v>32</v>
      </c>
      <c r="H381" t="s">
        <v>33</v>
      </c>
      <c r="I381" t="s">
        <v>84</v>
      </c>
      <c r="O381" s="5"/>
      <c r="P381" s="5"/>
      <c r="Z381" t="s">
        <v>39</v>
      </c>
    </row>
    <row r="382" spans="1:26" x14ac:dyDescent="0.35">
      <c r="A382" s="4">
        <v>42529</v>
      </c>
      <c r="B382" t="s">
        <v>30</v>
      </c>
      <c r="C382">
        <v>112</v>
      </c>
      <c r="D382">
        <v>6</v>
      </c>
      <c r="E382">
        <v>1</v>
      </c>
      <c r="F382" t="s">
        <v>31</v>
      </c>
      <c r="G382" t="s">
        <v>32</v>
      </c>
      <c r="H382" t="s">
        <v>33</v>
      </c>
      <c r="I382" t="s">
        <v>84</v>
      </c>
      <c r="O382" s="5"/>
      <c r="P382" s="5"/>
      <c r="Z382" t="s">
        <v>39</v>
      </c>
    </row>
    <row r="383" spans="1:26" x14ac:dyDescent="0.35">
      <c r="A383" s="4">
        <v>42529</v>
      </c>
      <c r="B383" t="s">
        <v>30</v>
      </c>
      <c r="C383">
        <v>112</v>
      </c>
      <c r="D383">
        <v>6</v>
      </c>
      <c r="E383">
        <v>2</v>
      </c>
      <c r="F383" t="s">
        <v>31</v>
      </c>
      <c r="G383" t="s">
        <v>32</v>
      </c>
      <c r="H383" t="s">
        <v>33</v>
      </c>
      <c r="I383" t="s">
        <v>84</v>
      </c>
      <c r="O383" s="5"/>
      <c r="P383" s="5"/>
      <c r="Z383" t="s">
        <v>39</v>
      </c>
    </row>
    <row r="384" spans="1:26" x14ac:dyDescent="0.35">
      <c r="A384" s="4">
        <v>42529</v>
      </c>
      <c r="B384" t="s">
        <v>30</v>
      </c>
      <c r="C384">
        <v>112</v>
      </c>
      <c r="D384">
        <v>7</v>
      </c>
      <c r="E384">
        <v>1</v>
      </c>
      <c r="F384" t="s">
        <v>31</v>
      </c>
      <c r="G384" t="s">
        <v>32</v>
      </c>
      <c r="H384" t="s">
        <v>33</v>
      </c>
      <c r="I384" t="s">
        <v>84</v>
      </c>
      <c r="O384" s="5"/>
      <c r="P384" s="5"/>
      <c r="Z384" t="s">
        <v>39</v>
      </c>
    </row>
    <row r="385" spans="1:26" x14ac:dyDescent="0.35">
      <c r="A385" s="4">
        <v>42529</v>
      </c>
      <c r="B385" t="s">
        <v>30</v>
      </c>
      <c r="C385">
        <v>112</v>
      </c>
      <c r="D385">
        <v>7</v>
      </c>
      <c r="E385">
        <v>2</v>
      </c>
      <c r="F385" t="s">
        <v>31</v>
      </c>
      <c r="G385" t="s">
        <v>32</v>
      </c>
      <c r="H385" t="s">
        <v>33</v>
      </c>
      <c r="I385" t="s">
        <v>84</v>
      </c>
      <c r="O385" s="5"/>
      <c r="P385" s="5"/>
      <c r="Z385" t="s">
        <v>39</v>
      </c>
    </row>
    <row r="386" spans="1:26" x14ac:dyDescent="0.35">
      <c r="A386" s="4">
        <v>42529</v>
      </c>
      <c r="B386" t="s">
        <v>30</v>
      </c>
      <c r="C386">
        <v>112</v>
      </c>
      <c r="D386">
        <v>8</v>
      </c>
      <c r="E386">
        <v>1</v>
      </c>
      <c r="F386" t="s">
        <v>31</v>
      </c>
      <c r="G386" t="s">
        <v>32</v>
      </c>
      <c r="H386" t="s">
        <v>33</v>
      </c>
      <c r="I386" t="s">
        <v>84</v>
      </c>
      <c r="O386" s="5"/>
      <c r="P386" s="5"/>
      <c r="Z386" t="s">
        <v>39</v>
      </c>
    </row>
    <row r="387" spans="1:26" x14ac:dyDescent="0.35">
      <c r="A387" s="4">
        <v>42529</v>
      </c>
      <c r="B387" t="s">
        <v>30</v>
      </c>
      <c r="C387">
        <v>112</v>
      </c>
      <c r="D387">
        <v>8</v>
      </c>
      <c r="E387">
        <v>2</v>
      </c>
      <c r="F387" t="s">
        <v>31</v>
      </c>
      <c r="G387" t="s">
        <v>32</v>
      </c>
      <c r="H387" t="s">
        <v>33</v>
      </c>
      <c r="I387" t="s">
        <v>84</v>
      </c>
      <c r="O387" s="5"/>
      <c r="P387" s="5"/>
      <c r="Z387" t="s">
        <v>39</v>
      </c>
    </row>
    <row r="388" spans="1:26" x14ac:dyDescent="0.35">
      <c r="A388" s="4">
        <v>42529</v>
      </c>
      <c r="B388" t="s">
        <v>30</v>
      </c>
      <c r="C388">
        <v>112</v>
      </c>
      <c r="D388">
        <v>9</v>
      </c>
      <c r="E388">
        <v>1</v>
      </c>
      <c r="F388" t="s">
        <v>31</v>
      </c>
      <c r="G388" t="s">
        <v>32</v>
      </c>
      <c r="H388" t="s">
        <v>33</v>
      </c>
      <c r="I388" t="s">
        <v>84</v>
      </c>
      <c r="O388" s="5"/>
      <c r="P388" s="5"/>
      <c r="Z388" t="s">
        <v>39</v>
      </c>
    </row>
    <row r="389" spans="1:26" x14ac:dyDescent="0.35">
      <c r="A389" s="4">
        <v>42529</v>
      </c>
      <c r="B389" t="s">
        <v>30</v>
      </c>
      <c r="C389">
        <v>112</v>
      </c>
      <c r="D389">
        <v>9</v>
      </c>
      <c r="E389">
        <v>2</v>
      </c>
      <c r="F389" t="s">
        <v>31</v>
      </c>
      <c r="G389" t="s">
        <v>32</v>
      </c>
      <c r="H389" t="s">
        <v>33</v>
      </c>
      <c r="I389" t="s">
        <v>84</v>
      </c>
      <c r="O389" s="5"/>
      <c r="P389" s="5"/>
      <c r="Z389" t="s">
        <v>39</v>
      </c>
    </row>
    <row r="390" spans="1:26" x14ac:dyDescent="0.35">
      <c r="A390" s="4">
        <v>42529</v>
      </c>
      <c r="B390" t="s">
        <v>30</v>
      </c>
      <c r="C390">
        <v>112</v>
      </c>
      <c r="D390">
        <v>10</v>
      </c>
      <c r="E390">
        <v>1</v>
      </c>
      <c r="F390" t="s">
        <v>31</v>
      </c>
      <c r="G390" t="s">
        <v>32</v>
      </c>
      <c r="H390" t="s">
        <v>33</v>
      </c>
      <c r="I390" t="s">
        <v>84</v>
      </c>
      <c r="O390" s="5"/>
      <c r="P390" s="5"/>
      <c r="Z390" t="s">
        <v>39</v>
      </c>
    </row>
    <row r="391" spans="1:26" x14ac:dyDescent="0.35">
      <c r="A391" s="4">
        <v>42529</v>
      </c>
      <c r="B391" t="s">
        <v>30</v>
      </c>
      <c r="C391">
        <v>112</v>
      </c>
      <c r="D391">
        <v>10</v>
      </c>
      <c r="E391">
        <v>2</v>
      </c>
      <c r="F391" t="s">
        <v>31</v>
      </c>
      <c r="G391" t="s">
        <v>32</v>
      </c>
      <c r="H391" t="s">
        <v>33</v>
      </c>
      <c r="I391" t="s">
        <v>84</v>
      </c>
      <c r="O391" s="5"/>
      <c r="P391" s="5"/>
      <c r="Z391" t="s">
        <v>39</v>
      </c>
    </row>
    <row r="392" spans="1:26" x14ac:dyDescent="0.35">
      <c r="A392" s="4">
        <v>42529</v>
      </c>
      <c r="B392" t="s">
        <v>30</v>
      </c>
      <c r="C392">
        <v>402</v>
      </c>
      <c r="D392">
        <v>4</v>
      </c>
      <c r="E392">
        <v>2</v>
      </c>
      <c r="F392" t="s">
        <v>31</v>
      </c>
      <c r="G392" t="s">
        <v>32</v>
      </c>
      <c r="H392" t="s">
        <v>33</v>
      </c>
      <c r="I392" t="s">
        <v>84</v>
      </c>
      <c r="O392" s="5"/>
      <c r="P392" s="5"/>
      <c r="Z392" t="s">
        <v>39</v>
      </c>
    </row>
    <row r="393" spans="1:26" x14ac:dyDescent="0.35">
      <c r="A393" s="4">
        <v>42529</v>
      </c>
      <c r="B393" t="s">
        <v>30</v>
      </c>
      <c r="C393">
        <v>402</v>
      </c>
      <c r="D393">
        <v>5</v>
      </c>
      <c r="E393">
        <v>1</v>
      </c>
      <c r="F393" t="s">
        <v>31</v>
      </c>
      <c r="G393" t="s">
        <v>32</v>
      </c>
      <c r="H393" t="s">
        <v>33</v>
      </c>
      <c r="I393" t="s">
        <v>84</v>
      </c>
      <c r="O393" s="5"/>
      <c r="P393" s="5"/>
      <c r="Z393" t="s">
        <v>39</v>
      </c>
    </row>
    <row r="394" spans="1:26" x14ac:dyDescent="0.35">
      <c r="A394" s="4">
        <v>42529</v>
      </c>
      <c r="B394" t="s">
        <v>30</v>
      </c>
      <c r="C394">
        <v>402</v>
      </c>
      <c r="D394">
        <v>5</v>
      </c>
      <c r="E394">
        <v>2</v>
      </c>
      <c r="F394" t="s">
        <v>31</v>
      </c>
      <c r="G394" t="s">
        <v>32</v>
      </c>
      <c r="H394" t="s">
        <v>33</v>
      </c>
      <c r="I394" t="s">
        <v>84</v>
      </c>
      <c r="O394" s="5"/>
      <c r="P394" s="5"/>
      <c r="Z394" t="s">
        <v>39</v>
      </c>
    </row>
    <row r="395" spans="1:26" x14ac:dyDescent="0.35">
      <c r="A395" s="4">
        <v>42529</v>
      </c>
      <c r="B395" t="s">
        <v>30</v>
      </c>
      <c r="C395">
        <v>402</v>
      </c>
      <c r="D395">
        <v>6</v>
      </c>
      <c r="E395">
        <v>1</v>
      </c>
      <c r="F395" t="s">
        <v>31</v>
      </c>
      <c r="G395" t="s">
        <v>32</v>
      </c>
      <c r="H395" t="s">
        <v>33</v>
      </c>
      <c r="I395" t="s">
        <v>84</v>
      </c>
      <c r="O395" s="5"/>
      <c r="P395" s="5"/>
      <c r="Z395" t="s">
        <v>39</v>
      </c>
    </row>
    <row r="396" spans="1:26" x14ac:dyDescent="0.35">
      <c r="A396" s="4">
        <v>42529</v>
      </c>
      <c r="B396" t="s">
        <v>30</v>
      </c>
      <c r="C396">
        <v>402</v>
      </c>
      <c r="D396">
        <v>6</v>
      </c>
      <c r="E396">
        <v>2</v>
      </c>
      <c r="F396" t="s">
        <v>31</v>
      </c>
      <c r="G396" t="s">
        <v>32</v>
      </c>
      <c r="H396" t="s">
        <v>33</v>
      </c>
      <c r="I396" t="s">
        <v>84</v>
      </c>
      <c r="O396" s="5"/>
      <c r="P396" s="5"/>
      <c r="Z396" t="s">
        <v>39</v>
      </c>
    </row>
    <row r="397" spans="1:26" x14ac:dyDescent="0.35">
      <c r="A397" s="4">
        <v>42529</v>
      </c>
      <c r="B397" t="s">
        <v>30</v>
      </c>
      <c r="C397">
        <v>402</v>
      </c>
      <c r="D397">
        <v>8</v>
      </c>
      <c r="E397">
        <v>1</v>
      </c>
      <c r="F397" t="s">
        <v>31</v>
      </c>
      <c r="G397" t="s">
        <v>32</v>
      </c>
      <c r="H397" t="s">
        <v>33</v>
      </c>
      <c r="I397" t="s">
        <v>85</v>
      </c>
      <c r="O397" s="5"/>
      <c r="P397" s="5"/>
      <c r="Z397" t="s">
        <v>39</v>
      </c>
    </row>
    <row r="398" spans="1:26" x14ac:dyDescent="0.35">
      <c r="A398" s="4">
        <v>42529</v>
      </c>
      <c r="B398" t="s">
        <v>30</v>
      </c>
      <c r="C398">
        <v>402</v>
      </c>
      <c r="D398">
        <v>8</v>
      </c>
      <c r="E398">
        <v>2</v>
      </c>
      <c r="F398" t="s">
        <v>31</v>
      </c>
      <c r="G398" t="s">
        <v>32</v>
      </c>
      <c r="H398" t="s">
        <v>33</v>
      </c>
      <c r="I398" t="s">
        <v>85</v>
      </c>
      <c r="O398" s="5"/>
      <c r="P398" s="5"/>
      <c r="Z398" t="s">
        <v>39</v>
      </c>
    </row>
    <row r="399" spans="1:26" x14ac:dyDescent="0.35">
      <c r="A399" s="4">
        <v>42529</v>
      </c>
      <c r="B399" t="s">
        <v>30</v>
      </c>
      <c r="C399">
        <v>402</v>
      </c>
      <c r="D399">
        <v>9</v>
      </c>
      <c r="E399">
        <v>1</v>
      </c>
      <c r="F399" t="s">
        <v>31</v>
      </c>
      <c r="G399" t="s">
        <v>32</v>
      </c>
      <c r="H399" t="s">
        <v>33</v>
      </c>
      <c r="I399" t="s">
        <v>85</v>
      </c>
      <c r="O399" s="5"/>
      <c r="P399" s="5"/>
      <c r="Z399" t="s">
        <v>39</v>
      </c>
    </row>
    <row r="400" spans="1:26" x14ac:dyDescent="0.35">
      <c r="A400" s="4">
        <v>42529</v>
      </c>
      <c r="B400" t="s">
        <v>30</v>
      </c>
      <c r="C400">
        <v>402</v>
      </c>
      <c r="D400">
        <v>9</v>
      </c>
      <c r="E400">
        <v>2</v>
      </c>
      <c r="F400" t="s">
        <v>31</v>
      </c>
      <c r="G400" t="s">
        <v>32</v>
      </c>
      <c r="H400" t="s">
        <v>33</v>
      </c>
      <c r="I400" t="s">
        <v>85</v>
      </c>
      <c r="O400" s="5"/>
      <c r="P400" s="5"/>
      <c r="Z400" t="s">
        <v>39</v>
      </c>
    </row>
    <row r="401" spans="1:30" x14ac:dyDescent="0.35">
      <c r="A401" s="4">
        <v>42529</v>
      </c>
      <c r="B401" t="s">
        <v>30</v>
      </c>
      <c r="C401">
        <v>402</v>
      </c>
      <c r="D401">
        <v>10</v>
      </c>
      <c r="E401">
        <v>1</v>
      </c>
      <c r="F401" t="s">
        <v>31</v>
      </c>
      <c r="G401" t="s">
        <v>32</v>
      </c>
      <c r="H401" t="s">
        <v>33</v>
      </c>
      <c r="I401" t="s">
        <v>85</v>
      </c>
      <c r="O401" s="5"/>
      <c r="P401" s="5"/>
      <c r="Z401" t="s">
        <v>39</v>
      </c>
    </row>
    <row r="402" spans="1:30" x14ac:dyDescent="0.35">
      <c r="A402" s="4">
        <v>42529</v>
      </c>
      <c r="B402" t="s">
        <v>30</v>
      </c>
      <c r="C402">
        <v>402</v>
      </c>
      <c r="D402">
        <v>10</v>
      </c>
      <c r="E402">
        <v>2</v>
      </c>
      <c r="F402" t="s">
        <v>31</v>
      </c>
      <c r="G402" t="s">
        <v>32</v>
      </c>
      <c r="H402" t="s">
        <v>33</v>
      </c>
      <c r="I402" t="s">
        <v>85</v>
      </c>
      <c r="O402" s="5"/>
      <c r="P402" s="5"/>
      <c r="Z402" t="s">
        <v>39</v>
      </c>
    </row>
    <row r="403" spans="1:30" x14ac:dyDescent="0.35">
      <c r="A403" s="4">
        <v>42529</v>
      </c>
      <c r="B403" t="s">
        <v>30</v>
      </c>
      <c r="C403">
        <v>304</v>
      </c>
      <c r="D403">
        <v>10</v>
      </c>
      <c r="E403">
        <v>1</v>
      </c>
      <c r="F403" t="s">
        <v>31</v>
      </c>
      <c r="G403" t="s">
        <v>32</v>
      </c>
      <c r="H403" t="s">
        <v>33</v>
      </c>
      <c r="I403" t="s">
        <v>85</v>
      </c>
      <c r="O403" s="5"/>
      <c r="P403" s="5"/>
      <c r="Z403" t="s">
        <v>39</v>
      </c>
      <c r="AD403" t="s">
        <v>116</v>
      </c>
    </row>
    <row r="404" spans="1:30" x14ac:dyDescent="0.35">
      <c r="A404" s="4">
        <v>42529</v>
      </c>
      <c r="B404" t="s">
        <v>30</v>
      </c>
      <c r="C404">
        <v>111</v>
      </c>
      <c r="D404">
        <v>8</v>
      </c>
      <c r="E404">
        <v>1</v>
      </c>
      <c r="F404" t="s">
        <v>31</v>
      </c>
      <c r="G404" t="s">
        <v>32</v>
      </c>
      <c r="H404" t="s">
        <v>33</v>
      </c>
      <c r="I404" t="s">
        <v>59</v>
      </c>
      <c r="O404" s="5"/>
      <c r="P404" s="5"/>
      <c r="Z404" t="s">
        <v>39</v>
      </c>
    </row>
    <row r="405" spans="1:30" x14ac:dyDescent="0.35">
      <c r="A405" s="4">
        <v>42529</v>
      </c>
      <c r="B405" t="s">
        <v>30</v>
      </c>
      <c r="C405">
        <v>112</v>
      </c>
      <c r="D405">
        <v>2</v>
      </c>
      <c r="E405">
        <v>1</v>
      </c>
      <c r="F405" t="s">
        <v>31</v>
      </c>
      <c r="G405" t="s">
        <v>32</v>
      </c>
      <c r="H405" t="s">
        <v>33</v>
      </c>
      <c r="I405" t="s">
        <v>59</v>
      </c>
      <c r="O405" s="5"/>
      <c r="P405" s="5"/>
      <c r="Z405" t="s">
        <v>39</v>
      </c>
    </row>
    <row r="406" spans="1:30" x14ac:dyDescent="0.35">
      <c r="A406" s="4">
        <v>42529</v>
      </c>
      <c r="B406" t="s">
        <v>30</v>
      </c>
      <c r="C406">
        <v>112</v>
      </c>
      <c r="D406">
        <v>3</v>
      </c>
      <c r="E406">
        <v>1</v>
      </c>
      <c r="F406" t="s">
        <v>31</v>
      </c>
      <c r="G406" t="s">
        <v>32</v>
      </c>
      <c r="H406" t="s">
        <v>33</v>
      </c>
      <c r="I406" t="s">
        <v>59</v>
      </c>
      <c r="O406" s="5"/>
      <c r="P406" s="5"/>
      <c r="Z406" t="s">
        <v>39</v>
      </c>
    </row>
    <row r="407" spans="1:30" x14ac:dyDescent="0.35">
      <c r="A407" s="4">
        <v>42529</v>
      </c>
      <c r="B407" t="s">
        <v>30</v>
      </c>
      <c r="C407">
        <v>112</v>
      </c>
      <c r="D407">
        <v>4</v>
      </c>
      <c r="E407">
        <v>1</v>
      </c>
      <c r="F407" t="s">
        <v>31</v>
      </c>
      <c r="G407" t="s">
        <v>32</v>
      </c>
      <c r="H407" t="s">
        <v>33</v>
      </c>
      <c r="I407" t="s">
        <v>59</v>
      </c>
      <c r="O407" s="5"/>
      <c r="P407" s="5"/>
      <c r="Z407" t="s">
        <v>39</v>
      </c>
    </row>
    <row r="408" spans="1:30" x14ac:dyDescent="0.35">
      <c r="A408" s="4">
        <v>42529</v>
      </c>
      <c r="B408" t="s">
        <v>30</v>
      </c>
      <c r="C408">
        <v>112</v>
      </c>
      <c r="D408">
        <v>4</v>
      </c>
      <c r="E408">
        <v>2</v>
      </c>
      <c r="F408" t="s">
        <v>31</v>
      </c>
      <c r="G408" t="s">
        <v>32</v>
      </c>
      <c r="H408" t="s">
        <v>33</v>
      </c>
      <c r="I408" t="s">
        <v>59</v>
      </c>
      <c r="O408" s="5"/>
      <c r="P408" s="5"/>
      <c r="Z408" t="s">
        <v>39</v>
      </c>
    </row>
    <row r="409" spans="1:30" x14ac:dyDescent="0.35">
      <c r="A409" s="4">
        <v>42529</v>
      </c>
      <c r="B409" t="s">
        <v>30</v>
      </c>
      <c r="C409">
        <v>113</v>
      </c>
      <c r="D409">
        <v>1</v>
      </c>
      <c r="E409">
        <v>1</v>
      </c>
      <c r="F409" t="s">
        <v>31</v>
      </c>
      <c r="G409" t="s">
        <v>32</v>
      </c>
      <c r="H409" t="s">
        <v>33</v>
      </c>
      <c r="I409" t="s">
        <v>59</v>
      </c>
      <c r="O409" s="5"/>
      <c r="P409" s="5"/>
      <c r="Z409" t="s">
        <v>39</v>
      </c>
    </row>
    <row r="410" spans="1:30" x14ac:dyDescent="0.35">
      <c r="A410" s="4">
        <v>42529</v>
      </c>
      <c r="B410" t="s">
        <v>30</v>
      </c>
      <c r="C410">
        <v>113</v>
      </c>
      <c r="D410">
        <v>8</v>
      </c>
      <c r="E410">
        <v>1</v>
      </c>
      <c r="F410" t="s">
        <v>31</v>
      </c>
      <c r="G410" t="s">
        <v>32</v>
      </c>
      <c r="H410" t="s">
        <v>33</v>
      </c>
      <c r="I410" t="s">
        <v>59</v>
      </c>
      <c r="O410" s="5"/>
      <c r="P410" s="5"/>
      <c r="Z410" t="s">
        <v>39</v>
      </c>
    </row>
    <row r="411" spans="1:30" x14ac:dyDescent="0.35">
      <c r="A411" s="4">
        <v>42529</v>
      </c>
      <c r="B411" t="s">
        <v>30</v>
      </c>
      <c r="C411">
        <v>113</v>
      </c>
      <c r="D411">
        <v>8</v>
      </c>
      <c r="E411">
        <v>2</v>
      </c>
      <c r="F411" t="s">
        <v>31</v>
      </c>
      <c r="G411" t="s">
        <v>32</v>
      </c>
      <c r="H411" t="s">
        <v>33</v>
      </c>
      <c r="I411" t="s">
        <v>59</v>
      </c>
      <c r="O411" s="5"/>
      <c r="P411" s="5"/>
      <c r="Z411" t="s">
        <v>39</v>
      </c>
    </row>
    <row r="412" spans="1:30" x14ac:dyDescent="0.35">
      <c r="A412" s="4">
        <v>42529</v>
      </c>
      <c r="B412" t="s">
        <v>30</v>
      </c>
      <c r="C412">
        <v>113</v>
      </c>
      <c r="D412">
        <v>9</v>
      </c>
      <c r="E412">
        <v>1</v>
      </c>
      <c r="F412" t="s">
        <v>31</v>
      </c>
      <c r="G412" t="s">
        <v>32</v>
      </c>
      <c r="H412" t="s">
        <v>33</v>
      </c>
      <c r="I412" t="s">
        <v>59</v>
      </c>
      <c r="O412" s="5"/>
      <c r="P412" s="5"/>
      <c r="Z412" t="s">
        <v>39</v>
      </c>
    </row>
    <row r="413" spans="1:30" x14ac:dyDescent="0.35">
      <c r="A413" s="4">
        <v>42529</v>
      </c>
      <c r="B413" t="s">
        <v>30</v>
      </c>
      <c r="C413">
        <v>402</v>
      </c>
      <c r="D413">
        <v>3</v>
      </c>
      <c r="E413">
        <v>1</v>
      </c>
      <c r="F413" t="s">
        <v>31</v>
      </c>
      <c r="G413" t="s">
        <v>32</v>
      </c>
      <c r="H413" t="s">
        <v>33</v>
      </c>
      <c r="I413" t="s">
        <v>59</v>
      </c>
      <c r="O413" s="5"/>
      <c r="P413" s="5"/>
      <c r="Z413" t="s">
        <v>39</v>
      </c>
    </row>
    <row r="414" spans="1:30" x14ac:dyDescent="0.35">
      <c r="A414" s="4">
        <v>42529</v>
      </c>
      <c r="B414" t="s">
        <v>30</v>
      </c>
      <c r="C414">
        <v>402</v>
      </c>
      <c r="D414">
        <v>3</v>
      </c>
      <c r="E414">
        <v>2</v>
      </c>
      <c r="F414" t="s">
        <v>31</v>
      </c>
      <c r="G414" t="s">
        <v>32</v>
      </c>
      <c r="H414" t="s">
        <v>33</v>
      </c>
      <c r="I414" t="s">
        <v>59</v>
      </c>
      <c r="O414" s="5"/>
      <c r="P414" s="5"/>
      <c r="Z414" t="s">
        <v>39</v>
      </c>
    </row>
    <row r="415" spans="1:30" x14ac:dyDescent="0.35">
      <c r="A415" s="4">
        <v>42529</v>
      </c>
      <c r="B415" t="s">
        <v>30</v>
      </c>
      <c r="C415">
        <v>402</v>
      </c>
      <c r="D415">
        <v>4</v>
      </c>
      <c r="E415">
        <v>1</v>
      </c>
      <c r="F415" t="s">
        <v>31</v>
      </c>
      <c r="G415" t="s">
        <v>32</v>
      </c>
      <c r="H415" t="s">
        <v>33</v>
      </c>
      <c r="I415" t="s">
        <v>59</v>
      </c>
      <c r="O415" s="5"/>
      <c r="P415" s="5"/>
      <c r="Z415" t="s">
        <v>39</v>
      </c>
    </row>
    <row r="416" spans="1:30" x14ac:dyDescent="0.35">
      <c r="A416" s="4">
        <v>42529</v>
      </c>
      <c r="B416" t="s">
        <v>30</v>
      </c>
      <c r="C416">
        <v>402</v>
      </c>
      <c r="D416">
        <v>7</v>
      </c>
      <c r="E416">
        <v>1</v>
      </c>
      <c r="F416" t="s">
        <v>31</v>
      </c>
      <c r="G416" t="s">
        <v>32</v>
      </c>
      <c r="H416" t="s">
        <v>33</v>
      </c>
      <c r="I416" t="s">
        <v>59</v>
      </c>
      <c r="O416" s="5"/>
      <c r="P416" s="5"/>
      <c r="Z416" t="s">
        <v>39</v>
      </c>
    </row>
    <row r="417" spans="1:26" x14ac:dyDescent="0.35">
      <c r="A417" s="4">
        <v>42529</v>
      </c>
      <c r="B417" t="s">
        <v>30</v>
      </c>
      <c r="C417">
        <v>304</v>
      </c>
      <c r="D417">
        <v>8</v>
      </c>
      <c r="E417">
        <v>1</v>
      </c>
      <c r="F417" t="s">
        <v>31</v>
      </c>
      <c r="G417" t="s">
        <v>32</v>
      </c>
      <c r="H417" t="s">
        <v>33</v>
      </c>
      <c r="I417" t="s">
        <v>59</v>
      </c>
      <c r="O417" s="5"/>
      <c r="P417" s="5"/>
      <c r="Z417" t="s">
        <v>39</v>
      </c>
    </row>
    <row r="418" spans="1:26" x14ac:dyDescent="0.35">
      <c r="A418" s="4">
        <v>42529</v>
      </c>
      <c r="B418" t="s">
        <v>30</v>
      </c>
      <c r="C418">
        <v>304</v>
      </c>
      <c r="D418">
        <v>8</v>
      </c>
      <c r="E418">
        <v>2</v>
      </c>
      <c r="F418" t="s">
        <v>31</v>
      </c>
      <c r="G418" t="s">
        <v>32</v>
      </c>
      <c r="H418" t="s">
        <v>33</v>
      </c>
      <c r="I418" t="s">
        <v>59</v>
      </c>
      <c r="O418" s="5"/>
      <c r="P418" s="5"/>
      <c r="Z418" t="s">
        <v>39</v>
      </c>
    </row>
    <row r="419" spans="1:26" x14ac:dyDescent="0.35">
      <c r="A419" s="4">
        <v>42529</v>
      </c>
      <c r="B419" t="s">
        <v>30</v>
      </c>
      <c r="C419">
        <v>304</v>
      </c>
      <c r="D419">
        <v>7</v>
      </c>
      <c r="E419">
        <v>1</v>
      </c>
      <c r="F419" t="s">
        <v>31</v>
      </c>
      <c r="G419" t="s">
        <v>32</v>
      </c>
      <c r="H419" t="s">
        <v>33</v>
      </c>
      <c r="I419" t="s">
        <v>59</v>
      </c>
      <c r="O419" s="5"/>
      <c r="P419" s="5"/>
      <c r="Z419" t="s">
        <v>39</v>
      </c>
    </row>
    <row r="420" spans="1:26" x14ac:dyDescent="0.35">
      <c r="A420" s="4">
        <v>42529</v>
      </c>
      <c r="B420" t="s">
        <v>30</v>
      </c>
      <c r="C420">
        <v>304</v>
      </c>
      <c r="D420">
        <v>7</v>
      </c>
      <c r="E420">
        <v>2</v>
      </c>
      <c r="F420" t="s">
        <v>31</v>
      </c>
      <c r="G420" t="s">
        <v>32</v>
      </c>
      <c r="H420" t="s">
        <v>33</v>
      </c>
      <c r="I420" t="s">
        <v>59</v>
      </c>
      <c r="O420" s="5"/>
      <c r="P420" s="5"/>
      <c r="Z420" t="s">
        <v>39</v>
      </c>
    </row>
    <row r="421" spans="1:26" x14ac:dyDescent="0.35">
      <c r="A421" s="4">
        <v>42529</v>
      </c>
      <c r="B421" t="s">
        <v>30</v>
      </c>
      <c r="C421">
        <v>304</v>
      </c>
      <c r="D421">
        <v>4</v>
      </c>
      <c r="E421">
        <v>1</v>
      </c>
      <c r="F421" t="s">
        <v>31</v>
      </c>
      <c r="G421" t="s">
        <v>32</v>
      </c>
      <c r="H421" t="s">
        <v>33</v>
      </c>
      <c r="I421" t="s">
        <v>59</v>
      </c>
      <c r="O421" s="5"/>
      <c r="P421" s="5"/>
      <c r="Z421" t="s">
        <v>39</v>
      </c>
    </row>
    <row r="422" spans="1:26" x14ac:dyDescent="0.35">
      <c r="A422" s="4">
        <v>42529</v>
      </c>
      <c r="B422" t="s">
        <v>30</v>
      </c>
      <c r="C422">
        <v>304</v>
      </c>
      <c r="D422">
        <v>4</v>
      </c>
      <c r="E422">
        <v>2</v>
      </c>
      <c r="F422" t="s">
        <v>31</v>
      </c>
      <c r="G422" t="s">
        <v>32</v>
      </c>
      <c r="H422" t="s">
        <v>33</v>
      </c>
      <c r="I422" t="s">
        <v>59</v>
      </c>
      <c r="O422" s="5"/>
      <c r="P422" s="5"/>
      <c r="Z422" t="s">
        <v>39</v>
      </c>
    </row>
    <row r="423" spans="1:26" x14ac:dyDescent="0.35">
      <c r="A423" s="4">
        <v>42529</v>
      </c>
      <c r="B423" t="s">
        <v>30</v>
      </c>
      <c r="C423">
        <v>304</v>
      </c>
      <c r="D423">
        <v>3</v>
      </c>
      <c r="E423">
        <v>1</v>
      </c>
      <c r="F423" t="s">
        <v>31</v>
      </c>
      <c r="G423" t="s">
        <v>32</v>
      </c>
      <c r="H423" t="s">
        <v>33</v>
      </c>
      <c r="I423" t="s">
        <v>59</v>
      </c>
      <c r="O423" s="5"/>
      <c r="P423" s="5"/>
      <c r="Z423" t="s">
        <v>39</v>
      </c>
    </row>
    <row r="424" spans="1:26" x14ac:dyDescent="0.35">
      <c r="A424" s="4">
        <v>42529</v>
      </c>
      <c r="B424" t="s">
        <v>30</v>
      </c>
      <c r="C424">
        <v>201</v>
      </c>
      <c r="D424">
        <v>1</v>
      </c>
      <c r="E424">
        <v>1</v>
      </c>
      <c r="F424" t="s">
        <v>42</v>
      </c>
      <c r="G424" t="s">
        <v>32</v>
      </c>
      <c r="H424" t="s">
        <v>33</v>
      </c>
      <c r="I424" t="s">
        <v>59</v>
      </c>
      <c r="O424" s="5"/>
      <c r="P424" s="5"/>
      <c r="Z424" t="s">
        <v>39</v>
      </c>
    </row>
    <row r="425" spans="1:26" x14ac:dyDescent="0.35">
      <c r="A425" s="4">
        <v>42529</v>
      </c>
      <c r="B425" t="s">
        <v>30</v>
      </c>
      <c r="C425">
        <v>201</v>
      </c>
      <c r="D425">
        <v>1</v>
      </c>
      <c r="E425">
        <v>2</v>
      </c>
      <c r="F425" t="s">
        <v>42</v>
      </c>
      <c r="G425" t="s">
        <v>32</v>
      </c>
      <c r="H425" t="s">
        <v>33</v>
      </c>
      <c r="I425" t="s">
        <v>59</v>
      </c>
      <c r="O425" s="5"/>
      <c r="P425" s="5"/>
      <c r="Z425" t="s">
        <v>39</v>
      </c>
    </row>
    <row r="426" spans="1:26" x14ac:dyDescent="0.35">
      <c r="A426" s="4">
        <v>42529</v>
      </c>
      <c r="B426" t="s">
        <v>30</v>
      </c>
      <c r="C426">
        <v>201</v>
      </c>
      <c r="D426">
        <v>2</v>
      </c>
      <c r="E426">
        <v>1</v>
      </c>
      <c r="F426" t="s">
        <v>42</v>
      </c>
      <c r="G426" t="s">
        <v>32</v>
      </c>
      <c r="H426" t="s">
        <v>33</v>
      </c>
      <c r="I426" t="s">
        <v>59</v>
      </c>
      <c r="O426" s="5"/>
      <c r="P426" s="5"/>
      <c r="Z426" t="s">
        <v>39</v>
      </c>
    </row>
    <row r="427" spans="1:26" x14ac:dyDescent="0.35">
      <c r="A427" s="4">
        <v>42529</v>
      </c>
      <c r="B427" t="s">
        <v>30</v>
      </c>
      <c r="C427">
        <v>201</v>
      </c>
      <c r="D427">
        <v>6</v>
      </c>
      <c r="E427">
        <v>1</v>
      </c>
      <c r="F427" t="s">
        <v>42</v>
      </c>
      <c r="G427" t="s">
        <v>32</v>
      </c>
      <c r="H427" t="s">
        <v>33</v>
      </c>
      <c r="I427" t="s">
        <v>59</v>
      </c>
      <c r="O427" s="5"/>
      <c r="P427" s="5"/>
      <c r="Z427" t="s">
        <v>39</v>
      </c>
    </row>
    <row r="428" spans="1:26" x14ac:dyDescent="0.35">
      <c r="A428" s="4">
        <v>42529</v>
      </c>
      <c r="B428" t="s">
        <v>30</v>
      </c>
      <c r="C428">
        <v>201</v>
      </c>
      <c r="D428">
        <v>7</v>
      </c>
      <c r="E428">
        <v>1</v>
      </c>
      <c r="F428" t="s">
        <v>42</v>
      </c>
      <c r="G428" t="s">
        <v>32</v>
      </c>
      <c r="H428" t="s">
        <v>33</v>
      </c>
      <c r="I428" t="s">
        <v>59</v>
      </c>
      <c r="O428" s="5"/>
      <c r="P428" s="5"/>
      <c r="Z428" t="s">
        <v>39</v>
      </c>
    </row>
    <row r="429" spans="1:26" x14ac:dyDescent="0.35">
      <c r="A429" s="4">
        <v>42529</v>
      </c>
      <c r="B429" t="s">
        <v>30</v>
      </c>
      <c r="C429">
        <v>203</v>
      </c>
      <c r="D429">
        <v>1</v>
      </c>
      <c r="E429">
        <v>1</v>
      </c>
      <c r="F429" t="s">
        <v>42</v>
      </c>
      <c r="G429" t="s">
        <v>32</v>
      </c>
      <c r="H429" t="s">
        <v>33</v>
      </c>
      <c r="I429" t="s">
        <v>59</v>
      </c>
      <c r="O429" s="5"/>
      <c r="P429" s="5"/>
      <c r="Z429" t="s">
        <v>39</v>
      </c>
    </row>
    <row r="430" spans="1:26" x14ac:dyDescent="0.35">
      <c r="A430" s="4">
        <v>42529</v>
      </c>
      <c r="B430" t="s">
        <v>30</v>
      </c>
      <c r="C430">
        <v>203</v>
      </c>
      <c r="D430">
        <v>3</v>
      </c>
      <c r="E430">
        <v>1</v>
      </c>
      <c r="F430" t="s">
        <v>42</v>
      </c>
      <c r="G430" t="s">
        <v>32</v>
      </c>
      <c r="H430" t="s">
        <v>33</v>
      </c>
      <c r="I430" t="s">
        <v>59</v>
      </c>
      <c r="O430" s="5"/>
      <c r="P430" s="5"/>
      <c r="Z430" t="s">
        <v>39</v>
      </c>
    </row>
    <row r="431" spans="1:26" x14ac:dyDescent="0.35">
      <c r="A431" s="4">
        <v>42529</v>
      </c>
      <c r="B431" t="s">
        <v>30</v>
      </c>
      <c r="C431">
        <v>203</v>
      </c>
      <c r="D431">
        <v>3</v>
      </c>
      <c r="E431">
        <v>2</v>
      </c>
      <c r="F431" t="s">
        <v>42</v>
      </c>
      <c r="G431" t="s">
        <v>32</v>
      </c>
      <c r="H431" t="s">
        <v>33</v>
      </c>
      <c r="I431" t="s">
        <v>59</v>
      </c>
      <c r="O431" s="5"/>
      <c r="P431" s="5"/>
      <c r="Z431" t="s">
        <v>39</v>
      </c>
    </row>
    <row r="432" spans="1:26" x14ac:dyDescent="0.35">
      <c r="A432" s="4">
        <v>42529</v>
      </c>
      <c r="B432" t="s">
        <v>30</v>
      </c>
      <c r="C432">
        <v>203</v>
      </c>
      <c r="D432">
        <v>4</v>
      </c>
      <c r="E432">
        <v>1</v>
      </c>
      <c r="F432" t="s">
        <v>42</v>
      </c>
      <c r="G432" t="s">
        <v>32</v>
      </c>
      <c r="H432" t="s">
        <v>33</v>
      </c>
      <c r="I432" t="s">
        <v>59</v>
      </c>
      <c r="O432" s="5"/>
      <c r="P432" s="5"/>
      <c r="Z432" t="s">
        <v>39</v>
      </c>
    </row>
    <row r="433" spans="1:29" x14ac:dyDescent="0.35">
      <c r="A433" s="4">
        <v>42529</v>
      </c>
      <c r="B433" t="s">
        <v>30</v>
      </c>
      <c r="C433">
        <v>203</v>
      </c>
      <c r="D433">
        <v>7</v>
      </c>
      <c r="E433">
        <v>1</v>
      </c>
      <c r="F433" t="s">
        <v>42</v>
      </c>
      <c r="G433" t="s">
        <v>32</v>
      </c>
      <c r="H433" t="s">
        <v>33</v>
      </c>
      <c r="I433" t="s">
        <v>59</v>
      </c>
      <c r="O433" s="5"/>
      <c r="P433" s="5"/>
      <c r="Z433" t="s">
        <v>39</v>
      </c>
    </row>
    <row r="434" spans="1:29" x14ac:dyDescent="0.35">
      <c r="A434" s="4">
        <v>42529</v>
      </c>
      <c r="B434" t="s">
        <v>30</v>
      </c>
      <c r="C434">
        <v>202</v>
      </c>
      <c r="D434">
        <v>1</v>
      </c>
      <c r="E434">
        <v>1</v>
      </c>
      <c r="F434" t="s">
        <v>42</v>
      </c>
      <c r="G434" t="s">
        <v>32</v>
      </c>
      <c r="H434" t="s">
        <v>33</v>
      </c>
      <c r="I434" t="s">
        <v>59</v>
      </c>
      <c r="O434" s="5"/>
      <c r="P434" s="5"/>
      <c r="Z434" t="s">
        <v>39</v>
      </c>
    </row>
    <row r="435" spans="1:29" x14ac:dyDescent="0.35">
      <c r="A435" s="4">
        <v>42529</v>
      </c>
      <c r="B435" t="s">
        <v>30</v>
      </c>
      <c r="C435">
        <v>202</v>
      </c>
      <c r="D435">
        <v>1</v>
      </c>
      <c r="E435">
        <v>2</v>
      </c>
      <c r="F435" t="s">
        <v>42</v>
      </c>
      <c r="G435" t="s">
        <v>32</v>
      </c>
      <c r="H435" t="s">
        <v>33</v>
      </c>
      <c r="I435" t="s">
        <v>59</v>
      </c>
      <c r="O435" s="5"/>
      <c r="P435" s="5"/>
      <c r="Z435" t="s">
        <v>39</v>
      </c>
    </row>
    <row r="436" spans="1:29" x14ac:dyDescent="0.35">
      <c r="A436" s="4">
        <v>42529</v>
      </c>
      <c r="B436" t="s">
        <v>30</v>
      </c>
      <c r="C436">
        <v>202</v>
      </c>
      <c r="D436">
        <v>2</v>
      </c>
      <c r="E436">
        <v>1</v>
      </c>
      <c r="F436" t="s">
        <v>42</v>
      </c>
      <c r="G436" t="s">
        <v>32</v>
      </c>
      <c r="H436" t="s">
        <v>33</v>
      </c>
      <c r="I436" t="s">
        <v>59</v>
      </c>
      <c r="O436" s="5"/>
      <c r="P436" s="5"/>
      <c r="Z436" t="s">
        <v>39</v>
      </c>
    </row>
    <row r="437" spans="1:29" x14ac:dyDescent="0.35">
      <c r="A437" s="4">
        <v>42529</v>
      </c>
      <c r="B437" t="s">
        <v>30</v>
      </c>
      <c r="C437">
        <v>202</v>
      </c>
      <c r="D437">
        <v>2</v>
      </c>
      <c r="E437">
        <v>2</v>
      </c>
      <c r="F437" t="s">
        <v>42</v>
      </c>
      <c r="G437" t="s">
        <v>32</v>
      </c>
      <c r="H437" t="s">
        <v>33</v>
      </c>
      <c r="I437" t="s">
        <v>59</v>
      </c>
      <c r="O437" s="5"/>
      <c r="P437" s="5"/>
      <c r="Z437" t="s">
        <v>39</v>
      </c>
    </row>
    <row r="438" spans="1:29" x14ac:dyDescent="0.35">
      <c r="A438" s="4">
        <v>42529</v>
      </c>
      <c r="B438" t="s">
        <v>30</v>
      </c>
      <c r="C438">
        <v>202</v>
      </c>
      <c r="D438">
        <v>3</v>
      </c>
      <c r="E438">
        <v>1</v>
      </c>
      <c r="F438" t="s">
        <v>42</v>
      </c>
      <c r="G438" t="s">
        <v>32</v>
      </c>
      <c r="H438" t="s">
        <v>33</v>
      </c>
      <c r="I438" t="s">
        <v>59</v>
      </c>
      <c r="O438" s="5"/>
      <c r="P438" s="5"/>
      <c r="Z438" t="s">
        <v>39</v>
      </c>
    </row>
    <row r="439" spans="1:29" x14ac:dyDescent="0.35">
      <c r="A439" s="4">
        <v>42529</v>
      </c>
      <c r="B439" t="s">
        <v>30</v>
      </c>
      <c r="C439">
        <v>202</v>
      </c>
      <c r="D439">
        <v>3</v>
      </c>
      <c r="E439">
        <v>2</v>
      </c>
      <c r="F439" t="s">
        <v>42</v>
      </c>
      <c r="G439" t="s">
        <v>32</v>
      </c>
      <c r="H439" t="s">
        <v>33</v>
      </c>
      <c r="I439" t="s">
        <v>59</v>
      </c>
      <c r="O439" s="5"/>
      <c r="P439" s="5"/>
      <c r="Z439" t="s">
        <v>39</v>
      </c>
    </row>
    <row r="440" spans="1:29" x14ac:dyDescent="0.35">
      <c r="A440" s="4">
        <v>42529</v>
      </c>
      <c r="B440" t="s">
        <v>30</v>
      </c>
      <c r="C440">
        <v>202</v>
      </c>
      <c r="D440">
        <v>4</v>
      </c>
      <c r="E440">
        <v>1</v>
      </c>
      <c r="F440" t="s">
        <v>42</v>
      </c>
      <c r="G440" t="s">
        <v>32</v>
      </c>
      <c r="H440" t="s">
        <v>33</v>
      </c>
      <c r="I440" t="s">
        <v>59</v>
      </c>
      <c r="O440" s="5"/>
      <c r="P440" s="5"/>
      <c r="Z440" t="s">
        <v>39</v>
      </c>
    </row>
    <row r="441" spans="1:29" x14ac:dyDescent="0.35">
      <c r="A441" s="4">
        <v>42529</v>
      </c>
      <c r="B441" t="s">
        <v>30</v>
      </c>
      <c r="C441">
        <v>202</v>
      </c>
      <c r="D441">
        <v>4</v>
      </c>
      <c r="E441">
        <v>2</v>
      </c>
      <c r="F441" t="s">
        <v>42</v>
      </c>
      <c r="G441" t="s">
        <v>32</v>
      </c>
      <c r="H441" t="s">
        <v>33</v>
      </c>
      <c r="I441" t="s">
        <v>59</v>
      </c>
      <c r="O441" s="5"/>
      <c r="P441" s="5"/>
      <c r="Z441" t="s">
        <v>39</v>
      </c>
    </row>
    <row r="442" spans="1:29" x14ac:dyDescent="0.35">
      <c r="A442" s="4">
        <v>42529</v>
      </c>
      <c r="B442" t="s">
        <v>30</v>
      </c>
      <c r="C442">
        <v>202</v>
      </c>
      <c r="D442">
        <v>5</v>
      </c>
      <c r="E442">
        <v>1</v>
      </c>
      <c r="F442" t="s">
        <v>42</v>
      </c>
      <c r="G442" t="s">
        <v>32</v>
      </c>
      <c r="H442" t="s">
        <v>33</v>
      </c>
      <c r="I442" t="s">
        <v>59</v>
      </c>
      <c r="O442" s="5"/>
      <c r="P442" s="5"/>
      <c r="Z442" t="s">
        <v>39</v>
      </c>
    </row>
    <row r="443" spans="1:29" x14ac:dyDescent="0.35">
      <c r="A443" s="4">
        <v>42530</v>
      </c>
      <c r="B443" t="s">
        <v>30</v>
      </c>
      <c r="C443">
        <v>111</v>
      </c>
      <c r="D443">
        <v>2</v>
      </c>
      <c r="E443">
        <v>1</v>
      </c>
      <c r="F443" t="s">
        <v>31</v>
      </c>
      <c r="G443" t="s">
        <v>32</v>
      </c>
      <c r="H443" t="s">
        <v>33</v>
      </c>
      <c r="I443" t="s">
        <v>43</v>
      </c>
      <c r="J443" t="s">
        <v>35</v>
      </c>
      <c r="K443" t="s">
        <v>112</v>
      </c>
      <c r="L443" t="s">
        <v>37</v>
      </c>
      <c r="M443">
        <v>0</v>
      </c>
      <c r="N443">
        <v>1</v>
      </c>
      <c r="O443" s="5">
        <v>50310</v>
      </c>
      <c r="P443" s="5">
        <v>50309</v>
      </c>
      <c r="Q443">
        <f>32.5-11</f>
        <v>21.5</v>
      </c>
      <c r="R443" t="s">
        <v>38</v>
      </c>
      <c r="S443" t="s">
        <v>39</v>
      </c>
      <c r="T443">
        <v>19</v>
      </c>
      <c r="U443">
        <v>97</v>
      </c>
      <c r="V443">
        <v>14</v>
      </c>
      <c r="W443">
        <v>13.5</v>
      </c>
      <c r="X443">
        <v>28.7</v>
      </c>
      <c r="Z443" t="s">
        <v>39</v>
      </c>
      <c r="AB443" t="s">
        <v>41</v>
      </c>
      <c r="AC443" t="s">
        <v>117</v>
      </c>
    </row>
    <row r="444" spans="1:29" x14ac:dyDescent="0.35">
      <c r="A444" s="4">
        <v>42530</v>
      </c>
      <c r="B444" t="s">
        <v>30</v>
      </c>
      <c r="C444">
        <v>111</v>
      </c>
      <c r="D444">
        <v>7</v>
      </c>
      <c r="E444">
        <v>1</v>
      </c>
      <c r="F444" t="s">
        <v>31</v>
      </c>
      <c r="G444" t="s">
        <v>32</v>
      </c>
      <c r="H444" t="s">
        <v>33</v>
      </c>
      <c r="I444" t="s">
        <v>43</v>
      </c>
      <c r="J444" t="s">
        <v>44</v>
      </c>
      <c r="K444" t="s">
        <v>112</v>
      </c>
      <c r="L444" t="s">
        <v>45</v>
      </c>
      <c r="M444">
        <v>0</v>
      </c>
      <c r="N444">
        <v>0</v>
      </c>
      <c r="O444" s="5">
        <v>50348</v>
      </c>
      <c r="P444" s="5">
        <v>50347</v>
      </c>
      <c r="Q444">
        <f>38-14</f>
        <v>24</v>
      </c>
      <c r="R444" t="s">
        <v>61</v>
      </c>
      <c r="S444" t="s">
        <v>102</v>
      </c>
      <c r="T444">
        <v>19</v>
      </c>
      <c r="U444">
        <v>83</v>
      </c>
      <c r="V444">
        <v>14</v>
      </c>
      <c r="W444">
        <v>13.9</v>
      </c>
      <c r="X444">
        <v>27.6</v>
      </c>
      <c r="Z444" t="s">
        <v>39</v>
      </c>
      <c r="AB444" t="s">
        <v>41</v>
      </c>
      <c r="AC444" t="s">
        <v>117</v>
      </c>
    </row>
    <row r="445" spans="1:29" x14ac:dyDescent="0.35">
      <c r="A445" s="4">
        <v>42530</v>
      </c>
      <c r="B445" t="s">
        <v>30</v>
      </c>
      <c r="C445">
        <v>304</v>
      </c>
      <c r="D445">
        <v>7</v>
      </c>
      <c r="E445">
        <v>2</v>
      </c>
      <c r="F445" t="s">
        <v>42</v>
      </c>
      <c r="G445" t="s">
        <v>32</v>
      </c>
      <c r="H445" t="s">
        <v>33</v>
      </c>
      <c r="I445" t="s">
        <v>43</v>
      </c>
      <c r="J445" t="s">
        <v>35</v>
      </c>
      <c r="K445" t="s">
        <v>88</v>
      </c>
      <c r="L445" t="s">
        <v>37</v>
      </c>
      <c r="M445">
        <v>0</v>
      </c>
      <c r="N445">
        <v>1</v>
      </c>
      <c r="O445" s="5">
        <v>50352</v>
      </c>
      <c r="P445" s="5">
        <v>50367</v>
      </c>
      <c r="Q445">
        <v>11</v>
      </c>
      <c r="R445" t="s">
        <v>64</v>
      </c>
      <c r="S445" t="s">
        <v>39</v>
      </c>
      <c r="T445">
        <v>18</v>
      </c>
      <c r="U445">
        <v>78</v>
      </c>
      <c r="V445">
        <v>15.5</v>
      </c>
      <c r="W445">
        <v>11.6</v>
      </c>
      <c r="X445">
        <v>26.7</v>
      </c>
      <c r="Z445" t="s">
        <v>39</v>
      </c>
      <c r="AB445" t="s">
        <v>41</v>
      </c>
      <c r="AC445" t="s">
        <v>117</v>
      </c>
    </row>
    <row r="446" spans="1:29" x14ac:dyDescent="0.35">
      <c r="A446" s="4">
        <v>42530</v>
      </c>
      <c r="B446" t="s">
        <v>30</v>
      </c>
      <c r="C446">
        <v>113</v>
      </c>
      <c r="D446">
        <v>6</v>
      </c>
      <c r="E446">
        <v>1</v>
      </c>
      <c r="F446" t="s">
        <v>31</v>
      </c>
      <c r="G446" t="s">
        <v>32</v>
      </c>
      <c r="H446" t="s">
        <v>33</v>
      </c>
      <c r="I446" t="s">
        <v>43</v>
      </c>
      <c r="J446" t="s">
        <v>35</v>
      </c>
      <c r="K446" t="s">
        <v>113</v>
      </c>
      <c r="L446" t="s">
        <v>45</v>
      </c>
      <c r="M446">
        <v>0</v>
      </c>
      <c r="N446">
        <v>1</v>
      </c>
      <c r="O446" s="5">
        <v>50474</v>
      </c>
      <c r="P446" s="5">
        <v>50473</v>
      </c>
      <c r="Q446">
        <f>19</f>
        <v>19</v>
      </c>
      <c r="R446" t="s">
        <v>61</v>
      </c>
      <c r="S446" t="s">
        <v>39</v>
      </c>
      <c r="T446">
        <v>18</v>
      </c>
      <c r="U446">
        <v>76</v>
      </c>
      <c r="V446">
        <v>14</v>
      </c>
      <c r="W446">
        <v>11.5</v>
      </c>
      <c r="X446">
        <v>26</v>
      </c>
      <c r="Y446" t="s">
        <v>118</v>
      </c>
      <c r="Z446" t="s">
        <v>39</v>
      </c>
      <c r="AB446" t="s">
        <v>60</v>
      </c>
      <c r="AC446" t="s">
        <v>41</v>
      </c>
    </row>
    <row r="447" spans="1:29" x14ac:dyDescent="0.35">
      <c r="A447" s="4">
        <v>42530</v>
      </c>
      <c r="B447" t="s">
        <v>30</v>
      </c>
      <c r="C447">
        <v>111</v>
      </c>
      <c r="D447">
        <v>3</v>
      </c>
      <c r="E447">
        <v>1</v>
      </c>
      <c r="F447" t="s">
        <v>31</v>
      </c>
      <c r="G447" t="s">
        <v>32</v>
      </c>
      <c r="H447" t="s">
        <v>33</v>
      </c>
      <c r="I447" t="s">
        <v>43</v>
      </c>
      <c r="J447" t="s">
        <v>35</v>
      </c>
      <c r="K447" t="s">
        <v>112</v>
      </c>
      <c r="L447" t="s">
        <v>37</v>
      </c>
      <c r="M447">
        <v>0</v>
      </c>
      <c r="N447">
        <v>1</v>
      </c>
      <c r="O447" s="5">
        <v>50475</v>
      </c>
      <c r="P447" s="5">
        <v>50308</v>
      </c>
      <c r="Q447">
        <f>39-15</f>
        <v>24</v>
      </c>
      <c r="R447" t="s">
        <v>38</v>
      </c>
      <c r="S447" t="s">
        <v>39</v>
      </c>
      <c r="T447">
        <v>19</v>
      </c>
      <c r="U447">
        <v>83</v>
      </c>
      <c r="V447">
        <v>14</v>
      </c>
      <c r="W447">
        <v>12.7</v>
      </c>
      <c r="X447">
        <v>27.5</v>
      </c>
      <c r="Z447" t="s">
        <v>39</v>
      </c>
      <c r="AB447" t="s">
        <v>41</v>
      </c>
      <c r="AC447" t="s">
        <v>117</v>
      </c>
    </row>
    <row r="448" spans="1:29" x14ac:dyDescent="0.35">
      <c r="A448" s="4">
        <v>42530</v>
      </c>
      <c r="B448" t="s">
        <v>30</v>
      </c>
      <c r="C448">
        <v>304</v>
      </c>
      <c r="D448">
        <v>5</v>
      </c>
      <c r="E448">
        <v>1</v>
      </c>
      <c r="F448" t="s">
        <v>42</v>
      </c>
      <c r="G448" t="s">
        <v>32</v>
      </c>
      <c r="H448" t="s">
        <v>33</v>
      </c>
      <c r="I448" t="s">
        <v>55</v>
      </c>
      <c r="O448" s="5"/>
      <c r="P448" s="5"/>
      <c r="Z448" t="s">
        <v>39</v>
      </c>
    </row>
    <row r="449" spans="1:26" x14ac:dyDescent="0.35">
      <c r="A449" s="4">
        <v>42530</v>
      </c>
      <c r="B449" t="s">
        <v>30</v>
      </c>
      <c r="C449">
        <v>112</v>
      </c>
      <c r="D449">
        <v>1</v>
      </c>
      <c r="E449">
        <v>1</v>
      </c>
      <c r="F449" t="s">
        <v>31</v>
      </c>
      <c r="G449" t="s">
        <v>32</v>
      </c>
      <c r="H449" t="s">
        <v>33</v>
      </c>
      <c r="I449" t="s">
        <v>84</v>
      </c>
      <c r="O449" s="5"/>
      <c r="P449" s="5"/>
      <c r="Z449" t="s">
        <v>39</v>
      </c>
    </row>
    <row r="450" spans="1:26" x14ac:dyDescent="0.35">
      <c r="A450" s="4">
        <v>42530</v>
      </c>
      <c r="B450" t="s">
        <v>30</v>
      </c>
      <c r="C450">
        <v>112</v>
      </c>
      <c r="D450">
        <v>1</v>
      </c>
      <c r="E450">
        <v>2</v>
      </c>
      <c r="F450" t="s">
        <v>31</v>
      </c>
      <c r="G450" t="s">
        <v>32</v>
      </c>
      <c r="H450" t="s">
        <v>33</v>
      </c>
      <c r="I450" t="s">
        <v>84</v>
      </c>
      <c r="O450" s="5"/>
      <c r="P450" s="5"/>
      <c r="Z450" t="s">
        <v>39</v>
      </c>
    </row>
    <row r="451" spans="1:26" x14ac:dyDescent="0.35">
      <c r="A451" s="4">
        <v>42530</v>
      </c>
      <c r="B451" t="s">
        <v>30</v>
      </c>
      <c r="C451">
        <v>112</v>
      </c>
      <c r="D451">
        <v>2</v>
      </c>
      <c r="E451">
        <v>1</v>
      </c>
      <c r="F451" t="s">
        <v>31</v>
      </c>
      <c r="G451" t="s">
        <v>32</v>
      </c>
      <c r="H451" t="s">
        <v>33</v>
      </c>
      <c r="I451" t="s">
        <v>84</v>
      </c>
      <c r="O451" s="5"/>
      <c r="P451" s="5"/>
      <c r="Z451" t="s">
        <v>39</v>
      </c>
    </row>
    <row r="452" spans="1:26" x14ac:dyDescent="0.35">
      <c r="A452" s="4">
        <v>42530</v>
      </c>
      <c r="B452" t="s">
        <v>30</v>
      </c>
      <c r="C452">
        <v>112</v>
      </c>
      <c r="D452">
        <v>2</v>
      </c>
      <c r="E452">
        <v>2</v>
      </c>
      <c r="F452" t="s">
        <v>31</v>
      </c>
      <c r="G452" t="s">
        <v>32</v>
      </c>
      <c r="H452" t="s">
        <v>33</v>
      </c>
      <c r="I452" t="s">
        <v>84</v>
      </c>
      <c r="O452" s="5"/>
      <c r="P452" s="5"/>
      <c r="Z452" t="s">
        <v>39</v>
      </c>
    </row>
    <row r="453" spans="1:26" x14ac:dyDescent="0.35">
      <c r="A453" s="4">
        <v>42530</v>
      </c>
      <c r="B453" t="s">
        <v>30</v>
      </c>
      <c r="C453">
        <v>112</v>
      </c>
      <c r="D453">
        <v>3</v>
      </c>
      <c r="E453">
        <v>1</v>
      </c>
      <c r="F453" t="s">
        <v>31</v>
      </c>
      <c r="G453" t="s">
        <v>32</v>
      </c>
      <c r="H453" t="s">
        <v>33</v>
      </c>
      <c r="I453" t="s">
        <v>84</v>
      </c>
      <c r="O453" s="5"/>
      <c r="P453" s="5"/>
      <c r="Z453" t="s">
        <v>39</v>
      </c>
    </row>
    <row r="454" spans="1:26" x14ac:dyDescent="0.35">
      <c r="A454" s="4">
        <v>42530</v>
      </c>
      <c r="B454" t="s">
        <v>30</v>
      </c>
      <c r="C454">
        <v>112</v>
      </c>
      <c r="D454">
        <v>3</v>
      </c>
      <c r="E454">
        <v>2</v>
      </c>
      <c r="F454" t="s">
        <v>31</v>
      </c>
      <c r="G454" t="s">
        <v>32</v>
      </c>
      <c r="H454" t="s">
        <v>33</v>
      </c>
      <c r="I454" t="s">
        <v>84</v>
      </c>
      <c r="O454" s="5"/>
      <c r="P454" s="5"/>
      <c r="Z454" t="s">
        <v>39</v>
      </c>
    </row>
    <row r="455" spans="1:26" x14ac:dyDescent="0.35">
      <c r="A455" s="4">
        <v>42530</v>
      </c>
      <c r="B455" t="s">
        <v>30</v>
      </c>
      <c r="C455">
        <v>112</v>
      </c>
      <c r="D455">
        <v>4</v>
      </c>
      <c r="E455">
        <v>1</v>
      </c>
      <c r="F455" t="s">
        <v>31</v>
      </c>
      <c r="G455" t="s">
        <v>32</v>
      </c>
      <c r="H455" t="s">
        <v>33</v>
      </c>
      <c r="I455" t="s">
        <v>84</v>
      </c>
      <c r="O455" s="5"/>
      <c r="P455" s="5"/>
      <c r="Z455" t="s">
        <v>39</v>
      </c>
    </row>
    <row r="456" spans="1:26" x14ac:dyDescent="0.35">
      <c r="A456" s="4">
        <v>42530</v>
      </c>
      <c r="B456" t="s">
        <v>30</v>
      </c>
      <c r="C456">
        <v>112</v>
      </c>
      <c r="D456">
        <v>5</v>
      </c>
      <c r="E456">
        <v>1</v>
      </c>
      <c r="F456" t="s">
        <v>31</v>
      </c>
      <c r="G456" t="s">
        <v>32</v>
      </c>
      <c r="H456" t="s">
        <v>33</v>
      </c>
      <c r="I456" t="s">
        <v>84</v>
      </c>
      <c r="O456" s="5"/>
      <c r="P456" s="5"/>
      <c r="Z456" t="s">
        <v>39</v>
      </c>
    </row>
    <row r="457" spans="1:26" x14ac:dyDescent="0.35">
      <c r="A457" s="4">
        <v>42530</v>
      </c>
      <c r="B457" t="s">
        <v>30</v>
      </c>
      <c r="C457">
        <v>112</v>
      </c>
      <c r="D457">
        <v>6</v>
      </c>
      <c r="E457">
        <v>1</v>
      </c>
      <c r="F457" t="s">
        <v>31</v>
      </c>
      <c r="G457" t="s">
        <v>32</v>
      </c>
      <c r="H457" t="s">
        <v>33</v>
      </c>
      <c r="I457" t="s">
        <v>84</v>
      </c>
      <c r="O457" s="5"/>
      <c r="P457" s="5"/>
      <c r="Z457" t="s">
        <v>39</v>
      </c>
    </row>
    <row r="458" spans="1:26" x14ac:dyDescent="0.35">
      <c r="A458" s="4">
        <v>42530</v>
      </c>
      <c r="B458" t="s">
        <v>30</v>
      </c>
      <c r="C458">
        <v>112</v>
      </c>
      <c r="D458">
        <v>6</v>
      </c>
      <c r="E458">
        <v>2</v>
      </c>
      <c r="F458" t="s">
        <v>31</v>
      </c>
      <c r="G458" t="s">
        <v>32</v>
      </c>
      <c r="H458" t="s">
        <v>33</v>
      </c>
      <c r="I458" t="s">
        <v>84</v>
      </c>
      <c r="O458" s="5"/>
      <c r="P458" s="5"/>
      <c r="Z458" t="s">
        <v>39</v>
      </c>
    </row>
    <row r="459" spans="1:26" x14ac:dyDescent="0.35">
      <c r="A459" s="4">
        <v>42530</v>
      </c>
      <c r="B459" t="s">
        <v>30</v>
      </c>
      <c r="C459">
        <v>112</v>
      </c>
      <c r="D459">
        <v>7</v>
      </c>
      <c r="E459">
        <v>1</v>
      </c>
      <c r="F459" t="s">
        <v>31</v>
      </c>
      <c r="G459" t="s">
        <v>32</v>
      </c>
      <c r="H459" t="s">
        <v>33</v>
      </c>
      <c r="I459" t="s">
        <v>84</v>
      </c>
      <c r="O459" s="5"/>
      <c r="P459" s="5"/>
      <c r="Z459" t="s">
        <v>39</v>
      </c>
    </row>
    <row r="460" spans="1:26" x14ac:dyDescent="0.35">
      <c r="A460" s="4">
        <v>42530</v>
      </c>
      <c r="B460" t="s">
        <v>30</v>
      </c>
      <c r="C460">
        <v>112</v>
      </c>
      <c r="D460">
        <v>7</v>
      </c>
      <c r="E460">
        <v>2</v>
      </c>
      <c r="F460" t="s">
        <v>31</v>
      </c>
      <c r="G460" t="s">
        <v>32</v>
      </c>
      <c r="H460" t="s">
        <v>33</v>
      </c>
      <c r="I460" t="s">
        <v>84</v>
      </c>
      <c r="O460" s="5"/>
      <c r="P460" s="5"/>
      <c r="Z460" t="s">
        <v>39</v>
      </c>
    </row>
    <row r="461" spans="1:26" x14ac:dyDescent="0.35">
      <c r="A461" s="4">
        <v>42530</v>
      </c>
      <c r="B461" t="s">
        <v>30</v>
      </c>
      <c r="C461">
        <v>112</v>
      </c>
      <c r="D461">
        <v>8</v>
      </c>
      <c r="E461">
        <v>1</v>
      </c>
      <c r="F461" t="s">
        <v>31</v>
      </c>
      <c r="G461" t="s">
        <v>32</v>
      </c>
      <c r="H461" t="s">
        <v>33</v>
      </c>
      <c r="I461" t="s">
        <v>84</v>
      </c>
      <c r="O461" s="5"/>
      <c r="P461" s="5"/>
      <c r="Z461" t="s">
        <v>39</v>
      </c>
    </row>
    <row r="462" spans="1:26" x14ac:dyDescent="0.35">
      <c r="A462" s="4">
        <v>42530</v>
      </c>
      <c r="B462" t="s">
        <v>30</v>
      </c>
      <c r="C462">
        <v>112</v>
      </c>
      <c r="D462">
        <v>8</v>
      </c>
      <c r="E462">
        <v>2</v>
      </c>
      <c r="F462" t="s">
        <v>31</v>
      </c>
      <c r="G462" t="s">
        <v>32</v>
      </c>
      <c r="H462" t="s">
        <v>33</v>
      </c>
      <c r="I462" t="s">
        <v>84</v>
      </c>
      <c r="O462" s="5"/>
      <c r="P462" s="5"/>
      <c r="Z462" t="s">
        <v>39</v>
      </c>
    </row>
    <row r="463" spans="1:26" x14ac:dyDescent="0.35">
      <c r="A463" s="4">
        <v>42530</v>
      </c>
      <c r="B463" t="s">
        <v>30</v>
      </c>
      <c r="C463">
        <v>402</v>
      </c>
      <c r="D463">
        <v>1</v>
      </c>
      <c r="E463">
        <v>1</v>
      </c>
      <c r="F463" t="s">
        <v>31</v>
      </c>
      <c r="G463" t="s">
        <v>32</v>
      </c>
      <c r="H463" t="s">
        <v>33</v>
      </c>
      <c r="I463" t="s">
        <v>84</v>
      </c>
      <c r="O463" s="5"/>
      <c r="P463" s="5"/>
      <c r="Z463" t="s">
        <v>39</v>
      </c>
    </row>
    <row r="464" spans="1:26" x14ac:dyDescent="0.35">
      <c r="A464" s="4">
        <v>42530</v>
      </c>
      <c r="B464" t="s">
        <v>30</v>
      </c>
      <c r="C464">
        <v>402</v>
      </c>
      <c r="D464">
        <v>2</v>
      </c>
      <c r="E464">
        <v>2</v>
      </c>
      <c r="F464" t="s">
        <v>31</v>
      </c>
      <c r="G464" t="s">
        <v>32</v>
      </c>
      <c r="H464" t="s">
        <v>33</v>
      </c>
      <c r="I464" t="s">
        <v>84</v>
      </c>
      <c r="O464" s="5"/>
      <c r="P464" s="5"/>
      <c r="Z464" t="s">
        <v>39</v>
      </c>
    </row>
    <row r="465" spans="1:26" x14ac:dyDescent="0.35">
      <c r="A465" s="4">
        <v>42530</v>
      </c>
      <c r="B465" t="s">
        <v>30</v>
      </c>
      <c r="C465">
        <v>402</v>
      </c>
      <c r="D465">
        <v>3</v>
      </c>
      <c r="E465">
        <v>1</v>
      </c>
      <c r="F465" t="s">
        <v>31</v>
      </c>
      <c r="G465" t="s">
        <v>32</v>
      </c>
      <c r="H465" t="s">
        <v>33</v>
      </c>
      <c r="I465" t="s">
        <v>84</v>
      </c>
      <c r="O465" s="5"/>
      <c r="P465" s="5"/>
      <c r="Z465" t="s">
        <v>39</v>
      </c>
    </row>
    <row r="466" spans="1:26" x14ac:dyDescent="0.35">
      <c r="A466" s="4">
        <v>42530</v>
      </c>
      <c r="B466" t="s">
        <v>30</v>
      </c>
      <c r="C466">
        <v>402</v>
      </c>
      <c r="D466">
        <v>3</v>
      </c>
      <c r="E466">
        <v>2</v>
      </c>
      <c r="F466" t="s">
        <v>31</v>
      </c>
      <c r="G466" t="s">
        <v>32</v>
      </c>
      <c r="H466" t="s">
        <v>33</v>
      </c>
      <c r="I466" t="s">
        <v>84</v>
      </c>
      <c r="O466" s="5"/>
      <c r="P466" s="5"/>
      <c r="Z466" t="s">
        <v>39</v>
      </c>
    </row>
    <row r="467" spans="1:26" x14ac:dyDescent="0.35">
      <c r="A467" s="4">
        <v>42530</v>
      </c>
      <c r="B467" t="s">
        <v>30</v>
      </c>
      <c r="C467">
        <v>402</v>
      </c>
      <c r="D467">
        <v>4</v>
      </c>
      <c r="E467">
        <v>1</v>
      </c>
      <c r="F467" t="s">
        <v>31</v>
      </c>
      <c r="G467" t="s">
        <v>32</v>
      </c>
      <c r="H467" t="s">
        <v>33</v>
      </c>
      <c r="I467" t="s">
        <v>84</v>
      </c>
      <c r="O467" s="5"/>
      <c r="P467" s="5"/>
      <c r="Z467" t="s">
        <v>39</v>
      </c>
    </row>
    <row r="468" spans="1:26" x14ac:dyDescent="0.35">
      <c r="A468" s="4">
        <v>42530</v>
      </c>
      <c r="B468" t="s">
        <v>30</v>
      </c>
      <c r="C468">
        <v>402</v>
      </c>
      <c r="D468">
        <v>4</v>
      </c>
      <c r="E468">
        <v>2</v>
      </c>
      <c r="F468" t="s">
        <v>31</v>
      </c>
      <c r="G468" t="s">
        <v>32</v>
      </c>
      <c r="H468" t="s">
        <v>33</v>
      </c>
      <c r="I468" t="s">
        <v>84</v>
      </c>
      <c r="O468" s="5"/>
      <c r="P468" s="5"/>
      <c r="Z468" t="s">
        <v>39</v>
      </c>
    </row>
    <row r="469" spans="1:26" x14ac:dyDescent="0.35">
      <c r="A469" s="4">
        <v>42530</v>
      </c>
      <c r="B469" t="s">
        <v>30</v>
      </c>
      <c r="C469">
        <v>402</v>
      </c>
      <c r="D469">
        <v>5</v>
      </c>
      <c r="E469">
        <v>1</v>
      </c>
      <c r="F469" t="s">
        <v>31</v>
      </c>
      <c r="G469" t="s">
        <v>32</v>
      </c>
      <c r="H469" t="s">
        <v>33</v>
      </c>
      <c r="I469" t="s">
        <v>84</v>
      </c>
      <c r="O469" s="5"/>
      <c r="P469" s="5"/>
      <c r="Z469" t="s">
        <v>39</v>
      </c>
    </row>
    <row r="470" spans="1:26" x14ac:dyDescent="0.35">
      <c r="A470" s="4">
        <v>42530</v>
      </c>
      <c r="B470" t="s">
        <v>30</v>
      </c>
      <c r="C470">
        <v>402</v>
      </c>
      <c r="D470">
        <v>6</v>
      </c>
      <c r="E470">
        <v>1</v>
      </c>
      <c r="F470" t="s">
        <v>31</v>
      </c>
      <c r="G470" t="s">
        <v>32</v>
      </c>
      <c r="H470" t="s">
        <v>33</v>
      </c>
      <c r="I470" t="s">
        <v>84</v>
      </c>
      <c r="O470" s="5"/>
      <c r="P470" s="5"/>
      <c r="Z470" t="s">
        <v>39</v>
      </c>
    </row>
    <row r="471" spans="1:26" x14ac:dyDescent="0.35">
      <c r="A471" s="4">
        <v>42530</v>
      </c>
      <c r="B471" t="s">
        <v>30</v>
      </c>
      <c r="C471">
        <v>402</v>
      </c>
      <c r="D471">
        <v>6</v>
      </c>
      <c r="E471">
        <v>2</v>
      </c>
      <c r="F471" t="s">
        <v>31</v>
      </c>
      <c r="G471" t="s">
        <v>32</v>
      </c>
      <c r="H471" t="s">
        <v>33</v>
      </c>
      <c r="I471" t="s">
        <v>84</v>
      </c>
      <c r="O471" s="5"/>
      <c r="P471" s="5"/>
      <c r="Z471" t="s">
        <v>39</v>
      </c>
    </row>
    <row r="472" spans="1:26" x14ac:dyDescent="0.35">
      <c r="A472" s="4">
        <v>42530</v>
      </c>
      <c r="B472" t="s">
        <v>30</v>
      </c>
      <c r="C472">
        <v>402</v>
      </c>
      <c r="D472">
        <v>7</v>
      </c>
      <c r="E472">
        <v>1</v>
      </c>
      <c r="F472" t="s">
        <v>31</v>
      </c>
      <c r="G472" t="s">
        <v>32</v>
      </c>
      <c r="H472" t="s">
        <v>33</v>
      </c>
      <c r="I472" t="s">
        <v>84</v>
      </c>
      <c r="O472" s="5"/>
      <c r="P472" s="5"/>
      <c r="Z472" t="s">
        <v>39</v>
      </c>
    </row>
    <row r="473" spans="1:26" x14ac:dyDescent="0.35">
      <c r="A473" s="4">
        <v>42530</v>
      </c>
      <c r="B473" t="s">
        <v>30</v>
      </c>
      <c r="C473">
        <v>402</v>
      </c>
      <c r="D473">
        <v>7</v>
      </c>
      <c r="E473">
        <v>2</v>
      </c>
      <c r="F473" t="s">
        <v>31</v>
      </c>
      <c r="G473" t="s">
        <v>32</v>
      </c>
      <c r="H473" t="s">
        <v>33</v>
      </c>
      <c r="I473" t="s">
        <v>84</v>
      </c>
      <c r="O473" s="5"/>
      <c r="P473" s="5"/>
      <c r="Z473" t="s">
        <v>39</v>
      </c>
    </row>
    <row r="474" spans="1:26" x14ac:dyDescent="0.35">
      <c r="A474" s="4">
        <v>42530</v>
      </c>
      <c r="B474" t="s">
        <v>30</v>
      </c>
      <c r="C474">
        <v>402</v>
      </c>
      <c r="D474">
        <v>8</v>
      </c>
      <c r="E474">
        <v>1</v>
      </c>
      <c r="F474" t="s">
        <v>31</v>
      </c>
      <c r="G474" t="s">
        <v>32</v>
      </c>
      <c r="H474" t="s">
        <v>33</v>
      </c>
      <c r="I474" t="s">
        <v>84</v>
      </c>
      <c r="O474" s="5"/>
      <c r="P474" s="5"/>
      <c r="Z474" t="s">
        <v>39</v>
      </c>
    </row>
    <row r="475" spans="1:26" x14ac:dyDescent="0.35">
      <c r="A475" s="4">
        <v>42530</v>
      </c>
      <c r="B475" t="s">
        <v>30</v>
      </c>
      <c r="C475">
        <v>402</v>
      </c>
      <c r="D475">
        <v>8</v>
      </c>
      <c r="E475">
        <v>2</v>
      </c>
      <c r="F475" t="s">
        <v>31</v>
      </c>
      <c r="G475" t="s">
        <v>32</v>
      </c>
      <c r="H475" t="s">
        <v>33</v>
      </c>
      <c r="I475" t="s">
        <v>84</v>
      </c>
      <c r="O475" s="5"/>
      <c r="P475" s="5"/>
      <c r="Z475" t="s">
        <v>39</v>
      </c>
    </row>
    <row r="476" spans="1:26" x14ac:dyDescent="0.35">
      <c r="A476" s="4">
        <v>42530</v>
      </c>
      <c r="B476" t="s">
        <v>30</v>
      </c>
      <c r="C476">
        <v>402</v>
      </c>
      <c r="D476">
        <v>9</v>
      </c>
      <c r="E476">
        <v>1</v>
      </c>
      <c r="F476" t="s">
        <v>31</v>
      </c>
      <c r="G476" t="s">
        <v>32</v>
      </c>
      <c r="H476" t="s">
        <v>33</v>
      </c>
      <c r="I476" t="s">
        <v>84</v>
      </c>
      <c r="O476" s="5"/>
      <c r="P476" s="5"/>
      <c r="Z476" t="s">
        <v>39</v>
      </c>
    </row>
    <row r="477" spans="1:26" x14ac:dyDescent="0.35">
      <c r="A477" s="4">
        <v>42530</v>
      </c>
      <c r="B477" t="s">
        <v>30</v>
      </c>
      <c r="C477">
        <v>402</v>
      </c>
      <c r="D477">
        <v>9</v>
      </c>
      <c r="E477">
        <v>2</v>
      </c>
      <c r="F477" t="s">
        <v>31</v>
      </c>
      <c r="G477" t="s">
        <v>32</v>
      </c>
      <c r="H477" t="s">
        <v>33</v>
      </c>
      <c r="I477" t="s">
        <v>84</v>
      </c>
      <c r="O477" s="5"/>
      <c r="P477" s="5"/>
      <c r="Z477" t="s">
        <v>39</v>
      </c>
    </row>
    <row r="478" spans="1:26" x14ac:dyDescent="0.35">
      <c r="A478" s="4">
        <v>42530</v>
      </c>
      <c r="B478" t="s">
        <v>30</v>
      </c>
      <c r="C478">
        <v>402</v>
      </c>
      <c r="D478">
        <v>10</v>
      </c>
      <c r="E478">
        <v>1</v>
      </c>
      <c r="F478" t="s">
        <v>31</v>
      </c>
      <c r="G478" t="s">
        <v>32</v>
      </c>
      <c r="H478" t="s">
        <v>33</v>
      </c>
      <c r="I478" t="s">
        <v>84</v>
      </c>
      <c r="O478" s="5"/>
      <c r="P478" s="5"/>
      <c r="Z478" t="s">
        <v>39</v>
      </c>
    </row>
    <row r="479" spans="1:26" x14ac:dyDescent="0.35">
      <c r="A479" s="4">
        <v>42530</v>
      </c>
      <c r="B479" t="s">
        <v>30</v>
      </c>
      <c r="C479">
        <v>402</v>
      </c>
      <c r="D479">
        <v>10</v>
      </c>
      <c r="E479">
        <v>2</v>
      </c>
      <c r="F479" t="s">
        <v>31</v>
      </c>
      <c r="G479" t="s">
        <v>32</v>
      </c>
      <c r="H479" t="s">
        <v>33</v>
      </c>
      <c r="I479" t="s">
        <v>84</v>
      </c>
      <c r="O479" s="5"/>
      <c r="P479" s="5"/>
      <c r="Z479" t="s">
        <v>39</v>
      </c>
    </row>
    <row r="480" spans="1:26" x14ac:dyDescent="0.35">
      <c r="A480" s="4">
        <v>42530</v>
      </c>
      <c r="B480" t="s">
        <v>30</v>
      </c>
      <c r="C480">
        <v>201</v>
      </c>
      <c r="D480">
        <v>1</v>
      </c>
      <c r="E480">
        <v>1</v>
      </c>
      <c r="F480" t="s">
        <v>42</v>
      </c>
      <c r="G480" t="s">
        <v>32</v>
      </c>
      <c r="H480" t="s">
        <v>33</v>
      </c>
      <c r="I480" t="s">
        <v>59</v>
      </c>
      <c r="O480" s="5"/>
      <c r="P480" s="5"/>
      <c r="Z480" t="s">
        <v>39</v>
      </c>
    </row>
    <row r="481" spans="1:26" x14ac:dyDescent="0.35">
      <c r="A481" s="4">
        <v>42530</v>
      </c>
      <c r="B481" t="s">
        <v>30</v>
      </c>
      <c r="C481">
        <v>201</v>
      </c>
      <c r="D481">
        <v>1</v>
      </c>
      <c r="E481">
        <v>2</v>
      </c>
      <c r="F481" t="s">
        <v>42</v>
      </c>
      <c r="G481" t="s">
        <v>32</v>
      </c>
      <c r="H481" t="s">
        <v>33</v>
      </c>
      <c r="I481" t="s">
        <v>59</v>
      </c>
      <c r="O481" s="5"/>
      <c r="P481" s="5"/>
      <c r="Z481" t="s">
        <v>39</v>
      </c>
    </row>
    <row r="482" spans="1:26" x14ac:dyDescent="0.35">
      <c r="A482" s="4">
        <v>42530</v>
      </c>
      <c r="B482" t="s">
        <v>30</v>
      </c>
      <c r="C482">
        <v>201</v>
      </c>
      <c r="D482">
        <v>2</v>
      </c>
      <c r="E482">
        <v>1</v>
      </c>
      <c r="F482" t="s">
        <v>42</v>
      </c>
      <c r="G482" t="s">
        <v>32</v>
      </c>
      <c r="H482" t="s">
        <v>33</v>
      </c>
      <c r="I482" t="s">
        <v>59</v>
      </c>
      <c r="O482" s="5"/>
      <c r="P482" s="5"/>
      <c r="Z482" t="s">
        <v>39</v>
      </c>
    </row>
    <row r="483" spans="1:26" x14ac:dyDescent="0.35">
      <c r="A483" s="4">
        <v>42530</v>
      </c>
      <c r="B483" t="s">
        <v>30</v>
      </c>
      <c r="C483">
        <v>201</v>
      </c>
      <c r="D483">
        <v>3</v>
      </c>
      <c r="E483">
        <v>1</v>
      </c>
      <c r="F483" t="s">
        <v>42</v>
      </c>
      <c r="G483" t="s">
        <v>32</v>
      </c>
      <c r="H483" t="s">
        <v>33</v>
      </c>
      <c r="I483" t="s">
        <v>59</v>
      </c>
      <c r="O483" s="5"/>
      <c r="P483" s="5"/>
      <c r="Z483" t="s">
        <v>39</v>
      </c>
    </row>
    <row r="484" spans="1:26" x14ac:dyDescent="0.35">
      <c r="A484" s="4">
        <v>42530</v>
      </c>
      <c r="B484" t="s">
        <v>30</v>
      </c>
      <c r="C484">
        <v>201</v>
      </c>
      <c r="D484">
        <v>4</v>
      </c>
      <c r="E484">
        <v>1</v>
      </c>
      <c r="F484" t="s">
        <v>42</v>
      </c>
      <c r="G484" t="s">
        <v>32</v>
      </c>
      <c r="H484" t="s">
        <v>33</v>
      </c>
      <c r="I484" t="s">
        <v>59</v>
      </c>
      <c r="O484" s="5"/>
      <c r="P484" s="5"/>
      <c r="Z484" t="s">
        <v>39</v>
      </c>
    </row>
    <row r="485" spans="1:26" x14ac:dyDescent="0.35">
      <c r="A485" s="4">
        <v>42530</v>
      </c>
      <c r="B485" t="s">
        <v>30</v>
      </c>
      <c r="C485">
        <v>201</v>
      </c>
      <c r="D485">
        <v>6</v>
      </c>
      <c r="E485">
        <v>1</v>
      </c>
      <c r="F485" t="s">
        <v>42</v>
      </c>
      <c r="G485" t="s">
        <v>32</v>
      </c>
      <c r="H485" t="s">
        <v>33</v>
      </c>
      <c r="I485" t="s">
        <v>59</v>
      </c>
      <c r="O485" s="5"/>
      <c r="P485" s="5"/>
      <c r="Z485" t="s">
        <v>39</v>
      </c>
    </row>
    <row r="486" spans="1:26" x14ac:dyDescent="0.35">
      <c r="A486" s="4">
        <v>42530</v>
      </c>
      <c r="B486" t="s">
        <v>30</v>
      </c>
      <c r="C486">
        <v>201</v>
      </c>
      <c r="D486">
        <v>6</v>
      </c>
      <c r="E486">
        <v>2</v>
      </c>
      <c r="F486" t="s">
        <v>42</v>
      </c>
      <c r="G486" t="s">
        <v>32</v>
      </c>
      <c r="H486" t="s">
        <v>33</v>
      </c>
      <c r="I486" t="s">
        <v>59</v>
      </c>
      <c r="O486" s="5"/>
      <c r="P486" s="5"/>
      <c r="Z486" t="s">
        <v>39</v>
      </c>
    </row>
    <row r="487" spans="1:26" x14ac:dyDescent="0.35">
      <c r="A487" s="4">
        <v>42530</v>
      </c>
      <c r="B487" t="s">
        <v>30</v>
      </c>
      <c r="C487">
        <v>201</v>
      </c>
      <c r="D487">
        <v>7</v>
      </c>
      <c r="E487">
        <v>1</v>
      </c>
      <c r="F487" t="s">
        <v>42</v>
      </c>
      <c r="G487" t="s">
        <v>32</v>
      </c>
      <c r="H487" t="s">
        <v>33</v>
      </c>
      <c r="I487" t="s">
        <v>59</v>
      </c>
      <c r="O487" s="5"/>
      <c r="P487" s="5"/>
      <c r="Z487" t="s">
        <v>39</v>
      </c>
    </row>
    <row r="488" spans="1:26" x14ac:dyDescent="0.35">
      <c r="A488" s="4">
        <v>42530</v>
      </c>
      <c r="B488" t="s">
        <v>30</v>
      </c>
      <c r="C488">
        <v>201</v>
      </c>
      <c r="D488">
        <v>7</v>
      </c>
      <c r="E488">
        <v>2</v>
      </c>
      <c r="F488" t="s">
        <v>42</v>
      </c>
      <c r="G488" t="s">
        <v>32</v>
      </c>
      <c r="H488" t="s">
        <v>33</v>
      </c>
      <c r="I488" t="s">
        <v>59</v>
      </c>
      <c r="O488" s="5"/>
      <c r="P488" s="5"/>
      <c r="Z488" t="s">
        <v>39</v>
      </c>
    </row>
    <row r="489" spans="1:26" x14ac:dyDescent="0.35">
      <c r="A489" s="4">
        <v>42530</v>
      </c>
      <c r="B489" t="s">
        <v>30</v>
      </c>
      <c r="C489">
        <v>201</v>
      </c>
      <c r="D489">
        <v>8</v>
      </c>
      <c r="E489">
        <v>1</v>
      </c>
      <c r="F489" t="s">
        <v>42</v>
      </c>
      <c r="G489" t="s">
        <v>32</v>
      </c>
      <c r="H489" t="s">
        <v>33</v>
      </c>
      <c r="I489" t="s">
        <v>59</v>
      </c>
      <c r="O489" s="5"/>
      <c r="P489" s="5"/>
      <c r="Z489" t="s">
        <v>39</v>
      </c>
    </row>
    <row r="490" spans="1:26" x14ac:dyDescent="0.35">
      <c r="A490" s="4">
        <v>42530</v>
      </c>
      <c r="B490" t="s">
        <v>30</v>
      </c>
      <c r="C490">
        <v>201</v>
      </c>
      <c r="D490">
        <v>10</v>
      </c>
      <c r="E490">
        <v>1</v>
      </c>
      <c r="F490" t="s">
        <v>42</v>
      </c>
      <c r="G490" t="s">
        <v>32</v>
      </c>
      <c r="H490" t="s">
        <v>33</v>
      </c>
      <c r="I490" t="s">
        <v>59</v>
      </c>
      <c r="O490" s="5"/>
      <c r="P490" s="5"/>
      <c r="Z490" t="s">
        <v>39</v>
      </c>
    </row>
    <row r="491" spans="1:26" x14ac:dyDescent="0.35">
      <c r="A491" s="4">
        <v>42530</v>
      </c>
      <c r="B491" t="s">
        <v>30</v>
      </c>
      <c r="C491">
        <v>203</v>
      </c>
      <c r="D491">
        <v>2</v>
      </c>
      <c r="E491">
        <v>1</v>
      </c>
      <c r="F491" t="s">
        <v>42</v>
      </c>
      <c r="G491" t="s">
        <v>32</v>
      </c>
      <c r="H491" t="s">
        <v>33</v>
      </c>
      <c r="I491" t="s">
        <v>59</v>
      </c>
      <c r="O491" s="5"/>
      <c r="P491" s="5"/>
      <c r="Z491" t="s">
        <v>39</v>
      </c>
    </row>
    <row r="492" spans="1:26" x14ac:dyDescent="0.35">
      <c r="A492" s="4">
        <v>42530</v>
      </c>
      <c r="B492" t="s">
        <v>30</v>
      </c>
      <c r="C492">
        <v>203</v>
      </c>
      <c r="D492">
        <v>2</v>
      </c>
      <c r="E492">
        <v>2</v>
      </c>
      <c r="F492" t="s">
        <v>42</v>
      </c>
      <c r="G492" t="s">
        <v>32</v>
      </c>
      <c r="H492" t="s">
        <v>33</v>
      </c>
      <c r="I492" t="s">
        <v>59</v>
      </c>
      <c r="O492" s="5"/>
      <c r="P492" s="5"/>
      <c r="Z492" t="s">
        <v>39</v>
      </c>
    </row>
    <row r="493" spans="1:26" x14ac:dyDescent="0.35">
      <c r="A493" s="4">
        <v>42530</v>
      </c>
      <c r="B493" t="s">
        <v>30</v>
      </c>
      <c r="C493">
        <v>203</v>
      </c>
      <c r="D493">
        <v>3</v>
      </c>
      <c r="E493">
        <v>1</v>
      </c>
      <c r="F493" t="s">
        <v>42</v>
      </c>
      <c r="G493" t="s">
        <v>32</v>
      </c>
      <c r="H493" t="s">
        <v>33</v>
      </c>
      <c r="I493" t="s">
        <v>59</v>
      </c>
      <c r="O493" s="5"/>
      <c r="P493" s="5"/>
      <c r="Z493" t="s">
        <v>39</v>
      </c>
    </row>
    <row r="494" spans="1:26" x14ac:dyDescent="0.35">
      <c r="A494" s="4">
        <v>42530</v>
      </c>
      <c r="B494" t="s">
        <v>30</v>
      </c>
      <c r="C494">
        <v>203</v>
      </c>
      <c r="D494">
        <v>3</v>
      </c>
      <c r="E494">
        <v>2</v>
      </c>
      <c r="F494" t="s">
        <v>42</v>
      </c>
      <c r="G494" t="s">
        <v>32</v>
      </c>
      <c r="H494" t="s">
        <v>33</v>
      </c>
      <c r="I494" t="s">
        <v>59</v>
      </c>
      <c r="O494" s="5"/>
      <c r="P494" s="5"/>
      <c r="Z494" t="s">
        <v>39</v>
      </c>
    </row>
    <row r="495" spans="1:26" x14ac:dyDescent="0.35">
      <c r="A495" s="4">
        <v>42530</v>
      </c>
      <c r="B495" t="s">
        <v>30</v>
      </c>
      <c r="C495">
        <v>203</v>
      </c>
      <c r="D495">
        <v>4</v>
      </c>
      <c r="E495">
        <v>1</v>
      </c>
      <c r="F495" t="s">
        <v>42</v>
      </c>
      <c r="G495" t="s">
        <v>32</v>
      </c>
      <c r="H495" t="s">
        <v>33</v>
      </c>
      <c r="I495" t="s">
        <v>59</v>
      </c>
      <c r="O495" s="5"/>
      <c r="P495" s="5"/>
      <c r="Z495" t="s">
        <v>39</v>
      </c>
    </row>
    <row r="496" spans="1:26" x14ac:dyDescent="0.35">
      <c r="A496" s="4">
        <v>42530</v>
      </c>
      <c r="B496" t="s">
        <v>30</v>
      </c>
      <c r="C496">
        <v>203</v>
      </c>
      <c r="D496">
        <v>4</v>
      </c>
      <c r="E496">
        <v>2</v>
      </c>
      <c r="F496" t="s">
        <v>42</v>
      </c>
      <c r="G496" t="s">
        <v>32</v>
      </c>
      <c r="H496" t="s">
        <v>33</v>
      </c>
      <c r="I496" t="s">
        <v>59</v>
      </c>
      <c r="O496" s="5"/>
      <c r="P496" s="5"/>
      <c r="Z496" t="s">
        <v>39</v>
      </c>
    </row>
    <row r="497" spans="1:26" x14ac:dyDescent="0.35">
      <c r="A497" s="4">
        <v>42530</v>
      </c>
      <c r="B497" t="s">
        <v>30</v>
      </c>
      <c r="C497">
        <v>203</v>
      </c>
      <c r="D497">
        <v>5</v>
      </c>
      <c r="E497">
        <v>1</v>
      </c>
      <c r="F497" t="s">
        <v>42</v>
      </c>
      <c r="G497" t="s">
        <v>32</v>
      </c>
      <c r="H497" t="s">
        <v>33</v>
      </c>
      <c r="I497" t="s">
        <v>59</v>
      </c>
      <c r="O497" s="5"/>
      <c r="P497" s="5"/>
      <c r="Z497" t="s">
        <v>39</v>
      </c>
    </row>
    <row r="498" spans="1:26" x14ac:dyDescent="0.35">
      <c r="A498" s="4">
        <v>42530</v>
      </c>
      <c r="B498" t="s">
        <v>30</v>
      </c>
      <c r="C498">
        <v>203</v>
      </c>
      <c r="D498">
        <v>7</v>
      </c>
      <c r="E498">
        <v>1</v>
      </c>
      <c r="F498" t="s">
        <v>42</v>
      </c>
      <c r="G498" t="s">
        <v>32</v>
      </c>
      <c r="H498" t="s">
        <v>33</v>
      </c>
      <c r="I498" t="s">
        <v>59</v>
      </c>
      <c r="O498" s="5"/>
      <c r="P498" s="5"/>
      <c r="Z498" t="s">
        <v>39</v>
      </c>
    </row>
    <row r="499" spans="1:26" x14ac:dyDescent="0.35">
      <c r="A499" s="4">
        <v>42530</v>
      </c>
      <c r="B499" t="s">
        <v>30</v>
      </c>
      <c r="C499">
        <v>203</v>
      </c>
      <c r="D499">
        <v>8</v>
      </c>
      <c r="E499">
        <v>1</v>
      </c>
      <c r="F499" t="s">
        <v>42</v>
      </c>
      <c r="G499" t="s">
        <v>32</v>
      </c>
      <c r="H499" t="s">
        <v>33</v>
      </c>
      <c r="I499" t="s">
        <v>59</v>
      </c>
      <c r="O499" s="5"/>
      <c r="P499" s="5"/>
      <c r="Z499" t="s">
        <v>39</v>
      </c>
    </row>
    <row r="500" spans="1:26" x14ac:dyDescent="0.35">
      <c r="A500" s="4">
        <v>42530</v>
      </c>
      <c r="B500" t="s">
        <v>30</v>
      </c>
      <c r="C500">
        <v>203</v>
      </c>
      <c r="D500">
        <v>9</v>
      </c>
      <c r="E500">
        <v>1</v>
      </c>
      <c r="F500" t="s">
        <v>42</v>
      </c>
      <c r="G500" t="s">
        <v>32</v>
      </c>
      <c r="H500" t="s">
        <v>33</v>
      </c>
      <c r="I500" t="s">
        <v>59</v>
      </c>
      <c r="O500" s="5"/>
      <c r="P500" s="5"/>
      <c r="Z500" t="s">
        <v>39</v>
      </c>
    </row>
    <row r="501" spans="1:26" x14ac:dyDescent="0.35">
      <c r="A501" s="4">
        <v>42530</v>
      </c>
      <c r="B501" t="s">
        <v>30</v>
      </c>
      <c r="C501">
        <v>203</v>
      </c>
      <c r="D501">
        <v>9</v>
      </c>
      <c r="E501">
        <v>2</v>
      </c>
      <c r="F501" t="s">
        <v>42</v>
      </c>
      <c r="G501" t="s">
        <v>32</v>
      </c>
      <c r="H501" t="s">
        <v>33</v>
      </c>
      <c r="I501" t="s">
        <v>59</v>
      </c>
      <c r="O501" s="5"/>
      <c r="P501" s="5"/>
      <c r="Z501" t="s">
        <v>39</v>
      </c>
    </row>
    <row r="502" spans="1:26" x14ac:dyDescent="0.35">
      <c r="A502" s="4">
        <v>42530</v>
      </c>
      <c r="B502" t="s">
        <v>30</v>
      </c>
      <c r="C502">
        <v>202</v>
      </c>
      <c r="D502">
        <v>2</v>
      </c>
      <c r="E502">
        <v>1</v>
      </c>
      <c r="F502" t="s">
        <v>42</v>
      </c>
      <c r="G502" t="s">
        <v>32</v>
      </c>
      <c r="H502" t="s">
        <v>33</v>
      </c>
      <c r="I502" t="s">
        <v>59</v>
      </c>
      <c r="O502" s="5"/>
      <c r="P502" s="5"/>
      <c r="Z502" t="s">
        <v>39</v>
      </c>
    </row>
    <row r="503" spans="1:26" x14ac:dyDescent="0.35">
      <c r="A503" s="4">
        <v>42530</v>
      </c>
      <c r="B503" t="s">
        <v>30</v>
      </c>
      <c r="C503">
        <v>202</v>
      </c>
      <c r="D503">
        <v>2</v>
      </c>
      <c r="E503">
        <v>2</v>
      </c>
      <c r="F503" t="s">
        <v>42</v>
      </c>
      <c r="G503" t="s">
        <v>32</v>
      </c>
      <c r="H503" t="s">
        <v>33</v>
      </c>
      <c r="I503" t="s">
        <v>59</v>
      </c>
      <c r="O503" s="5"/>
      <c r="P503" s="5"/>
      <c r="Z503" t="s">
        <v>39</v>
      </c>
    </row>
    <row r="504" spans="1:26" x14ac:dyDescent="0.35">
      <c r="A504" s="4">
        <v>42530</v>
      </c>
      <c r="B504" t="s">
        <v>30</v>
      </c>
      <c r="C504">
        <v>202</v>
      </c>
      <c r="D504">
        <v>3</v>
      </c>
      <c r="E504">
        <v>1</v>
      </c>
      <c r="F504" t="s">
        <v>42</v>
      </c>
      <c r="G504" t="s">
        <v>32</v>
      </c>
      <c r="H504" t="s">
        <v>33</v>
      </c>
      <c r="I504" t="s">
        <v>59</v>
      </c>
      <c r="O504" s="5"/>
      <c r="P504" s="5"/>
      <c r="Z504" t="s">
        <v>39</v>
      </c>
    </row>
    <row r="505" spans="1:26" x14ac:dyDescent="0.35">
      <c r="A505" s="4">
        <v>42530</v>
      </c>
      <c r="B505" t="s">
        <v>30</v>
      </c>
      <c r="C505">
        <v>202</v>
      </c>
      <c r="D505">
        <v>3</v>
      </c>
      <c r="E505">
        <v>2</v>
      </c>
      <c r="F505" t="s">
        <v>42</v>
      </c>
      <c r="G505" t="s">
        <v>32</v>
      </c>
      <c r="H505" t="s">
        <v>33</v>
      </c>
      <c r="I505" t="s">
        <v>59</v>
      </c>
      <c r="O505" s="5"/>
      <c r="P505" s="5"/>
      <c r="Z505" t="s">
        <v>39</v>
      </c>
    </row>
    <row r="506" spans="1:26" x14ac:dyDescent="0.35">
      <c r="A506" s="4">
        <v>42530</v>
      </c>
      <c r="B506" t="s">
        <v>30</v>
      </c>
      <c r="C506">
        <v>202</v>
      </c>
      <c r="D506">
        <v>5</v>
      </c>
      <c r="E506">
        <v>1</v>
      </c>
      <c r="F506" t="s">
        <v>42</v>
      </c>
      <c r="G506" t="s">
        <v>32</v>
      </c>
      <c r="H506" t="s">
        <v>33</v>
      </c>
      <c r="I506" t="s">
        <v>59</v>
      </c>
      <c r="O506" s="5"/>
      <c r="P506" s="5"/>
      <c r="Z506" t="s">
        <v>39</v>
      </c>
    </row>
    <row r="507" spans="1:26" x14ac:dyDescent="0.35">
      <c r="A507" s="4">
        <v>42530</v>
      </c>
      <c r="B507" t="s">
        <v>30</v>
      </c>
      <c r="C507">
        <v>202</v>
      </c>
      <c r="D507">
        <v>7</v>
      </c>
      <c r="E507">
        <v>1</v>
      </c>
      <c r="F507" t="s">
        <v>42</v>
      </c>
      <c r="G507" t="s">
        <v>32</v>
      </c>
      <c r="H507" t="s">
        <v>33</v>
      </c>
      <c r="I507" t="s">
        <v>59</v>
      </c>
      <c r="O507" s="5"/>
      <c r="P507" s="5"/>
      <c r="Z507" t="s">
        <v>39</v>
      </c>
    </row>
    <row r="508" spans="1:26" x14ac:dyDescent="0.35">
      <c r="A508" s="4">
        <v>42530</v>
      </c>
      <c r="B508" t="s">
        <v>30</v>
      </c>
      <c r="C508">
        <v>202</v>
      </c>
      <c r="D508">
        <v>8</v>
      </c>
      <c r="E508">
        <v>1</v>
      </c>
      <c r="F508" t="s">
        <v>42</v>
      </c>
      <c r="G508" t="s">
        <v>32</v>
      </c>
      <c r="H508" t="s">
        <v>33</v>
      </c>
      <c r="I508" t="s">
        <v>59</v>
      </c>
      <c r="O508" s="5"/>
      <c r="P508" s="5"/>
      <c r="Z508" t="s">
        <v>39</v>
      </c>
    </row>
    <row r="509" spans="1:26" x14ac:dyDescent="0.35">
      <c r="A509" s="4">
        <v>42530</v>
      </c>
      <c r="B509" t="s">
        <v>30</v>
      </c>
      <c r="C509">
        <v>304</v>
      </c>
      <c r="D509">
        <v>1</v>
      </c>
      <c r="E509">
        <v>1</v>
      </c>
      <c r="F509" t="s">
        <v>42</v>
      </c>
      <c r="G509" t="s">
        <v>32</v>
      </c>
      <c r="H509" t="s">
        <v>33</v>
      </c>
      <c r="I509" t="s">
        <v>59</v>
      </c>
      <c r="O509" s="5"/>
      <c r="P509" s="5"/>
      <c r="Z509" t="s">
        <v>39</v>
      </c>
    </row>
    <row r="510" spans="1:26" x14ac:dyDescent="0.35">
      <c r="A510" s="4">
        <v>42530</v>
      </c>
      <c r="B510" t="s">
        <v>30</v>
      </c>
      <c r="C510">
        <v>304</v>
      </c>
      <c r="D510">
        <v>7</v>
      </c>
      <c r="E510">
        <v>1</v>
      </c>
      <c r="F510" t="s">
        <v>42</v>
      </c>
      <c r="G510" t="s">
        <v>32</v>
      </c>
      <c r="H510" t="s">
        <v>33</v>
      </c>
      <c r="I510" t="s">
        <v>59</v>
      </c>
      <c r="O510" s="5"/>
      <c r="P510" s="5"/>
      <c r="Z510" t="s">
        <v>39</v>
      </c>
    </row>
    <row r="511" spans="1:26" x14ac:dyDescent="0.35">
      <c r="A511" s="4">
        <v>42530</v>
      </c>
      <c r="B511" t="s">
        <v>30</v>
      </c>
      <c r="C511">
        <v>304</v>
      </c>
      <c r="D511">
        <v>8</v>
      </c>
      <c r="E511">
        <v>1</v>
      </c>
      <c r="F511" t="s">
        <v>42</v>
      </c>
      <c r="G511" t="s">
        <v>32</v>
      </c>
      <c r="H511" t="s">
        <v>33</v>
      </c>
      <c r="I511" t="s">
        <v>59</v>
      </c>
      <c r="O511" s="5"/>
      <c r="P511" s="5"/>
      <c r="Z511" t="s">
        <v>39</v>
      </c>
    </row>
    <row r="512" spans="1:26" x14ac:dyDescent="0.35">
      <c r="A512" s="4">
        <v>42530</v>
      </c>
      <c r="B512" t="s">
        <v>30</v>
      </c>
      <c r="C512">
        <v>304</v>
      </c>
      <c r="D512">
        <v>10</v>
      </c>
      <c r="E512">
        <v>1</v>
      </c>
      <c r="F512" t="s">
        <v>42</v>
      </c>
      <c r="G512" t="s">
        <v>32</v>
      </c>
      <c r="H512" t="s">
        <v>33</v>
      </c>
      <c r="I512" t="s">
        <v>59</v>
      </c>
      <c r="O512" s="5"/>
      <c r="P512" s="5"/>
      <c r="Z512" t="s">
        <v>39</v>
      </c>
    </row>
    <row r="513" spans="1:30" x14ac:dyDescent="0.35">
      <c r="A513" s="4">
        <v>42530</v>
      </c>
      <c r="B513" t="s">
        <v>30</v>
      </c>
      <c r="C513">
        <v>111</v>
      </c>
      <c r="D513">
        <v>8</v>
      </c>
      <c r="E513">
        <v>1</v>
      </c>
      <c r="F513" t="s">
        <v>31</v>
      </c>
      <c r="G513" t="s">
        <v>32</v>
      </c>
      <c r="H513" t="s">
        <v>33</v>
      </c>
      <c r="I513" t="s">
        <v>59</v>
      </c>
      <c r="O513" s="5"/>
      <c r="P513" s="5"/>
      <c r="Z513" t="s">
        <v>39</v>
      </c>
    </row>
    <row r="514" spans="1:30" x14ac:dyDescent="0.35">
      <c r="A514" s="4">
        <v>42530</v>
      </c>
      <c r="B514" t="s">
        <v>30</v>
      </c>
      <c r="C514">
        <v>111</v>
      </c>
      <c r="D514">
        <v>8</v>
      </c>
      <c r="E514">
        <v>2</v>
      </c>
      <c r="F514" t="s">
        <v>31</v>
      </c>
      <c r="G514" t="s">
        <v>32</v>
      </c>
      <c r="H514" t="s">
        <v>33</v>
      </c>
      <c r="I514" t="s">
        <v>59</v>
      </c>
      <c r="O514" s="5"/>
      <c r="P514" s="5"/>
      <c r="Z514" t="s">
        <v>39</v>
      </c>
    </row>
    <row r="515" spans="1:30" x14ac:dyDescent="0.35">
      <c r="A515" s="4">
        <v>42530</v>
      </c>
      <c r="B515" t="s">
        <v>30</v>
      </c>
      <c r="C515">
        <v>111</v>
      </c>
      <c r="D515">
        <v>9</v>
      </c>
      <c r="E515">
        <v>1</v>
      </c>
      <c r="F515" t="s">
        <v>31</v>
      </c>
      <c r="G515" t="s">
        <v>32</v>
      </c>
      <c r="H515" t="s">
        <v>33</v>
      </c>
      <c r="I515" t="s">
        <v>59</v>
      </c>
      <c r="O515" s="5"/>
      <c r="P515" s="5"/>
      <c r="Z515" t="s">
        <v>39</v>
      </c>
    </row>
    <row r="516" spans="1:30" x14ac:dyDescent="0.35">
      <c r="A516" s="4">
        <v>42530</v>
      </c>
      <c r="B516" t="s">
        <v>30</v>
      </c>
      <c r="C516">
        <v>111</v>
      </c>
      <c r="D516">
        <v>9</v>
      </c>
      <c r="E516">
        <v>2</v>
      </c>
      <c r="F516" t="s">
        <v>31</v>
      </c>
      <c r="G516" t="s">
        <v>32</v>
      </c>
      <c r="H516" t="s">
        <v>33</v>
      </c>
      <c r="I516" t="s">
        <v>59</v>
      </c>
      <c r="O516" s="5"/>
      <c r="P516" s="5"/>
      <c r="Z516" t="s">
        <v>39</v>
      </c>
    </row>
    <row r="517" spans="1:30" x14ac:dyDescent="0.35">
      <c r="A517" s="4">
        <v>42530</v>
      </c>
      <c r="B517" t="s">
        <v>30</v>
      </c>
      <c r="C517">
        <v>112</v>
      </c>
      <c r="D517">
        <v>4</v>
      </c>
      <c r="E517">
        <v>2</v>
      </c>
      <c r="F517" t="s">
        <v>31</v>
      </c>
      <c r="G517" t="s">
        <v>32</v>
      </c>
      <c r="H517" t="s">
        <v>33</v>
      </c>
      <c r="I517" t="s">
        <v>59</v>
      </c>
      <c r="O517" s="5"/>
      <c r="P517" s="5"/>
      <c r="Z517" t="s">
        <v>39</v>
      </c>
    </row>
    <row r="518" spans="1:30" x14ac:dyDescent="0.35">
      <c r="A518" s="4">
        <v>42530</v>
      </c>
      <c r="B518" t="s">
        <v>30</v>
      </c>
      <c r="C518">
        <v>112</v>
      </c>
      <c r="D518">
        <v>9</v>
      </c>
      <c r="E518">
        <v>1</v>
      </c>
      <c r="F518" t="s">
        <v>31</v>
      </c>
      <c r="G518" t="s">
        <v>32</v>
      </c>
      <c r="H518" t="s">
        <v>33</v>
      </c>
      <c r="I518" t="s">
        <v>59</v>
      </c>
      <c r="O518" s="5"/>
      <c r="P518" s="5"/>
      <c r="Z518" t="s">
        <v>39</v>
      </c>
    </row>
    <row r="519" spans="1:30" x14ac:dyDescent="0.35">
      <c r="A519" s="4">
        <v>42530</v>
      </c>
      <c r="B519" t="s">
        <v>30</v>
      </c>
      <c r="C519">
        <v>112</v>
      </c>
      <c r="D519">
        <v>9</v>
      </c>
      <c r="E519">
        <v>2</v>
      </c>
      <c r="F519" t="s">
        <v>31</v>
      </c>
      <c r="G519" t="s">
        <v>32</v>
      </c>
      <c r="H519" t="s">
        <v>33</v>
      </c>
      <c r="I519" t="s">
        <v>59</v>
      </c>
      <c r="O519" s="5"/>
      <c r="P519" s="5"/>
      <c r="Z519" t="s">
        <v>39</v>
      </c>
    </row>
    <row r="520" spans="1:30" x14ac:dyDescent="0.35">
      <c r="A520" s="4">
        <v>42530</v>
      </c>
      <c r="B520" t="s">
        <v>30</v>
      </c>
      <c r="C520">
        <v>112</v>
      </c>
      <c r="D520">
        <v>10</v>
      </c>
      <c r="E520">
        <v>1</v>
      </c>
      <c r="F520" t="s">
        <v>31</v>
      </c>
      <c r="G520" t="s">
        <v>32</v>
      </c>
      <c r="H520" t="s">
        <v>33</v>
      </c>
      <c r="I520" t="s">
        <v>59</v>
      </c>
      <c r="O520" s="5"/>
      <c r="P520" s="5"/>
      <c r="Z520" t="s">
        <v>39</v>
      </c>
    </row>
    <row r="521" spans="1:30" x14ac:dyDescent="0.35">
      <c r="A521" s="4">
        <v>42530</v>
      </c>
      <c r="B521" t="s">
        <v>30</v>
      </c>
      <c r="C521">
        <v>113</v>
      </c>
      <c r="D521">
        <v>5</v>
      </c>
      <c r="E521">
        <v>1</v>
      </c>
      <c r="F521" t="s">
        <v>31</v>
      </c>
      <c r="G521" t="s">
        <v>32</v>
      </c>
      <c r="H521" t="s">
        <v>33</v>
      </c>
      <c r="I521" t="s">
        <v>59</v>
      </c>
      <c r="O521" s="5"/>
      <c r="P521" s="5"/>
      <c r="Z521" t="s">
        <v>39</v>
      </c>
    </row>
    <row r="522" spans="1:30" x14ac:dyDescent="0.35">
      <c r="A522" s="4">
        <v>42530</v>
      </c>
      <c r="B522" t="s">
        <v>30</v>
      </c>
      <c r="C522">
        <v>113</v>
      </c>
      <c r="D522">
        <v>8</v>
      </c>
      <c r="E522">
        <v>1</v>
      </c>
      <c r="F522" t="s">
        <v>31</v>
      </c>
      <c r="G522" t="s">
        <v>32</v>
      </c>
      <c r="H522" t="s">
        <v>33</v>
      </c>
      <c r="I522" t="s">
        <v>59</v>
      </c>
      <c r="O522" s="5"/>
      <c r="P522" s="5"/>
      <c r="Z522" t="s">
        <v>39</v>
      </c>
    </row>
    <row r="523" spans="1:30" x14ac:dyDescent="0.35">
      <c r="A523" s="4">
        <v>42530</v>
      </c>
      <c r="B523" t="s">
        <v>30</v>
      </c>
      <c r="C523">
        <v>402</v>
      </c>
      <c r="D523">
        <v>1</v>
      </c>
      <c r="E523">
        <v>2</v>
      </c>
      <c r="F523" t="s">
        <v>31</v>
      </c>
      <c r="G523" t="s">
        <v>32</v>
      </c>
      <c r="H523" t="s">
        <v>33</v>
      </c>
      <c r="I523" t="s">
        <v>59</v>
      </c>
      <c r="O523" s="5"/>
      <c r="P523" s="5"/>
      <c r="Z523" t="s">
        <v>39</v>
      </c>
    </row>
    <row r="524" spans="1:30" x14ac:dyDescent="0.35">
      <c r="A524" s="4">
        <v>42530</v>
      </c>
      <c r="B524" t="s">
        <v>30</v>
      </c>
      <c r="C524">
        <v>402</v>
      </c>
      <c r="D524">
        <v>2</v>
      </c>
      <c r="E524">
        <v>1</v>
      </c>
      <c r="F524" t="s">
        <v>31</v>
      </c>
      <c r="G524" t="s">
        <v>32</v>
      </c>
      <c r="H524" t="s">
        <v>33</v>
      </c>
      <c r="I524" t="s">
        <v>59</v>
      </c>
      <c r="O524" s="5"/>
      <c r="P524" s="5"/>
      <c r="Z524" t="s">
        <v>39</v>
      </c>
    </row>
    <row r="525" spans="1:30" x14ac:dyDescent="0.35">
      <c r="A525" s="4">
        <v>42530</v>
      </c>
      <c r="B525" t="s">
        <v>30</v>
      </c>
      <c r="C525">
        <v>304</v>
      </c>
      <c r="D525">
        <v>10</v>
      </c>
      <c r="E525">
        <v>2</v>
      </c>
      <c r="F525" t="s">
        <v>42</v>
      </c>
      <c r="G525" t="s">
        <v>32</v>
      </c>
      <c r="H525" t="s">
        <v>33</v>
      </c>
      <c r="I525" t="s">
        <v>94</v>
      </c>
      <c r="J525" t="s">
        <v>35</v>
      </c>
      <c r="K525" t="s">
        <v>112</v>
      </c>
      <c r="L525" t="s">
        <v>37</v>
      </c>
      <c r="M525">
        <v>0</v>
      </c>
      <c r="N525">
        <v>1</v>
      </c>
      <c r="O525" s="5">
        <v>50351</v>
      </c>
      <c r="P525" s="5"/>
      <c r="Q525">
        <v>19</v>
      </c>
      <c r="R525" t="s">
        <v>64</v>
      </c>
      <c r="S525" t="s">
        <v>39</v>
      </c>
      <c r="T525">
        <v>28</v>
      </c>
      <c r="W525">
        <v>11.1</v>
      </c>
      <c r="X525">
        <v>26.8</v>
      </c>
      <c r="Z525" t="s">
        <v>39</v>
      </c>
      <c r="AB525" t="s">
        <v>41</v>
      </c>
      <c r="AC525" t="s">
        <v>117</v>
      </c>
    </row>
    <row r="526" spans="1:30" x14ac:dyDescent="0.35">
      <c r="A526" s="4">
        <v>42530</v>
      </c>
      <c r="B526" t="s">
        <v>30</v>
      </c>
      <c r="C526">
        <v>402</v>
      </c>
      <c r="D526">
        <v>5</v>
      </c>
      <c r="E526">
        <v>2</v>
      </c>
      <c r="F526" t="s">
        <v>31</v>
      </c>
      <c r="G526" t="s">
        <v>32</v>
      </c>
      <c r="H526" t="s">
        <v>33</v>
      </c>
      <c r="I526" t="s">
        <v>94</v>
      </c>
      <c r="J526" t="s">
        <v>35</v>
      </c>
      <c r="K526" t="s">
        <v>45</v>
      </c>
      <c r="L526" t="s">
        <v>36</v>
      </c>
      <c r="M526">
        <v>0</v>
      </c>
      <c r="N526">
        <v>1</v>
      </c>
      <c r="O526" s="5"/>
      <c r="P526" s="5">
        <v>50451</v>
      </c>
      <c r="Q526">
        <v>18.5</v>
      </c>
      <c r="R526" t="s">
        <v>119</v>
      </c>
      <c r="S526" t="s">
        <v>39</v>
      </c>
      <c r="W526">
        <v>11.5</v>
      </c>
      <c r="X526">
        <v>25</v>
      </c>
      <c r="Z526" t="s">
        <v>39</v>
      </c>
      <c r="AB526" t="s">
        <v>60</v>
      </c>
      <c r="AC526" t="s">
        <v>41</v>
      </c>
      <c r="AD526" t="s">
        <v>120</v>
      </c>
    </row>
    <row r="527" spans="1:30" x14ac:dyDescent="0.35">
      <c r="A527" s="4">
        <v>42535</v>
      </c>
      <c r="B527" t="s">
        <v>30</v>
      </c>
      <c r="C527">
        <v>501</v>
      </c>
      <c r="D527">
        <v>9</v>
      </c>
      <c r="E527">
        <v>1</v>
      </c>
      <c r="F527" t="s">
        <v>42</v>
      </c>
      <c r="G527" t="s">
        <v>32</v>
      </c>
      <c r="H527" t="s">
        <v>33</v>
      </c>
      <c r="I527" t="s">
        <v>43</v>
      </c>
      <c r="J527" t="s">
        <v>44</v>
      </c>
      <c r="K527" t="s">
        <v>112</v>
      </c>
      <c r="L527" t="s">
        <v>37</v>
      </c>
      <c r="M527">
        <v>0</v>
      </c>
      <c r="N527">
        <v>0</v>
      </c>
      <c r="O527" s="5">
        <v>26604</v>
      </c>
      <c r="P527" s="5">
        <v>26603</v>
      </c>
      <c r="Q527">
        <f>32-10.5</f>
        <v>21.5</v>
      </c>
      <c r="R527" t="s">
        <v>38</v>
      </c>
      <c r="S527" t="s">
        <v>39</v>
      </c>
      <c r="T527">
        <v>19</v>
      </c>
      <c r="U527">
        <v>85</v>
      </c>
      <c r="V527">
        <v>14</v>
      </c>
      <c r="W527">
        <v>12</v>
      </c>
      <c r="X527">
        <v>28.3</v>
      </c>
      <c r="Z527" t="s">
        <v>39</v>
      </c>
      <c r="AB527" t="s">
        <v>47</v>
      </c>
      <c r="AC527" t="s">
        <v>76</v>
      </c>
    </row>
    <row r="528" spans="1:30" x14ac:dyDescent="0.35">
      <c r="A528" s="4">
        <v>42535</v>
      </c>
      <c r="B528" t="s">
        <v>30</v>
      </c>
      <c r="C528">
        <v>803</v>
      </c>
      <c r="D528">
        <v>7</v>
      </c>
      <c r="E528">
        <v>1</v>
      </c>
      <c r="F528" t="s">
        <v>31</v>
      </c>
      <c r="G528" t="s">
        <v>32</v>
      </c>
      <c r="H528" t="s">
        <v>33</v>
      </c>
      <c r="I528" t="s">
        <v>43</v>
      </c>
      <c r="J528" t="s">
        <v>35</v>
      </c>
      <c r="K528" t="s">
        <v>112</v>
      </c>
      <c r="L528" t="s">
        <v>37</v>
      </c>
      <c r="M528">
        <v>0</v>
      </c>
      <c r="N528">
        <v>1</v>
      </c>
      <c r="O528" s="5">
        <v>50455</v>
      </c>
      <c r="P528" s="5">
        <v>50454</v>
      </c>
      <c r="Q528">
        <f>35.5-12</f>
        <v>23.5</v>
      </c>
      <c r="R528" t="s">
        <v>38</v>
      </c>
      <c r="S528" t="s">
        <v>39</v>
      </c>
      <c r="T528">
        <v>19</v>
      </c>
      <c r="U528">
        <v>86</v>
      </c>
      <c r="V528">
        <v>13</v>
      </c>
      <c r="W528">
        <v>12.5</v>
      </c>
      <c r="X528">
        <v>30</v>
      </c>
      <c r="Y528" t="s">
        <v>121</v>
      </c>
      <c r="Z528" t="s">
        <v>39</v>
      </c>
      <c r="AB528" t="s">
        <v>47</v>
      </c>
      <c r="AC528" t="s">
        <v>76</v>
      </c>
    </row>
    <row r="529" spans="1:29" x14ac:dyDescent="0.35">
      <c r="A529" s="4">
        <v>42535</v>
      </c>
      <c r="B529" t="s">
        <v>30</v>
      </c>
      <c r="C529">
        <v>803</v>
      </c>
      <c r="D529">
        <v>7</v>
      </c>
      <c r="E529">
        <v>2</v>
      </c>
      <c r="F529" t="s">
        <v>31</v>
      </c>
      <c r="G529" t="s">
        <v>32</v>
      </c>
      <c r="H529" t="s">
        <v>33</v>
      </c>
      <c r="I529" t="s">
        <v>43</v>
      </c>
      <c r="J529" t="s">
        <v>35</v>
      </c>
      <c r="K529" t="s">
        <v>113</v>
      </c>
      <c r="L529" t="s">
        <v>45</v>
      </c>
      <c r="M529">
        <v>0</v>
      </c>
      <c r="N529">
        <v>1</v>
      </c>
      <c r="O529" s="5">
        <v>50457</v>
      </c>
      <c r="P529" s="5">
        <v>50456</v>
      </c>
      <c r="Q529">
        <f>25-11.5</f>
        <v>13.5</v>
      </c>
      <c r="R529" t="s">
        <v>61</v>
      </c>
      <c r="S529" t="s">
        <v>39</v>
      </c>
      <c r="T529">
        <v>19</v>
      </c>
      <c r="U529">
        <v>78</v>
      </c>
      <c r="V529">
        <v>13</v>
      </c>
      <c r="W529">
        <v>26.6</v>
      </c>
      <c r="X529">
        <v>11.9</v>
      </c>
      <c r="Z529" t="s">
        <v>39</v>
      </c>
      <c r="AB529" t="s">
        <v>47</v>
      </c>
      <c r="AC529" t="s">
        <v>76</v>
      </c>
    </row>
    <row r="530" spans="1:29" x14ac:dyDescent="0.35">
      <c r="A530" s="4">
        <v>42535</v>
      </c>
      <c r="B530" t="s">
        <v>30</v>
      </c>
      <c r="C530">
        <v>703</v>
      </c>
      <c r="D530">
        <v>1</v>
      </c>
      <c r="E530">
        <v>1</v>
      </c>
      <c r="F530" t="s">
        <v>31</v>
      </c>
      <c r="G530" t="s">
        <v>32</v>
      </c>
      <c r="H530" t="s">
        <v>33</v>
      </c>
      <c r="I530" t="s">
        <v>43</v>
      </c>
      <c r="J530" t="s">
        <v>44</v>
      </c>
      <c r="K530" t="s">
        <v>112</v>
      </c>
      <c r="L530" t="s">
        <v>45</v>
      </c>
      <c r="M530">
        <v>0</v>
      </c>
      <c r="N530">
        <v>0</v>
      </c>
      <c r="O530" s="5" t="s">
        <v>70</v>
      </c>
      <c r="P530" s="5" t="s">
        <v>71</v>
      </c>
      <c r="Q530">
        <f>30-10.5</f>
        <v>19.5</v>
      </c>
      <c r="R530" t="s">
        <v>61</v>
      </c>
      <c r="S530" t="s">
        <v>102</v>
      </c>
      <c r="T530">
        <v>21</v>
      </c>
      <c r="U530">
        <v>88</v>
      </c>
      <c r="V530">
        <v>13</v>
      </c>
      <c r="W530">
        <v>13.3</v>
      </c>
      <c r="X530">
        <v>29.5</v>
      </c>
      <c r="Z530" t="s">
        <v>39</v>
      </c>
      <c r="AB530" t="s">
        <v>47</v>
      </c>
      <c r="AC530" t="s">
        <v>76</v>
      </c>
    </row>
    <row r="531" spans="1:29" x14ac:dyDescent="0.35">
      <c r="A531" s="4">
        <v>42535</v>
      </c>
      <c r="B531" t="s">
        <v>30</v>
      </c>
      <c r="C531">
        <v>803</v>
      </c>
      <c r="D531">
        <v>5</v>
      </c>
      <c r="E531">
        <v>1</v>
      </c>
      <c r="F531" t="s">
        <v>31</v>
      </c>
      <c r="G531" t="s">
        <v>32</v>
      </c>
      <c r="H531" t="s">
        <v>33</v>
      </c>
      <c r="I531" t="s">
        <v>34</v>
      </c>
      <c r="J531" t="s">
        <v>44</v>
      </c>
      <c r="K531" t="s">
        <v>112</v>
      </c>
      <c r="L531" t="s">
        <v>37</v>
      </c>
      <c r="M531">
        <v>0</v>
      </c>
      <c r="N531">
        <v>0</v>
      </c>
      <c r="O531" s="5">
        <v>50391</v>
      </c>
      <c r="P531" s="5"/>
      <c r="Q531">
        <f>132-82</f>
        <v>50</v>
      </c>
      <c r="R531" t="s">
        <v>38</v>
      </c>
      <c r="S531" t="s">
        <v>39</v>
      </c>
      <c r="Z531" t="s">
        <v>39</v>
      </c>
      <c r="AB531" t="s">
        <v>47</v>
      </c>
      <c r="AC531" t="s">
        <v>76</v>
      </c>
    </row>
    <row r="532" spans="1:29" x14ac:dyDescent="0.35">
      <c r="A532" s="4">
        <v>42535</v>
      </c>
      <c r="B532" t="s">
        <v>30</v>
      </c>
      <c r="C532">
        <v>501</v>
      </c>
      <c r="D532">
        <v>10</v>
      </c>
      <c r="E532">
        <v>2</v>
      </c>
      <c r="F532" t="s">
        <v>42</v>
      </c>
      <c r="G532" t="s">
        <v>32</v>
      </c>
      <c r="H532" t="s">
        <v>33</v>
      </c>
      <c r="I532" t="s">
        <v>34</v>
      </c>
      <c r="J532" t="s">
        <v>122</v>
      </c>
      <c r="K532" t="s">
        <v>112</v>
      </c>
      <c r="O532" s="5"/>
      <c r="P532" s="5"/>
      <c r="Z532" t="s">
        <v>39</v>
      </c>
    </row>
    <row r="533" spans="1:29" x14ac:dyDescent="0.35">
      <c r="A533" s="4">
        <v>42535</v>
      </c>
      <c r="B533" t="s">
        <v>30</v>
      </c>
      <c r="C533">
        <v>503</v>
      </c>
      <c r="D533">
        <v>2</v>
      </c>
      <c r="E533">
        <v>2</v>
      </c>
      <c r="F533" t="s">
        <v>42</v>
      </c>
      <c r="G533" t="s">
        <v>32</v>
      </c>
      <c r="H533" t="s">
        <v>33</v>
      </c>
      <c r="I533" t="s">
        <v>34</v>
      </c>
      <c r="J533" t="s">
        <v>48</v>
      </c>
      <c r="K533" t="s">
        <v>112</v>
      </c>
      <c r="L533" t="s">
        <v>45</v>
      </c>
      <c r="M533">
        <v>1</v>
      </c>
      <c r="N533">
        <v>0</v>
      </c>
      <c r="O533" s="5"/>
      <c r="P533" s="5">
        <v>50578</v>
      </c>
      <c r="Q533">
        <f>198-87</f>
        <v>111</v>
      </c>
      <c r="R533" t="s">
        <v>74</v>
      </c>
      <c r="S533" t="s">
        <v>102</v>
      </c>
      <c r="T533">
        <v>30</v>
      </c>
      <c r="W533">
        <v>22.2</v>
      </c>
      <c r="X533">
        <v>45</v>
      </c>
      <c r="Z533" t="s">
        <v>39</v>
      </c>
      <c r="AB533" t="s">
        <v>47</v>
      </c>
      <c r="AC533" t="s">
        <v>76</v>
      </c>
    </row>
    <row r="534" spans="1:29" x14ac:dyDescent="0.35">
      <c r="A534" s="4">
        <v>42535</v>
      </c>
      <c r="B534" t="s">
        <v>30</v>
      </c>
      <c r="C534">
        <v>703</v>
      </c>
      <c r="D534">
        <v>7</v>
      </c>
      <c r="E534">
        <v>1</v>
      </c>
      <c r="F534" t="s">
        <v>31</v>
      </c>
      <c r="G534" t="s">
        <v>32</v>
      </c>
      <c r="H534" t="s">
        <v>33</v>
      </c>
      <c r="I534" t="s">
        <v>34</v>
      </c>
      <c r="J534" t="s">
        <v>122</v>
      </c>
      <c r="K534" t="s">
        <v>112</v>
      </c>
      <c r="L534" t="s">
        <v>37</v>
      </c>
      <c r="O534" s="5"/>
      <c r="P534" s="5"/>
      <c r="R534" t="s">
        <v>38</v>
      </c>
      <c r="Z534" t="s">
        <v>39</v>
      </c>
    </row>
    <row r="535" spans="1:29" x14ac:dyDescent="0.35">
      <c r="A535" s="4">
        <v>42535</v>
      </c>
      <c r="B535" t="s">
        <v>30</v>
      </c>
      <c r="C535">
        <v>503</v>
      </c>
      <c r="D535">
        <v>7</v>
      </c>
      <c r="E535">
        <v>1</v>
      </c>
      <c r="F535" t="s">
        <v>42</v>
      </c>
      <c r="G535" t="s">
        <v>32</v>
      </c>
      <c r="H535" t="s">
        <v>33</v>
      </c>
      <c r="I535" t="s">
        <v>58</v>
      </c>
      <c r="J535" t="s">
        <v>35</v>
      </c>
      <c r="K535" t="s">
        <v>112</v>
      </c>
      <c r="L535" t="s">
        <v>37</v>
      </c>
      <c r="M535">
        <v>0</v>
      </c>
      <c r="N535">
        <v>1</v>
      </c>
      <c r="O535" s="5">
        <v>50579</v>
      </c>
      <c r="P535" s="5"/>
      <c r="Q535">
        <f>44-16</f>
        <v>28</v>
      </c>
      <c r="R535" t="s">
        <v>38</v>
      </c>
      <c r="S535" t="s">
        <v>39</v>
      </c>
      <c r="T535">
        <v>17</v>
      </c>
      <c r="W535">
        <v>12.7</v>
      </c>
      <c r="X535">
        <v>29.5</v>
      </c>
      <c r="Z535" t="s">
        <v>39</v>
      </c>
      <c r="AB535" t="s">
        <v>47</v>
      </c>
      <c r="AC535" t="s">
        <v>76</v>
      </c>
    </row>
    <row r="536" spans="1:29" x14ac:dyDescent="0.35">
      <c r="A536" s="4">
        <v>42535</v>
      </c>
      <c r="B536" t="s">
        <v>30</v>
      </c>
      <c r="C536">
        <v>503</v>
      </c>
      <c r="D536">
        <v>6</v>
      </c>
      <c r="E536">
        <v>1</v>
      </c>
      <c r="F536" t="s">
        <v>42</v>
      </c>
      <c r="G536" t="s">
        <v>32</v>
      </c>
      <c r="H536" t="s">
        <v>33</v>
      </c>
      <c r="I536" t="s">
        <v>55</v>
      </c>
      <c r="O536" s="5"/>
      <c r="P536" s="5"/>
      <c r="Z536" t="s">
        <v>39</v>
      </c>
    </row>
    <row r="537" spans="1:29" x14ac:dyDescent="0.35">
      <c r="A537" s="4">
        <v>42535</v>
      </c>
      <c r="B537" t="s">
        <v>30</v>
      </c>
      <c r="C537">
        <v>303</v>
      </c>
      <c r="D537">
        <v>6</v>
      </c>
      <c r="E537">
        <v>1</v>
      </c>
      <c r="F537" t="s">
        <v>42</v>
      </c>
      <c r="G537" t="s">
        <v>32</v>
      </c>
      <c r="H537" t="s">
        <v>33</v>
      </c>
      <c r="I537" t="s">
        <v>55</v>
      </c>
      <c r="O537" s="5"/>
      <c r="P537" s="5"/>
      <c r="Z537" t="s">
        <v>39</v>
      </c>
    </row>
    <row r="538" spans="1:29" x14ac:dyDescent="0.35">
      <c r="A538" s="4">
        <v>42535</v>
      </c>
      <c r="B538" t="s">
        <v>30</v>
      </c>
      <c r="C538">
        <v>703</v>
      </c>
      <c r="D538">
        <v>5</v>
      </c>
      <c r="E538">
        <v>1</v>
      </c>
      <c r="F538" t="s">
        <v>31</v>
      </c>
      <c r="G538" t="s">
        <v>32</v>
      </c>
      <c r="H538" t="s">
        <v>33</v>
      </c>
      <c r="I538" t="s">
        <v>55</v>
      </c>
      <c r="J538" t="s">
        <v>123</v>
      </c>
      <c r="O538" s="5"/>
      <c r="P538" s="5"/>
      <c r="Z538" t="s">
        <v>39</v>
      </c>
    </row>
    <row r="539" spans="1:29" x14ac:dyDescent="0.35">
      <c r="A539" s="4">
        <v>42535</v>
      </c>
      <c r="B539" t="s">
        <v>30</v>
      </c>
      <c r="C539">
        <v>701</v>
      </c>
      <c r="D539">
        <v>2</v>
      </c>
      <c r="E539">
        <v>1</v>
      </c>
      <c r="F539" t="s">
        <v>31</v>
      </c>
      <c r="G539" t="s">
        <v>32</v>
      </c>
      <c r="H539" t="s">
        <v>33</v>
      </c>
      <c r="I539" t="s">
        <v>55</v>
      </c>
      <c r="J539" t="s">
        <v>66</v>
      </c>
      <c r="O539" s="5"/>
      <c r="P539" s="5"/>
      <c r="Z539" t="s">
        <v>39</v>
      </c>
    </row>
    <row r="540" spans="1:29" x14ac:dyDescent="0.35">
      <c r="A540" s="4">
        <v>42535</v>
      </c>
      <c r="B540" t="s">
        <v>30</v>
      </c>
      <c r="C540">
        <v>901</v>
      </c>
      <c r="D540">
        <v>2</v>
      </c>
      <c r="E540">
        <v>1</v>
      </c>
      <c r="F540" t="s">
        <v>31</v>
      </c>
      <c r="G540" t="s">
        <v>32</v>
      </c>
      <c r="H540" t="s">
        <v>33</v>
      </c>
      <c r="I540" t="s">
        <v>55</v>
      </c>
      <c r="J540" t="s">
        <v>66</v>
      </c>
      <c r="O540" s="5"/>
      <c r="P540" s="5"/>
      <c r="Z540" t="s">
        <v>39</v>
      </c>
    </row>
    <row r="541" spans="1:29" x14ac:dyDescent="0.35">
      <c r="A541" s="4">
        <v>42535</v>
      </c>
      <c r="B541" t="s">
        <v>30</v>
      </c>
      <c r="C541">
        <v>501</v>
      </c>
      <c r="D541">
        <v>10</v>
      </c>
      <c r="E541">
        <v>1</v>
      </c>
      <c r="F541" t="s">
        <v>42</v>
      </c>
      <c r="G541" t="s">
        <v>32</v>
      </c>
      <c r="H541" t="s">
        <v>33</v>
      </c>
      <c r="I541" t="s">
        <v>59</v>
      </c>
      <c r="O541" s="5"/>
      <c r="P541" s="5"/>
      <c r="Z541" t="s">
        <v>39</v>
      </c>
    </row>
    <row r="542" spans="1:29" x14ac:dyDescent="0.35">
      <c r="A542" s="4">
        <v>42535</v>
      </c>
      <c r="B542" t="s">
        <v>30</v>
      </c>
      <c r="C542">
        <v>503</v>
      </c>
      <c r="D542">
        <v>1</v>
      </c>
      <c r="E542">
        <v>1</v>
      </c>
      <c r="F542" t="s">
        <v>42</v>
      </c>
      <c r="G542" t="s">
        <v>32</v>
      </c>
      <c r="H542" t="s">
        <v>33</v>
      </c>
      <c r="I542" t="s">
        <v>59</v>
      </c>
      <c r="O542" s="5"/>
      <c r="P542" s="5"/>
      <c r="Z542" t="s">
        <v>39</v>
      </c>
    </row>
    <row r="543" spans="1:29" x14ac:dyDescent="0.35">
      <c r="A543" s="4">
        <v>42535</v>
      </c>
      <c r="B543" t="s">
        <v>30</v>
      </c>
      <c r="C543">
        <v>503</v>
      </c>
      <c r="D543">
        <v>2</v>
      </c>
      <c r="E543">
        <v>1</v>
      </c>
      <c r="F543" t="s">
        <v>42</v>
      </c>
      <c r="G543" t="s">
        <v>32</v>
      </c>
      <c r="H543" t="s">
        <v>33</v>
      </c>
      <c r="I543" t="s">
        <v>59</v>
      </c>
      <c r="O543" s="5"/>
      <c r="P543" s="5"/>
      <c r="Z543" t="s">
        <v>39</v>
      </c>
    </row>
    <row r="544" spans="1:29" x14ac:dyDescent="0.35">
      <c r="A544" s="4">
        <v>42535</v>
      </c>
      <c r="B544" t="s">
        <v>30</v>
      </c>
      <c r="C544">
        <v>503</v>
      </c>
      <c r="D544">
        <v>5</v>
      </c>
      <c r="E544">
        <v>1</v>
      </c>
      <c r="F544" t="s">
        <v>42</v>
      </c>
      <c r="G544" t="s">
        <v>32</v>
      </c>
      <c r="H544" t="s">
        <v>33</v>
      </c>
      <c r="I544" t="s">
        <v>59</v>
      </c>
      <c r="O544" s="5"/>
      <c r="P544" s="5"/>
      <c r="Z544" t="s">
        <v>39</v>
      </c>
    </row>
    <row r="545" spans="1:30" x14ac:dyDescent="0.35">
      <c r="A545" s="4">
        <v>42535</v>
      </c>
      <c r="B545" t="s">
        <v>30</v>
      </c>
      <c r="C545">
        <v>503</v>
      </c>
      <c r="D545">
        <v>8</v>
      </c>
      <c r="E545">
        <v>1</v>
      </c>
      <c r="F545" t="s">
        <v>42</v>
      </c>
      <c r="G545" t="s">
        <v>32</v>
      </c>
      <c r="H545" t="s">
        <v>33</v>
      </c>
      <c r="I545" t="s">
        <v>59</v>
      </c>
      <c r="O545" s="5"/>
      <c r="P545" s="5"/>
      <c r="Z545" t="s">
        <v>39</v>
      </c>
    </row>
    <row r="546" spans="1:30" x14ac:dyDescent="0.35">
      <c r="A546" s="4">
        <v>42535</v>
      </c>
      <c r="B546" t="s">
        <v>30</v>
      </c>
      <c r="C546">
        <v>303</v>
      </c>
      <c r="D546">
        <v>1</v>
      </c>
      <c r="E546">
        <v>1</v>
      </c>
      <c r="F546" t="s">
        <v>42</v>
      </c>
      <c r="G546" t="s">
        <v>32</v>
      </c>
      <c r="H546" t="s">
        <v>33</v>
      </c>
      <c r="I546" t="s">
        <v>59</v>
      </c>
      <c r="O546" s="5"/>
      <c r="P546" s="5"/>
      <c r="Z546" t="s">
        <v>39</v>
      </c>
    </row>
    <row r="547" spans="1:30" x14ac:dyDescent="0.35">
      <c r="A547" s="4">
        <v>42535</v>
      </c>
      <c r="B547" t="s">
        <v>30</v>
      </c>
      <c r="C547">
        <v>303</v>
      </c>
      <c r="D547">
        <v>2</v>
      </c>
      <c r="E547">
        <v>1</v>
      </c>
      <c r="F547" t="s">
        <v>42</v>
      </c>
      <c r="G547" t="s">
        <v>32</v>
      </c>
      <c r="H547" t="s">
        <v>33</v>
      </c>
      <c r="I547" t="s">
        <v>59</v>
      </c>
      <c r="O547" s="5"/>
      <c r="P547" s="5"/>
      <c r="Z547" t="s">
        <v>39</v>
      </c>
    </row>
    <row r="548" spans="1:30" x14ac:dyDescent="0.35">
      <c r="A548" s="4">
        <v>42535</v>
      </c>
      <c r="B548" t="s">
        <v>30</v>
      </c>
      <c r="C548">
        <v>303</v>
      </c>
      <c r="D548">
        <v>3</v>
      </c>
      <c r="E548">
        <v>1</v>
      </c>
      <c r="F548" t="s">
        <v>42</v>
      </c>
      <c r="G548" t="s">
        <v>32</v>
      </c>
      <c r="H548" t="s">
        <v>33</v>
      </c>
      <c r="I548" t="s">
        <v>59</v>
      </c>
      <c r="O548" s="5"/>
      <c r="P548" s="5"/>
      <c r="Z548" t="s">
        <v>39</v>
      </c>
    </row>
    <row r="549" spans="1:30" x14ac:dyDescent="0.35">
      <c r="A549" s="4">
        <v>42535</v>
      </c>
      <c r="B549" t="s">
        <v>30</v>
      </c>
      <c r="C549">
        <v>303</v>
      </c>
      <c r="D549">
        <v>4</v>
      </c>
      <c r="E549">
        <v>1</v>
      </c>
      <c r="F549" t="s">
        <v>42</v>
      </c>
      <c r="G549" t="s">
        <v>32</v>
      </c>
      <c r="H549" t="s">
        <v>33</v>
      </c>
      <c r="I549" t="s">
        <v>59</v>
      </c>
      <c r="O549" s="5"/>
      <c r="P549" s="5"/>
      <c r="Z549" t="s">
        <v>39</v>
      </c>
    </row>
    <row r="550" spans="1:30" x14ac:dyDescent="0.35">
      <c r="A550" s="4">
        <v>42535</v>
      </c>
      <c r="B550" t="s">
        <v>30</v>
      </c>
      <c r="C550">
        <v>303</v>
      </c>
      <c r="D550">
        <v>5</v>
      </c>
      <c r="E550">
        <v>1</v>
      </c>
      <c r="F550" t="s">
        <v>42</v>
      </c>
      <c r="G550" t="s">
        <v>32</v>
      </c>
      <c r="H550" t="s">
        <v>33</v>
      </c>
      <c r="I550" t="s">
        <v>59</v>
      </c>
      <c r="O550" s="5"/>
      <c r="P550" s="5"/>
      <c r="Z550" t="s">
        <v>39</v>
      </c>
    </row>
    <row r="551" spans="1:30" x14ac:dyDescent="0.35">
      <c r="A551" s="4">
        <v>42535</v>
      </c>
      <c r="B551" t="s">
        <v>30</v>
      </c>
      <c r="C551">
        <v>303</v>
      </c>
      <c r="D551">
        <v>5</v>
      </c>
      <c r="E551">
        <v>2</v>
      </c>
      <c r="F551" t="s">
        <v>42</v>
      </c>
      <c r="G551" t="s">
        <v>32</v>
      </c>
      <c r="H551" t="s">
        <v>33</v>
      </c>
      <c r="I551" t="s">
        <v>59</v>
      </c>
      <c r="O551" s="5"/>
      <c r="P551" s="5"/>
      <c r="Z551" t="s">
        <v>39</v>
      </c>
    </row>
    <row r="552" spans="1:30" x14ac:dyDescent="0.35">
      <c r="A552" s="4">
        <v>42535</v>
      </c>
      <c r="B552" t="s">
        <v>30</v>
      </c>
      <c r="C552">
        <v>703</v>
      </c>
      <c r="D552">
        <v>4</v>
      </c>
      <c r="E552">
        <v>1</v>
      </c>
      <c r="F552" t="s">
        <v>31</v>
      </c>
      <c r="G552" t="s">
        <v>32</v>
      </c>
      <c r="H552" t="s">
        <v>33</v>
      </c>
      <c r="I552" t="s">
        <v>59</v>
      </c>
      <c r="O552" s="5"/>
      <c r="P552" s="5"/>
      <c r="Z552" t="s">
        <v>39</v>
      </c>
    </row>
    <row r="553" spans="1:30" x14ac:dyDescent="0.35">
      <c r="A553" s="4">
        <v>42535</v>
      </c>
      <c r="B553" t="s">
        <v>30</v>
      </c>
      <c r="C553">
        <v>703</v>
      </c>
      <c r="D553">
        <v>9</v>
      </c>
      <c r="E553">
        <v>1</v>
      </c>
      <c r="F553" t="s">
        <v>31</v>
      </c>
      <c r="G553" t="s">
        <v>32</v>
      </c>
      <c r="H553" t="s">
        <v>33</v>
      </c>
      <c r="I553" t="s">
        <v>59</v>
      </c>
      <c r="O553" s="5"/>
      <c r="P553" s="5"/>
      <c r="Z553" t="s">
        <v>39</v>
      </c>
    </row>
    <row r="554" spans="1:30" x14ac:dyDescent="0.35">
      <c r="A554" s="4">
        <v>42535</v>
      </c>
      <c r="B554" t="s">
        <v>30</v>
      </c>
      <c r="C554">
        <v>703</v>
      </c>
      <c r="D554">
        <v>9</v>
      </c>
      <c r="E554">
        <v>2</v>
      </c>
      <c r="F554" t="s">
        <v>31</v>
      </c>
      <c r="G554" t="s">
        <v>32</v>
      </c>
      <c r="H554" t="s">
        <v>33</v>
      </c>
      <c r="I554" t="s">
        <v>59</v>
      </c>
      <c r="O554" s="5"/>
      <c r="P554" s="5"/>
      <c r="Z554" t="s">
        <v>39</v>
      </c>
    </row>
    <row r="555" spans="1:30" x14ac:dyDescent="0.35">
      <c r="A555" s="4">
        <v>42535</v>
      </c>
      <c r="B555" t="s">
        <v>30</v>
      </c>
      <c r="C555">
        <v>703</v>
      </c>
      <c r="D555">
        <v>10</v>
      </c>
      <c r="E555">
        <v>1</v>
      </c>
      <c r="F555" t="s">
        <v>31</v>
      </c>
      <c r="G555" t="s">
        <v>32</v>
      </c>
      <c r="H555" t="s">
        <v>33</v>
      </c>
      <c r="I555" t="s">
        <v>59</v>
      </c>
      <c r="O555" s="5"/>
      <c r="P555" s="5"/>
      <c r="Z555" t="s">
        <v>39</v>
      </c>
    </row>
    <row r="556" spans="1:30" x14ac:dyDescent="0.35">
      <c r="A556" s="4">
        <v>42535</v>
      </c>
      <c r="B556" t="s">
        <v>30</v>
      </c>
      <c r="C556">
        <v>801</v>
      </c>
      <c r="D556">
        <v>4</v>
      </c>
      <c r="E556">
        <v>1</v>
      </c>
      <c r="F556" t="s">
        <v>31</v>
      </c>
      <c r="G556" t="s">
        <v>32</v>
      </c>
      <c r="H556" t="s">
        <v>33</v>
      </c>
      <c r="I556" t="s">
        <v>59</v>
      </c>
      <c r="O556" s="5"/>
      <c r="P556" s="5"/>
      <c r="Z556" t="s">
        <v>39</v>
      </c>
    </row>
    <row r="557" spans="1:30" x14ac:dyDescent="0.35">
      <c r="A557" s="4">
        <v>42535</v>
      </c>
      <c r="B557" t="s">
        <v>30</v>
      </c>
      <c r="C557">
        <v>803</v>
      </c>
      <c r="D557">
        <v>8</v>
      </c>
      <c r="E557">
        <v>1</v>
      </c>
      <c r="F557" t="s">
        <v>31</v>
      </c>
      <c r="G557" t="s">
        <v>32</v>
      </c>
      <c r="H557" t="s">
        <v>33</v>
      </c>
      <c r="I557" t="s">
        <v>59</v>
      </c>
      <c r="O557" s="5"/>
      <c r="P557" s="5"/>
      <c r="Z557" t="s">
        <v>39</v>
      </c>
    </row>
    <row r="558" spans="1:30" x14ac:dyDescent="0.35">
      <c r="A558" s="4">
        <v>42535</v>
      </c>
      <c r="B558" t="s">
        <v>30</v>
      </c>
      <c r="C558">
        <v>803</v>
      </c>
      <c r="D558">
        <v>6</v>
      </c>
      <c r="E558">
        <v>1</v>
      </c>
      <c r="F558" t="s">
        <v>31</v>
      </c>
      <c r="G558" t="s">
        <v>32</v>
      </c>
      <c r="H558" t="s">
        <v>33</v>
      </c>
      <c r="I558" t="s">
        <v>59</v>
      </c>
      <c r="O558" s="5"/>
      <c r="P558" s="5"/>
      <c r="Z558" t="s">
        <v>39</v>
      </c>
    </row>
    <row r="559" spans="1:30" x14ac:dyDescent="0.35">
      <c r="A559" s="4">
        <v>42535</v>
      </c>
      <c r="B559" t="s">
        <v>30</v>
      </c>
      <c r="C559">
        <v>701</v>
      </c>
      <c r="D559">
        <v>6</v>
      </c>
      <c r="E559">
        <v>1</v>
      </c>
      <c r="F559" t="s">
        <v>31</v>
      </c>
      <c r="G559" t="s">
        <v>32</v>
      </c>
      <c r="H559" t="s">
        <v>33</v>
      </c>
      <c r="I559" t="s">
        <v>105</v>
      </c>
      <c r="O559" s="5"/>
      <c r="P559" s="5"/>
      <c r="Z559" t="s">
        <v>39</v>
      </c>
      <c r="AD559" t="s">
        <v>124</v>
      </c>
    </row>
    <row r="560" spans="1:30" x14ac:dyDescent="0.35">
      <c r="A560" s="4">
        <v>42535</v>
      </c>
      <c r="B560" t="s">
        <v>30</v>
      </c>
      <c r="C560">
        <v>503</v>
      </c>
      <c r="D560">
        <v>8</v>
      </c>
      <c r="E560">
        <v>2</v>
      </c>
      <c r="F560" t="s">
        <v>42</v>
      </c>
      <c r="G560" t="s">
        <v>32</v>
      </c>
      <c r="H560" t="s">
        <v>33</v>
      </c>
      <c r="I560" t="s">
        <v>94</v>
      </c>
      <c r="J560" t="s">
        <v>48</v>
      </c>
      <c r="K560" t="s">
        <v>112</v>
      </c>
      <c r="L560" t="s">
        <v>37</v>
      </c>
      <c r="M560">
        <v>1</v>
      </c>
      <c r="N560">
        <v>0</v>
      </c>
      <c r="O560" s="5">
        <v>50580</v>
      </c>
      <c r="P560" s="5"/>
      <c r="Q560">
        <v>24</v>
      </c>
      <c r="R560" t="s">
        <v>64</v>
      </c>
      <c r="S560" t="s">
        <v>39</v>
      </c>
      <c r="T560">
        <v>29.5</v>
      </c>
      <c r="W560">
        <v>12.2</v>
      </c>
      <c r="X560">
        <v>30</v>
      </c>
      <c r="Z560" t="s">
        <v>39</v>
      </c>
      <c r="AB560" t="s">
        <v>47</v>
      </c>
      <c r="AC560" t="s">
        <v>76</v>
      </c>
    </row>
    <row r="561" spans="1:29" x14ac:dyDescent="0.35">
      <c r="A561" s="4">
        <v>42536</v>
      </c>
      <c r="B561" t="s">
        <v>30</v>
      </c>
      <c r="C561">
        <v>501</v>
      </c>
      <c r="D561">
        <v>1</v>
      </c>
      <c r="E561">
        <v>1</v>
      </c>
      <c r="F561" t="s">
        <v>42</v>
      </c>
      <c r="G561" t="s">
        <v>32</v>
      </c>
      <c r="H561" t="s">
        <v>33</v>
      </c>
      <c r="I561" t="s">
        <v>43</v>
      </c>
      <c r="J561" t="s">
        <v>44</v>
      </c>
      <c r="K561" t="s">
        <v>112</v>
      </c>
      <c r="L561" t="s">
        <v>37</v>
      </c>
      <c r="M561">
        <v>0</v>
      </c>
      <c r="N561">
        <v>0</v>
      </c>
      <c r="O561" s="5">
        <v>26604</v>
      </c>
      <c r="P561" s="5">
        <v>26603</v>
      </c>
      <c r="Q561">
        <f>33.5-13.5</f>
        <v>20</v>
      </c>
      <c r="R561" t="s">
        <v>38</v>
      </c>
      <c r="S561" t="s">
        <v>39</v>
      </c>
      <c r="T561">
        <v>19</v>
      </c>
      <c r="U561">
        <v>85</v>
      </c>
      <c r="V561">
        <v>13.5</v>
      </c>
      <c r="W561">
        <v>12.6</v>
      </c>
      <c r="X561">
        <v>28.3</v>
      </c>
      <c r="Z561" t="s">
        <v>39</v>
      </c>
      <c r="AB561" t="s">
        <v>47</v>
      </c>
      <c r="AC561" t="s">
        <v>41</v>
      </c>
    </row>
    <row r="562" spans="1:29" x14ac:dyDescent="0.35">
      <c r="A562" s="4">
        <v>42536</v>
      </c>
      <c r="B562" t="s">
        <v>30</v>
      </c>
      <c r="C562">
        <v>303</v>
      </c>
      <c r="D562">
        <v>1</v>
      </c>
      <c r="E562">
        <v>1</v>
      </c>
      <c r="F562" t="s">
        <v>42</v>
      </c>
      <c r="G562" t="s">
        <v>32</v>
      </c>
      <c r="H562" t="s">
        <v>33</v>
      </c>
      <c r="I562" t="s">
        <v>43</v>
      </c>
      <c r="J562" t="s">
        <v>44</v>
      </c>
      <c r="K562" t="s">
        <v>112</v>
      </c>
      <c r="L562" t="s">
        <v>37</v>
      </c>
      <c r="M562">
        <v>0</v>
      </c>
      <c r="N562">
        <v>0</v>
      </c>
      <c r="O562" s="5">
        <v>50321</v>
      </c>
      <c r="P562" s="5">
        <v>50320</v>
      </c>
      <c r="Q562">
        <f>32.5-12</f>
        <v>20.5</v>
      </c>
      <c r="R562" t="s">
        <v>64</v>
      </c>
      <c r="S562" t="s">
        <v>39</v>
      </c>
      <c r="T562">
        <v>19</v>
      </c>
      <c r="U562">
        <v>80</v>
      </c>
      <c r="V562">
        <v>16</v>
      </c>
      <c r="W562">
        <v>12.4</v>
      </c>
      <c r="X562">
        <v>28.8</v>
      </c>
      <c r="Z562" t="s">
        <v>39</v>
      </c>
      <c r="AB562" t="s">
        <v>47</v>
      </c>
      <c r="AC562" t="s">
        <v>41</v>
      </c>
    </row>
    <row r="563" spans="1:29" x14ac:dyDescent="0.35">
      <c r="A563" s="4">
        <v>42536</v>
      </c>
      <c r="B563" t="s">
        <v>30</v>
      </c>
      <c r="C563">
        <v>703</v>
      </c>
      <c r="D563">
        <v>9</v>
      </c>
      <c r="E563">
        <v>1</v>
      </c>
      <c r="F563" t="s">
        <v>31</v>
      </c>
      <c r="G563" t="s">
        <v>32</v>
      </c>
      <c r="H563" t="s">
        <v>33</v>
      </c>
      <c r="I563" t="s">
        <v>43</v>
      </c>
      <c r="J563" t="s">
        <v>44</v>
      </c>
      <c r="K563" t="s">
        <v>112</v>
      </c>
      <c r="L563" t="s">
        <v>45</v>
      </c>
      <c r="M563">
        <v>0</v>
      </c>
      <c r="N563">
        <v>0</v>
      </c>
      <c r="O563" s="5">
        <v>50395</v>
      </c>
      <c r="P563" s="5">
        <v>50394</v>
      </c>
      <c r="Q563">
        <f>34-12.5</f>
        <v>21.5</v>
      </c>
      <c r="R563" t="s">
        <v>61</v>
      </c>
      <c r="S563" t="s">
        <v>102</v>
      </c>
      <c r="T563">
        <v>19</v>
      </c>
      <c r="U563">
        <v>82</v>
      </c>
      <c r="V563">
        <v>13</v>
      </c>
      <c r="Z563" t="s">
        <v>39</v>
      </c>
      <c r="AB563" t="s">
        <v>47</v>
      </c>
      <c r="AC563" t="s">
        <v>41</v>
      </c>
    </row>
    <row r="564" spans="1:29" x14ac:dyDescent="0.35">
      <c r="A564" s="4">
        <v>42536</v>
      </c>
      <c r="B564" t="s">
        <v>30</v>
      </c>
      <c r="C564">
        <v>803</v>
      </c>
      <c r="D564">
        <v>7</v>
      </c>
      <c r="E564">
        <v>1</v>
      </c>
      <c r="F564" t="s">
        <v>31</v>
      </c>
      <c r="G564" t="s">
        <v>32</v>
      </c>
      <c r="H564" t="s">
        <v>33</v>
      </c>
      <c r="I564" t="s">
        <v>43</v>
      </c>
      <c r="J564" t="s">
        <v>44</v>
      </c>
      <c r="K564" t="s">
        <v>113</v>
      </c>
      <c r="L564" t="s">
        <v>45</v>
      </c>
      <c r="M564">
        <v>0</v>
      </c>
      <c r="N564">
        <v>0</v>
      </c>
      <c r="O564" s="5">
        <v>50457</v>
      </c>
      <c r="P564" s="5">
        <v>50456</v>
      </c>
      <c r="Q564">
        <f>19-4</f>
        <v>15</v>
      </c>
      <c r="R564" t="s">
        <v>61</v>
      </c>
      <c r="S564" t="s">
        <v>39</v>
      </c>
      <c r="T564">
        <v>18</v>
      </c>
      <c r="U564">
        <v>76</v>
      </c>
      <c r="V564">
        <v>14</v>
      </c>
      <c r="W564">
        <v>11.5</v>
      </c>
      <c r="X564">
        <v>25.5</v>
      </c>
      <c r="Z564" t="s">
        <v>39</v>
      </c>
      <c r="AB564" t="s">
        <v>40</v>
      </c>
      <c r="AC564" t="s">
        <v>41</v>
      </c>
    </row>
    <row r="565" spans="1:29" x14ac:dyDescent="0.35">
      <c r="A565" s="4">
        <v>42536</v>
      </c>
      <c r="B565" t="s">
        <v>30</v>
      </c>
      <c r="C565">
        <v>701</v>
      </c>
      <c r="D565">
        <v>2</v>
      </c>
      <c r="E565">
        <v>1</v>
      </c>
      <c r="F565" t="s">
        <v>31</v>
      </c>
      <c r="G565" t="s">
        <v>32</v>
      </c>
      <c r="H565" t="s">
        <v>33</v>
      </c>
      <c r="I565" t="s">
        <v>43</v>
      </c>
      <c r="J565" t="s">
        <v>35</v>
      </c>
      <c r="K565" t="s">
        <v>112</v>
      </c>
      <c r="L565" t="s">
        <v>45</v>
      </c>
      <c r="M565">
        <v>0</v>
      </c>
      <c r="N565">
        <v>1</v>
      </c>
      <c r="O565" s="5">
        <v>50459</v>
      </c>
      <c r="P565" s="5">
        <v>50458</v>
      </c>
      <c r="Q565">
        <f>32-14.5</f>
        <v>17.5</v>
      </c>
      <c r="R565" t="s">
        <v>61</v>
      </c>
      <c r="S565" t="s">
        <v>102</v>
      </c>
      <c r="T565">
        <v>19</v>
      </c>
      <c r="U565">
        <v>76</v>
      </c>
      <c r="V565">
        <v>14</v>
      </c>
      <c r="W565">
        <v>11.8</v>
      </c>
      <c r="X565">
        <v>27.5</v>
      </c>
      <c r="Z565" t="s">
        <v>39</v>
      </c>
      <c r="AB565" t="s">
        <v>47</v>
      </c>
      <c r="AC565" t="s">
        <v>41</v>
      </c>
    </row>
    <row r="566" spans="1:29" x14ac:dyDescent="0.35">
      <c r="A566" s="4">
        <v>42536</v>
      </c>
      <c r="B566" t="s">
        <v>30</v>
      </c>
      <c r="C566">
        <v>801</v>
      </c>
      <c r="D566">
        <v>9</v>
      </c>
      <c r="E566">
        <v>1</v>
      </c>
      <c r="F566" t="s">
        <v>31</v>
      </c>
      <c r="G566" t="s">
        <v>32</v>
      </c>
      <c r="H566" t="s">
        <v>33</v>
      </c>
      <c r="I566" t="s">
        <v>43</v>
      </c>
      <c r="J566" t="s">
        <v>35</v>
      </c>
      <c r="K566" t="s">
        <v>113</v>
      </c>
      <c r="L566" t="s">
        <v>45</v>
      </c>
      <c r="M566">
        <v>0</v>
      </c>
      <c r="N566">
        <v>1</v>
      </c>
      <c r="O566" s="5">
        <v>50462</v>
      </c>
      <c r="P566" s="5">
        <v>50461</v>
      </c>
      <c r="Q566">
        <f>18.5-3.5</f>
        <v>15</v>
      </c>
      <c r="R566" t="s">
        <v>46</v>
      </c>
      <c r="S566" t="s">
        <v>39</v>
      </c>
      <c r="T566">
        <v>20</v>
      </c>
      <c r="U566">
        <v>78</v>
      </c>
      <c r="V566">
        <v>13</v>
      </c>
      <c r="W566">
        <v>12.7</v>
      </c>
      <c r="X566">
        <v>26.8</v>
      </c>
      <c r="Z566" t="s">
        <v>39</v>
      </c>
      <c r="AB566" t="s">
        <v>47</v>
      </c>
      <c r="AC566" t="s">
        <v>41</v>
      </c>
    </row>
    <row r="567" spans="1:29" x14ac:dyDescent="0.35">
      <c r="A567" s="4">
        <v>42536</v>
      </c>
      <c r="B567" t="s">
        <v>30</v>
      </c>
      <c r="C567">
        <v>303</v>
      </c>
      <c r="D567">
        <v>3</v>
      </c>
      <c r="E567">
        <v>1</v>
      </c>
      <c r="F567" t="s">
        <v>42</v>
      </c>
      <c r="G567" t="s">
        <v>32</v>
      </c>
      <c r="H567" t="s">
        <v>33</v>
      </c>
      <c r="I567" t="s">
        <v>43</v>
      </c>
      <c r="J567" t="s">
        <v>35</v>
      </c>
      <c r="K567" t="s">
        <v>88</v>
      </c>
      <c r="L567" t="s">
        <v>45</v>
      </c>
      <c r="M567">
        <v>0</v>
      </c>
      <c r="N567">
        <v>1</v>
      </c>
      <c r="O567" s="5">
        <v>50477</v>
      </c>
      <c r="P567" s="5">
        <v>50476</v>
      </c>
      <c r="Q567">
        <f>32-16</f>
        <v>16</v>
      </c>
      <c r="R567" t="s">
        <v>46</v>
      </c>
      <c r="S567" t="s">
        <v>39</v>
      </c>
      <c r="T567">
        <v>18.5</v>
      </c>
      <c r="U567">
        <v>79</v>
      </c>
      <c r="V567">
        <v>16</v>
      </c>
      <c r="W567">
        <v>12.6</v>
      </c>
      <c r="X567">
        <v>29.5</v>
      </c>
      <c r="Z567" t="s">
        <v>39</v>
      </c>
      <c r="AB567" t="s">
        <v>125</v>
      </c>
      <c r="AC567" t="s">
        <v>41</v>
      </c>
    </row>
    <row r="568" spans="1:29" x14ac:dyDescent="0.35">
      <c r="A568" s="4">
        <v>42536</v>
      </c>
      <c r="B568" t="s">
        <v>30</v>
      </c>
      <c r="C568">
        <v>303</v>
      </c>
      <c r="D568">
        <v>2</v>
      </c>
      <c r="E568">
        <v>2</v>
      </c>
      <c r="F568" t="s">
        <v>42</v>
      </c>
      <c r="G568" t="s">
        <v>32</v>
      </c>
      <c r="H568" t="s">
        <v>33</v>
      </c>
      <c r="I568" t="s">
        <v>43</v>
      </c>
      <c r="J568" t="s">
        <v>35</v>
      </c>
      <c r="K568" t="s">
        <v>88</v>
      </c>
      <c r="L568" t="s">
        <v>45</v>
      </c>
      <c r="M568">
        <v>0</v>
      </c>
      <c r="N568">
        <v>1</v>
      </c>
      <c r="O568" s="5">
        <v>50582</v>
      </c>
      <c r="P568" s="5">
        <v>50581</v>
      </c>
      <c r="Q568">
        <f>26.5-13</f>
        <v>13.5</v>
      </c>
      <c r="R568" t="s">
        <v>46</v>
      </c>
      <c r="S568" t="s">
        <v>39</v>
      </c>
      <c r="T568">
        <v>18</v>
      </c>
      <c r="U568">
        <v>76.5</v>
      </c>
      <c r="V568">
        <v>16</v>
      </c>
      <c r="W568">
        <v>12.1</v>
      </c>
      <c r="X568">
        <v>27.8</v>
      </c>
      <c r="Z568" t="s">
        <v>39</v>
      </c>
      <c r="AB568" t="s">
        <v>125</v>
      </c>
      <c r="AC568" t="s">
        <v>41</v>
      </c>
    </row>
    <row r="569" spans="1:29" x14ac:dyDescent="0.35">
      <c r="A569" s="4">
        <v>42536</v>
      </c>
      <c r="B569" t="s">
        <v>30</v>
      </c>
      <c r="C569">
        <v>703</v>
      </c>
      <c r="D569">
        <v>9</v>
      </c>
      <c r="E569">
        <v>2</v>
      </c>
      <c r="F569" t="s">
        <v>31</v>
      </c>
      <c r="G569" t="s">
        <v>32</v>
      </c>
      <c r="H569" t="s">
        <v>33</v>
      </c>
      <c r="I569" t="s">
        <v>43</v>
      </c>
      <c r="J569" t="s">
        <v>44</v>
      </c>
      <c r="K569" t="s">
        <v>112</v>
      </c>
      <c r="L569" t="s">
        <v>45</v>
      </c>
      <c r="M569">
        <v>0</v>
      </c>
      <c r="N569">
        <v>0</v>
      </c>
      <c r="O569" s="5" t="s">
        <v>70</v>
      </c>
      <c r="P569" s="5" t="s">
        <v>71</v>
      </c>
      <c r="Q569">
        <f>33-12</f>
        <v>21</v>
      </c>
      <c r="R569" t="s">
        <v>61</v>
      </c>
      <c r="S569" t="s">
        <v>102</v>
      </c>
      <c r="T569">
        <v>21</v>
      </c>
      <c r="U569">
        <v>88</v>
      </c>
      <c r="V569">
        <v>12</v>
      </c>
      <c r="W569">
        <v>12.5</v>
      </c>
      <c r="X569">
        <v>29.2</v>
      </c>
      <c r="Y569" t="s">
        <v>126</v>
      </c>
      <c r="Z569" t="s">
        <v>39</v>
      </c>
      <c r="AB569" t="s">
        <v>47</v>
      </c>
      <c r="AC569" t="s">
        <v>41</v>
      </c>
    </row>
    <row r="570" spans="1:29" x14ac:dyDescent="0.35">
      <c r="A570" s="4">
        <v>42536</v>
      </c>
      <c r="B570" t="s">
        <v>30</v>
      </c>
      <c r="C570">
        <v>803</v>
      </c>
      <c r="D570">
        <v>6</v>
      </c>
      <c r="E570">
        <v>1</v>
      </c>
      <c r="F570" t="s">
        <v>31</v>
      </c>
      <c r="G570" t="s">
        <v>32</v>
      </c>
      <c r="H570" t="s">
        <v>33</v>
      </c>
      <c r="I570" t="s">
        <v>34</v>
      </c>
      <c r="J570" t="s">
        <v>44</v>
      </c>
      <c r="K570" t="s">
        <v>112</v>
      </c>
      <c r="L570" t="s">
        <v>37</v>
      </c>
      <c r="M570">
        <v>0</v>
      </c>
      <c r="N570">
        <v>0</v>
      </c>
      <c r="O570" s="5">
        <v>50391</v>
      </c>
      <c r="P570" s="5"/>
      <c r="Q570">
        <f>134-48</f>
        <v>86</v>
      </c>
      <c r="R570" t="s">
        <v>38</v>
      </c>
      <c r="T570">
        <v>32</v>
      </c>
      <c r="Z570" t="s">
        <v>39</v>
      </c>
      <c r="AB570" t="s">
        <v>40</v>
      </c>
      <c r="AC570" t="s">
        <v>41</v>
      </c>
    </row>
    <row r="571" spans="1:29" x14ac:dyDescent="0.35">
      <c r="A571" s="4">
        <v>42536</v>
      </c>
      <c r="B571" t="s">
        <v>30</v>
      </c>
      <c r="C571">
        <v>803</v>
      </c>
      <c r="D571">
        <v>9</v>
      </c>
      <c r="E571">
        <v>1</v>
      </c>
      <c r="F571" t="s">
        <v>31</v>
      </c>
      <c r="G571" t="s">
        <v>32</v>
      </c>
      <c r="H571" t="s">
        <v>33</v>
      </c>
      <c r="I571" t="s">
        <v>34</v>
      </c>
      <c r="J571" t="s">
        <v>35</v>
      </c>
      <c r="K571" t="s">
        <v>112</v>
      </c>
      <c r="L571" t="s">
        <v>37</v>
      </c>
      <c r="M571">
        <v>0</v>
      </c>
      <c r="N571">
        <v>1</v>
      </c>
      <c r="O571" s="5">
        <v>50463</v>
      </c>
      <c r="P571" s="5"/>
      <c r="Q571">
        <f>128-50</f>
        <v>78</v>
      </c>
      <c r="R571" t="s">
        <v>38</v>
      </c>
      <c r="W571">
        <v>18</v>
      </c>
      <c r="X571">
        <v>42</v>
      </c>
      <c r="Z571" t="s">
        <v>39</v>
      </c>
      <c r="AB571" t="s">
        <v>40</v>
      </c>
      <c r="AC571" t="s">
        <v>41</v>
      </c>
    </row>
    <row r="572" spans="1:29" x14ac:dyDescent="0.35">
      <c r="A572" s="4">
        <v>42536</v>
      </c>
      <c r="B572" t="s">
        <v>30</v>
      </c>
      <c r="C572">
        <v>501</v>
      </c>
      <c r="D572">
        <v>7</v>
      </c>
      <c r="E572">
        <v>1</v>
      </c>
      <c r="F572" t="s">
        <v>42</v>
      </c>
      <c r="G572" t="s">
        <v>32</v>
      </c>
      <c r="H572" t="s">
        <v>33</v>
      </c>
      <c r="I572" t="s">
        <v>34</v>
      </c>
      <c r="J572" t="s">
        <v>44</v>
      </c>
      <c r="K572" t="s">
        <v>112</v>
      </c>
      <c r="M572">
        <v>0</v>
      </c>
      <c r="N572">
        <v>0</v>
      </c>
      <c r="O572" s="5"/>
      <c r="P572" s="5">
        <v>50337</v>
      </c>
      <c r="Q572">
        <f>170-90</f>
        <v>80</v>
      </c>
      <c r="Z572" t="s">
        <v>39</v>
      </c>
    </row>
    <row r="573" spans="1:29" x14ac:dyDescent="0.35">
      <c r="A573" s="4">
        <v>42536</v>
      </c>
      <c r="B573" t="s">
        <v>30</v>
      </c>
      <c r="C573">
        <v>503</v>
      </c>
      <c r="D573">
        <v>1</v>
      </c>
      <c r="E573">
        <v>1</v>
      </c>
      <c r="F573" t="s">
        <v>42</v>
      </c>
      <c r="G573" t="s">
        <v>32</v>
      </c>
      <c r="H573" t="s">
        <v>33</v>
      </c>
      <c r="I573" t="s">
        <v>34</v>
      </c>
      <c r="J573" t="s">
        <v>44</v>
      </c>
      <c r="K573" t="s">
        <v>112</v>
      </c>
      <c r="L573" t="s">
        <v>45</v>
      </c>
      <c r="M573">
        <v>0</v>
      </c>
      <c r="N573">
        <v>0</v>
      </c>
      <c r="O573" s="5"/>
      <c r="P573" s="5">
        <v>50578</v>
      </c>
      <c r="Q573">
        <v>110</v>
      </c>
      <c r="R573" t="s">
        <v>74</v>
      </c>
      <c r="S573" t="s">
        <v>102</v>
      </c>
      <c r="T573">
        <v>36</v>
      </c>
      <c r="W573">
        <v>22.3</v>
      </c>
      <c r="X573">
        <v>44.5</v>
      </c>
      <c r="Z573" t="s">
        <v>39</v>
      </c>
      <c r="AB573" t="s">
        <v>47</v>
      </c>
      <c r="AC573" t="s">
        <v>41</v>
      </c>
    </row>
    <row r="574" spans="1:29" x14ac:dyDescent="0.35">
      <c r="A574" s="4">
        <v>42536</v>
      </c>
      <c r="B574" t="s">
        <v>30</v>
      </c>
      <c r="C574">
        <v>701</v>
      </c>
      <c r="D574">
        <v>3</v>
      </c>
      <c r="E574">
        <v>2</v>
      </c>
      <c r="F574" t="s">
        <v>31</v>
      </c>
      <c r="G574" t="s">
        <v>32</v>
      </c>
      <c r="H574" t="s">
        <v>33</v>
      </c>
      <c r="I574" t="s">
        <v>34</v>
      </c>
      <c r="J574" t="s">
        <v>44</v>
      </c>
      <c r="K574" t="s">
        <v>112</v>
      </c>
      <c r="L574" t="s">
        <v>45</v>
      </c>
      <c r="M574">
        <v>0</v>
      </c>
      <c r="N574">
        <v>0</v>
      </c>
      <c r="O574" s="5"/>
      <c r="P574" s="5" t="s">
        <v>93</v>
      </c>
      <c r="Q574">
        <f>144-48</f>
        <v>96</v>
      </c>
      <c r="R574" t="s">
        <v>61</v>
      </c>
      <c r="S574" t="s">
        <v>102</v>
      </c>
      <c r="T574">
        <v>32</v>
      </c>
      <c r="W574">
        <v>42.4</v>
      </c>
      <c r="X574">
        <v>21.1</v>
      </c>
      <c r="Z574" t="s">
        <v>39</v>
      </c>
      <c r="AB574" t="s">
        <v>47</v>
      </c>
      <c r="AC574" t="s">
        <v>41</v>
      </c>
    </row>
    <row r="575" spans="1:29" x14ac:dyDescent="0.35">
      <c r="A575" s="4">
        <v>42536</v>
      </c>
      <c r="B575" t="s">
        <v>30</v>
      </c>
      <c r="C575">
        <v>701</v>
      </c>
      <c r="D575">
        <v>10</v>
      </c>
      <c r="E575">
        <v>1</v>
      </c>
      <c r="F575" t="s">
        <v>31</v>
      </c>
      <c r="G575" t="s">
        <v>32</v>
      </c>
      <c r="H575" t="s">
        <v>33</v>
      </c>
      <c r="I575" t="s">
        <v>34</v>
      </c>
      <c r="J575" t="s">
        <v>127</v>
      </c>
      <c r="K575" t="s">
        <v>112</v>
      </c>
      <c r="L575" t="s">
        <v>37</v>
      </c>
      <c r="M575">
        <v>0</v>
      </c>
      <c r="N575">
        <v>0</v>
      </c>
      <c r="O575" s="5"/>
      <c r="P575" s="5">
        <v>50371</v>
      </c>
      <c r="R575" t="s">
        <v>38</v>
      </c>
      <c r="T575">
        <v>28</v>
      </c>
      <c r="W575">
        <v>19.5</v>
      </c>
      <c r="X575">
        <v>42.5</v>
      </c>
      <c r="Z575" t="s">
        <v>39</v>
      </c>
      <c r="AB575" t="s">
        <v>47</v>
      </c>
      <c r="AC575" t="s">
        <v>41</v>
      </c>
    </row>
    <row r="576" spans="1:29" x14ac:dyDescent="0.35">
      <c r="A576" s="4">
        <v>42536</v>
      </c>
      <c r="B576" t="s">
        <v>30</v>
      </c>
      <c r="C576">
        <v>801</v>
      </c>
      <c r="D576">
        <v>8</v>
      </c>
      <c r="E576">
        <v>1</v>
      </c>
      <c r="F576" t="s">
        <v>31</v>
      </c>
      <c r="G576" t="s">
        <v>32</v>
      </c>
      <c r="H576" t="s">
        <v>33</v>
      </c>
      <c r="I576" t="s">
        <v>34</v>
      </c>
      <c r="J576" t="s">
        <v>44</v>
      </c>
      <c r="K576" t="s">
        <v>112</v>
      </c>
      <c r="L576" t="s">
        <v>37</v>
      </c>
      <c r="M576">
        <v>0</v>
      </c>
      <c r="N576">
        <v>0</v>
      </c>
      <c r="O576" s="5"/>
      <c r="P576" s="5">
        <v>50302</v>
      </c>
      <c r="Q576">
        <v>100</v>
      </c>
      <c r="R576" t="s">
        <v>38</v>
      </c>
      <c r="T576">
        <v>30</v>
      </c>
      <c r="Z576" t="s">
        <v>39</v>
      </c>
      <c r="AB576" t="s">
        <v>47</v>
      </c>
      <c r="AC576" t="s">
        <v>41</v>
      </c>
    </row>
    <row r="577" spans="1:29" x14ac:dyDescent="0.35">
      <c r="A577" s="4">
        <v>42536</v>
      </c>
      <c r="B577" t="s">
        <v>30</v>
      </c>
      <c r="C577">
        <v>703</v>
      </c>
      <c r="D577">
        <v>10</v>
      </c>
      <c r="E577">
        <v>1</v>
      </c>
      <c r="F577" t="s">
        <v>31</v>
      </c>
      <c r="G577" t="s">
        <v>32</v>
      </c>
      <c r="H577" t="s">
        <v>33</v>
      </c>
      <c r="I577" t="s">
        <v>128</v>
      </c>
      <c r="M577">
        <v>0</v>
      </c>
      <c r="N577">
        <v>0</v>
      </c>
      <c r="O577" s="5">
        <v>50382</v>
      </c>
      <c r="P577" s="5">
        <v>50381</v>
      </c>
      <c r="Q577">
        <f>152-38</f>
        <v>114</v>
      </c>
      <c r="Z577" t="s">
        <v>39</v>
      </c>
      <c r="AB577" t="s">
        <v>47</v>
      </c>
      <c r="AC577" t="s">
        <v>41</v>
      </c>
    </row>
    <row r="578" spans="1:29" x14ac:dyDescent="0.35">
      <c r="A578" s="4">
        <v>42536</v>
      </c>
      <c r="B578" t="s">
        <v>30</v>
      </c>
      <c r="C578">
        <v>701</v>
      </c>
      <c r="D578">
        <v>9</v>
      </c>
      <c r="E578">
        <v>1</v>
      </c>
      <c r="F578" t="s">
        <v>31</v>
      </c>
      <c r="G578" t="s">
        <v>32</v>
      </c>
      <c r="H578" t="s">
        <v>33</v>
      </c>
      <c r="I578" t="s">
        <v>65</v>
      </c>
      <c r="J578" t="s">
        <v>35</v>
      </c>
      <c r="K578" t="s">
        <v>112</v>
      </c>
      <c r="L578" t="s">
        <v>45</v>
      </c>
      <c r="M578">
        <v>0</v>
      </c>
      <c r="N578">
        <v>0</v>
      </c>
      <c r="O578" s="5">
        <v>50460</v>
      </c>
      <c r="P578" s="5"/>
      <c r="Q578">
        <f>220-48</f>
        <v>172</v>
      </c>
      <c r="R578" t="s">
        <v>61</v>
      </c>
      <c r="S578" t="s">
        <v>102</v>
      </c>
      <c r="T578">
        <v>38</v>
      </c>
      <c r="W578">
        <v>41.8</v>
      </c>
      <c r="X578">
        <v>12.5</v>
      </c>
      <c r="Z578" t="s">
        <v>39</v>
      </c>
      <c r="AB578" t="s">
        <v>47</v>
      </c>
      <c r="AC578" t="s">
        <v>41</v>
      </c>
    </row>
    <row r="579" spans="1:29" x14ac:dyDescent="0.35">
      <c r="A579" s="4">
        <v>42536</v>
      </c>
      <c r="B579" t="s">
        <v>30</v>
      </c>
      <c r="C579">
        <v>703</v>
      </c>
      <c r="D579">
        <v>3</v>
      </c>
      <c r="E579">
        <v>1</v>
      </c>
      <c r="F579" t="s">
        <v>31</v>
      </c>
      <c r="G579" t="s">
        <v>32</v>
      </c>
      <c r="H579" t="s">
        <v>33</v>
      </c>
      <c r="I579" t="s">
        <v>65</v>
      </c>
      <c r="J579" t="s">
        <v>122</v>
      </c>
      <c r="O579" s="5"/>
      <c r="P579" s="5"/>
      <c r="Z579" t="s">
        <v>39</v>
      </c>
    </row>
    <row r="580" spans="1:29" x14ac:dyDescent="0.35">
      <c r="A580" s="4">
        <v>42536</v>
      </c>
      <c r="B580" t="s">
        <v>30</v>
      </c>
      <c r="C580">
        <v>701</v>
      </c>
      <c r="D580">
        <v>5</v>
      </c>
      <c r="E580">
        <v>1</v>
      </c>
      <c r="F580" t="s">
        <v>31</v>
      </c>
      <c r="G580" t="s">
        <v>32</v>
      </c>
      <c r="H580" t="s">
        <v>33</v>
      </c>
      <c r="I580" t="s">
        <v>65</v>
      </c>
      <c r="J580" t="s">
        <v>122</v>
      </c>
      <c r="O580" s="5"/>
      <c r="P580" s="5"/>
      <c r="Z580" t="s">
        <v>39</v>
      </c>
    </row>
    <row r="581" spans="1:29" x14ac:dyDescent="0.35">
      <c r="A581" s="4">
        <v>42536</v>
      </c>
      <c r="B581" t="s">
        <v>30</v>
      </c>
      <c r="C581">
        <v>701</v>
      </c>
      <c r="D581">
        <v>5</v>
      </c>
      <c r="E581">
        <v>2</v>
      </c>
      <c r="F581" t="s">
        <v>31</v>
      </c>
      <c r="G581" t="s">
        <v>32</v>
      </c>
      <c r="H581" t="s">
        <v>33</v>
      </c>
      <c r="I581" t="s">
        <v>65</v>
      </c>
      <c r="J581" t="s">
        <v>122</v>
      </c>
      <c r="O581" s="5"/>
      <c r="P581" s="5"/>
      <c r="Z581" t="s">
        <v>39</v>
      </c>
    </row>
    <row r="582" spans="1:29" x14ac:dyDescent="0.35">
      <c r="A582" s="4">
        <v>42536</v>
      </c>
      <c r="B582" t="s">
        <v>30</v>
      </c>
      <c r="C582">
        <v>503</v>
      </c>
      <c r="D582">
        <v>5</v>
      </c>
      <c r="E582">
        <v>1</v>
      </c>
      <c r="F582" t="s">
        <v>42</v>
      </c>
      <c r="G582" t="s">
        <v>32</v>
      </c>
      <c r="H582" t="s">
        <v>33</v>
      </c>
      <c r="I582" t="s">
        <v>55</v>
      </c>
      <c r="O582" s="5"/>
      <c r="P582" s="5"/>
      <c r="Z582" t="s">
        <v>39</v>
      </c>
    </row>
    <row r="583" spans="1:29" x14ac:dyDescent="0.35">
      <c r="A583" s="4">
        <v>42536</v>
      </c>
      <c r="B583" t="s">
        <v>30</v>
      </c>
      <c r="C583">
        <v>701</v>
      </c>
      <c r="D583">
        <v>7</v>
      </c>
      <c r="E583">
        <v>1</v>
      </c>
      <c r="F583" t="s">
        <v>31</v>
      </c>
      <c r="G583" t="s">
        <v>32</v>
      </c>
      <c r="H583" t="s">
        <v>33</v>
      </c>
      <c r="I583" t="s">
        <v>81</v>
      </c>
      <c r="O583" s="5"/>
      <c r="P583" s="5"/>
      <c r="Z583" t="s">
        <v>39</v>
      </c>
    </row>
    <row r="584" spans="1:29" x14ac:dyDescent="0.35">
      <c r="A584" s="4">
        <v>42536</v>
      </c>
      <c r="B584" t="s">
        <v>30</v>
      </c>
      <c r="C584">
        <v>501</v>
      </c>
      <c r="D584">
        <v>9</v>
      </c>
      <c r="E584">
        <v>1</v>
      </c>
      <c r="F584" t="s">
        <v>42</v>
      </c>
      <c r="G584" t="s">
        <v>32</v>
      </c>
      <c r="H584" t="s">
        <v>33</v>
      </c>
      <c r="I584" t="s">
        <v>59</v>
      </c>
      <c r="O584" s="5"/>
      <c r="P584" s="5"/>
      <c r="Z584" t="s">
        <v>39</v>
      </c>
    </row>
    <row r="585" spans="1:29" x14ac:dyDescent="0.35">
      <c r="A585" s="4">
        <v>42536</v>
      </c>
      <c r="B585" t="s">
        <v>30</v>
      </c>
      <c r="C585">
        <v>501</v>
      </c>
      <c r="D585">
        <v>9</v>
      </c>
      <c r="E585">
        <v>2</v>
      </c>
      <c r="F585" t="s">
        <v>42</v>
      </c>
      <c r="G585" t="s">
        <v>32</v>
      </c>
      <c r="H585" t="s">
        <v>33</v>
      </c>
      <c r="I585" t="s">
        <v>59</v>
      </c>
      <c r="O585" s="5"/>
      <c r="P585" s="5"/>
      <c r="Z585" t="s">
        <v>39</v>
      </c>
    </row>
    <row r="586" spans="1:29" x14ac:dyDescent="0.35">
      <c r="A586" s="4">
        <v>42536</v>
      </c>
      <c r="B586" t="s">
        <v>30</v>
      </c>
      <c r="C586">
        <v>503</v>
      </c>
      <c r="D586">
        <v>9</v>
      </c>
      <c r="E586">
        <v>1</v>
      </c>
      <c r="F586" t="s">
        <v>42</v>
      </c>
      <c r="G586" t="s">
        <v>32</v>
      </c>
      <c r="H586" t="s">
        <v>33</v>
      </c>
      <c r="I586" t="s">
        <v>59</v>
      </c>
      <c r="O586" s="5"/>
      <c r="P586" s="5"/>
      <c r="Z586" t="s">
        <v>39</v>
      </c>
    </row>
    <row r="587" spans="1:29" x14ac:dyDescent="0.35">
      <c r="A587" s="4">
        <v>42536</v>
      </c>
      <c r="B587" t="s">
        <v>30</v>
      </c>
      <c r="C587">
        <v>503</v>
      </c>
      <c r="D587">
        <v>9</v>
      </c>
      <c r="E587">
        <v>2</v>
      </c>
      <c r="F587" t="s">
        <v>42</v>
      </c>
      <c r="G587" t="s">
        <v>32</v>
      </c>
      <c r="H587" t="s">
        <v>33</v>
      </c>
      <c r="I587" t="s">
        <v>59</v>
      </c>
      <c r="O587" s="5"/>
      <c r="P587" s="5"/>
      <c r="Z587" t="s">
        <v>39</v>
      </c>
    </row>
    <row r="588" spans="1:29" x14ac:dyDescent="0.35">
      <c r="A588" s="4">
        <v>42536</v>
      </c>
      <c r="B588" t="s">
        <v>30</v>
      </c>
      <c r="C588">
        <v>503</v>
      </c>
      <c r="D588">
        <v>10</v>
      </c>
      <c r="E588">
        <v>1</v>
      </c>
      <c r="F588" t="s">
        <v>42</v>
      </c>
      <c r="G588" t="s">
        <v>32</v>
      </c>
      <c r="H588" t="s">
        <v>33</v>
      </c>
      <c r="I588" t="s">
        <v>59</v>
      </c>
      <c r="O588" s="5"/>
      <c r="P588" s="5"/>
      <c r="Z588" t="s">
        <v>39</v>
      </c>
    </row>
    <row r="589" spans="1:29" x14ac:dyDescent="0.35">
      <c r="A589" s="4">
        <v>42536</v>
      </c>
      <c r="B589" t="s">
        <v>30</v>
      </c>
      <c r="C589">
        <v>503</v>
      </c>
      <c r="D589">
        <v>10</v>
      </c>
      <c r="E589">
        <v>2</v>
      </c>
      <c r="F589" t="s">
        <v>42</v>
      </c>
      <c r="G589" t="s">
        <v>32</v>
      </c>
      <c r="H589" t="s">
        <v>33</v>
      </c>
      <c r="I589" t="s">
        <v>59</v>
      </c>
      <c r="O589" s="5"/>
      <c r="P589" s="5"/>
      <c r="Z589" t="s">
        <v>39</v>
      </c>
    </row>
    <row r="590" spans="1:29" x14ac:dyDescent="0.35">
      <c r="A590" s="4">
        <v>42536</v>
      </c>
      <c r="B590" t="s">
        <v>30</v>
      </c>
      <c r="C590">
        <v>303</v>
      </c>
      <c r="D590">
        <v>2</v>
      </c>
      <c r="E590">
        <v>1</v>
      </c>
      <c r="F590" t="s">
        <v>42</v>
      </c>
      <c r="G590" t="s">
        <v>32</v>
      </c>
      <c r="H590" t="s">
        <v>33</v>
      </c>
      <c r="I590" t="s">
        <v>59</v>
      </c>
      <c r="O590" s="5"/>
      <c r="P590" s="5"/>
      <c r="Z590" t="s">
        <v>39</v>
      </c>
    </row>
    <row r="591" spans="1:29" x14ac:dyDescent="0.35">
      <c r="A591" s="4">
        <v>42536</v>
      </c>
      <c r="B591" t="s">
        <v>30</v>
      </c>
      <c r="C591">
        <v>303</v>
      </c>
      <c r="D591">
        <v>5</v>
      </c>
      <c r="E591">
        <v>1</v>
      </c>
      <c r="F591" t="s">
        <v>42</v>
      </c>
      <c r="G591" t="s">
        <v>32</v>
      </c>
      <c r="H591" t="s">
        <v>33</v>
      </c>
      <c r="I591" t="s">
        <v>59</v>
      </c>
      <c r="O591" s="5"/>
      <c r="P591" s="5"/>
      <c r="Z591" t="s">
        <v>39</v>
      </c>
    </row>
    <row r="592" spans="1:29" x14ac:dyDescent="0.35">
      <c r="A592" s="4">
        <v>42536</v>
      </c>
      <c r="B592" t="s">
        <v>30</v>
      </c>
      <c r="C592">
        <v>703</v>
      </c>
      <c r="D592">
        <v>1</v>
      </c>
      <c r="E592">
        <v>1</v>
      </c>
      <c r="F592" t="s">
        <v>31</v>
      </c>
      <c r="G592" t="s">
        <v>32</v>
      </c>
      <c r="H592" t="s">
        <v>33</v>
      </c>
      <c r="I592" t="s">
        <v>59</v>
      </c>
      <c r="O592" s="5"/>
      <c r="P592" s="5"/>
      <c r="Z592" t="s">
        <v>39</v>
      </c>
    </row>
    <row r="593" spans="1:29" x14ac:dyDescent="0.35">
      <c r="A593" s="4">
        <v>42536</v>
      </c>
      <c r="B593" t="s">
        <v>30</v>
      </c>
      <c r="C593">
        <v>703</v>
      </c>
      <c r="D593">
        <v>1</v>
      </c>
      <c r="E593">
        <v>2</v>
      </c>
      <c r="F593" t="s">
        <v>31</v>
      </c>
      <c r="G593" t="s">
        <v>32</v>
      </c>
      <c r="H593" t="s">
        <v>33</v>
      </c>
      <c r="I593" t="s">
        <v>59</v>
      </c>
      <c r="O593" s="5"/>
      <c r="P593" s="5"/>
      <c r="Z593" t="s">
        <v>39</v>
      </c>
    </row>
    <row r="594" spans="1:29" x14ac:dyDescent="0.35">
      <c r="A594" s="4">
        <v>42536</v>
      </c>
      <c r="B594" t="s">
        <v>30</v>
      </c>
      <c r="C594">
        <v>703</v>
      </c>
      <c r="D594">
        <v>2</v>
      </c>
      <c r="E594">
        <v>1</v>
      </c>
      <c r="F594" t="s">
        <v>31</v>
      </c>
      <c r="G594" t="s">
        <v>32</v>
      </c>
      <c r="H594" t="s">
        <v>33</v>
      </c>
      <c r="I594" t="s">
        <v>59</v>
      </c>
      <c r="O594" s="5"/>
      <c r="P594" s="5"/>
      <c r="Z594" t="s">
        <v>39</v>
      </c>
    </row>
    <row r="595" spans="1:29" x14ac:dyDescent="0.35">
      <c r="A595" s="4">
        <v>42536</v>
      </c>
      <c r="B595" t="s">
        <v>30</v>
      </c>
      <c r="C595">
        <v>703</v>
      </c>
      <c r="D595">
        <v>7</v>
      </c>
      <c r="E595">
        <v>1</v>
      </c>
      <c r="F595" t="s">
        <v>31</v>
      </c>
      <c r="G595" t="s">
        <v>32</v>
      </c>
      <c r="H595" t="s">
        <v>33</v>
      </c>
      <c r="I595" t="s">
        <v>59</v>
      </c>
      <c r="O595" s="5"/>
      <c r="P595" s="5"/>
      <c r="Z595" t="s">
        <v>39</v>
      </c>
    </row>
    <row r="596" spans="1:29" x14ac:dyDescent="0.35">
      <c r="A596" s="4">
        <v>42536</v>
      </c>
      <c r="B596" t="s">
        <v>30</v>
      </c>
      <c r="C596">
        <v>701</v>
      </c>
      <c r="D596">
        <v>3</v>
      </c>
      <c r="E596">
        <v>1</v>
      </c>
      <c r="F596" t="s">
        <v>31</v>
      </c>
      <c r="G596" t="s">
        <v>32</v>
      </c>
      <c r="H596" t="s">
        <v>33</v>
      </c>
      <c r="I596" t="s">
        <v>59</v>
      </c>
      <c r="O596" s="5"/>
      <c r="P596" s="5"/>
      <c r="Z596" t="s">
        <v>39</v>
      </c>
    </row>
    <row r="597" spans="1:29" x14ac:dyDescent="0.35">
      <c r="A597" s="4">
        <v>42536</v>
      </c>
      <c r="B597" t="s">
        <v>30</v>
      </c>
      <c r="C597">
        <v>701</v>
      </c>
      <c r="D597">
        <v>4</v>
      </c>
      <c r="E597">
        <v>1</v>
      </c>
      <c r="F597" t="s">
        <v>31</v>
      </c>
      <c r="G597" t="s">
        <v>32</v>
      </c>
      <c r="H597" t="s">
        <v>33</v>
      </c>
      <c r="I597" t="s">
        <v>59</v>
      </c>
      <c r="O597" s="5"/>
      <c r="P597" s="5"/>
      <c r="Z597" t="s">
        <v>39</v>
      </c>
    </row>
    <row r="598" spans="1:29" x14ac:dyDescent="0.35">
      <c r="A598" s="4">
        <v>42536</v>
      </c>
      <c r="B598" t="s">
        <v>30</v>
      </c>
      <c r="C598">
        <v>701</v>
      </c>
      <c r="D598">
        <v>4</v>
      </c>
      <c r="E598">
        <v>2</v>
      </c>
      <c r="F598" t="s">
        <v>31</v>
      </c>
      <c r="G598" t="s">
        <v>32</v>
      </c>
      <c r="H598" t="s">
        <v>33</v>
      </c>
      <c r="I598" t="s">
        <v>59</v>
      </c>
      <c r="O598" s="5"/>
      <c r="P598" s="5"/>
      <c r="Z598" t="s">
        <v>39</v>
      </c>
    </row>
    <row r="599" spans="1:29" x14ac:dyDescent="0.35">
      <c r="A599" s="4">
        <v>42536</v>
      </c>
      <c r="B599" t="s">
        <v>30</v>
      </c>
      <c r="C599">
        <v>701</v>
      </c>
      <c r="D599">
        <v>7</v>
      </c>
      <c r="E599">
        <v>2</v>
      </c>
      <c r="F599" t="s">
        <v>31</v>
      </c>
      <c r="G599" t="s">
        <v>32</v>
      </c>
      <c r="H599" t="s">
        <v>33</v>
      </c>
      <c r="I599" t="s">
        <v>59</v>
      </c>
      <c r="O599" s="5"/>
      <c r="P599" s="5"/>
      <c r="Z599" t="s">
        <v>39</v>
      </c>
    </row>
    <row r="600" spans="1:29" x14ac:dyDescent="0.35">
      <c r="A600" s="4">
        <v>42536</v>
      </c>
      <c r="B600" t="s">
        <v>30</v>
      </c>
      <c r="C600">
        <v>803</v>
      </c>
      <c r="D600">
        <v>10</v>
      </c>
      <c r="E600">
        <v>1</v>
      </c>
      <c r="F600" t="s">
        <v>31</v>
      </c>
      <c r="G600" t="s">
        <v>32</v>
      </c>
      <c r="H600" t="s">
        <v>33</v>
      </c>
      <c r="I600" t="s">
        <v>59</v>
      </c>
      <c r="O600" s="5"/>
      <c r="P600" s="5"/>
      <c r="Z600" t="s">
        <v>39</v>
      </c>
    </row>
    <row r="601" spans="1:29" x14ac:dyDescent="0.35">
      <c r="A601" s="4">
        <v>42536</v>
      </c>
      <c r="B601" t="s">
        <v>30</v>
      </c>
      <c r="C601">
        <v>803</v>
      </c>
      <c r="D601">
        <v>8</v>
      </c>
      <c r="E601">
        <v>1</v>
      </c>
      <c r="F601" t="s">
        <v>31</v>
      </c>
      <c r="G601" t="s">
        <v>32</v>
      </c>
      <c r="H601" t="s">
        <v>33</v>
      </c>
      <c r="I601" t="s">
        <v>59</v>
      </c>
      <c r="O601" s="5"/>
      <c r="P601" s="5"/>
      <c r="Z601" t="s">
        <v>39</v>
      </c>
    </row>
    <row r="602" spans="1:29" x14ac:dyDescent="0.35">
      <c r="A602" s="4">
        <v>42536</v>
      </c>
      <c r="B602" t="s">
        <v>30</v>
      </c>
      <c r="C602">
        <v>803</v>
      </c>
      <c r="D602">
        <v>5</v>
      </c>
      <c r="E602">
        <v>1</v>
      </c>
      <c r="F602" t="s">
        <v>31</v>
      </c>
      <c r="G602" t="s">
        <v>32</v>
      </c>
      <c r="H602" t="s">
        <v>33</v>
      </c>
      <c r="I602" t="s">
        <v>59</v>
      </c>
      <c r="O602" s="5"/>
      <c r="P602" s="5"/>
      <c r="Z602" t="s">
        <v>39</v>
      </c>
    </row>
    <row r="603" spans="1:29" x14ac:dyDescent="0.35">
      <c r="A603" s="4">
        <v>42536</v>
      </c>
      <c r="B603" t="s">
        <v>30</v>
      </c>
      <c r="C603">
        <v>803</v>
      </c>
      <c r="D603">
        <v>2</v>
      </c>
      <c r="E603">
        <v>1</v>
      </c>
      <c r="F603" t="s">
        <v>31</v>
      </c>
      <c r="G603" t="s">
        <v>32</v>
      </c>
      <c r="H603" t="s">
        <v>33</v>
      </c>
      <c r="I603" t="s">
        <v>105</v>
      </c>
      <c r="O603" s="5"/>
      <c r="P603" s="5"/>
      <c r="Z603" t="s">
        <v>39</v>
      </c>
    </row>
    <row r="604" spans="1:29" x14ac:dyDescent="0.35">
      <c r="A604" s="4">
        <v>42536</v>
      </c>
      <c r="B604" t="s">
        <v>30</v>
      </c>
      <c r="C604">
        <v>803</v>
      </c>
      <c r="D604">
        <v>2</v>
      </c>
      <c r="E604">
        <v>2</v>
      </c>
      <c r="F604" t="s">
        <v>31</v>
      </c>
      <c r="G604" t="s">
        <v>32</v>
      </c>
      <c r="H604" t="s">
        <v>33</v>
      </c>
      <c r="I604" t="s">
        <v>105</v>
      </c>
      <c r="O604" s="5"/>
      <c r="P604" s="5"/>
      <c r="Z604" t="s">
        <v>39</v>
      </c>
    </row>
    <row r="605" spans="1:29" x14ac:dyDescent="0.35">
      <c r="A605" s="4">
        <v>42536</v>
      </c>
      <c r="B605" t="s">
        <v>30</v>
      </c>
      <c r="C605">
        <v>803</v>
      </c>
      <c r="D605">
        <v>1</v>
      </c>
      <c r="E605">
        <v>1</v>
      </c>
      <c r="F605" t="s">
        <v>31</v>
      </c>
      <c r="G605" t="s">
        <v>32</v>
      </c>
      <c r="H605" t="s">
        <v>33</v>
      </c>
      <c r="I605" t="s">
        <v>105</v>
      </c>
      <c r="O605" s="5"/>
      <c r="P605" s="5"/>
      <c r="Z605" t="s">
        <v>39</v>
      </c>
    </row>
    <row r="606" spans="1:29" x14ac:dyDescent="0.35">
      <c r="A606" s="4">
        <v>42536</v>
      </c>
      <c r="B606" t="s">
        <v>30</v>
      </c>
      <c r="C606">
        <v>803</v>
      </c>
      <c r="D606">
        <v>1</v>
      </c>
      <c r="E606">
        <v>2</v>
      </c>
      <c r="F606" t="s">
        <v>31</v>
      </c>
      <c r="G606" t="s">
        <v>32</v>
      </c>
      <c r="H606" t="s">
        <v>33</v>
      </c>
      <c r="I606" t="s">
        <v>105</v>
      </c>
      <c r="O606" s="5"/>
      <c r="P606" s="5"/>
      <c r="Z606" t="s">
        <v>39</v>
      </c>
    </row>
    <row r="607" spans="1:29" x14ac:dyDescent="0.35">
      <c r="A607" s="4">
        <v>42536</v>
      </c>
      <c r="B607" t="s">
        <v>30</v>
      </c>
      <c r="C607">
        <v>701</v>
      </c>
      <c r="D607">
        <v>8</v>
      </c>
      <c r="E607">
        <v>1</v>
      </c>
      <c r="F607" t="s">
        <v>31</v>
      </c>
      <c r="G607" t="s">
        <v>32</v>
      </c>
      <c r="H607" t="s">
        <v>33</v>
      </c>
      <c r="I607" t="s">
        <v>94</v>
      </c>
      <c r="J607" t="s">
        <v>35</v>
      </c>
      <c r="K607" t="s">
        <v>112</v>
      </c>
      <c r="L607" t="s">
        <v>37</v>
      </c>
      <c r="M607">
        <v>0</v>
      </c>
      <c r="N607">
        <v>1</v>
      </c>
      <c r="O607" s="5">
        <v>50472</v>
      </c>
      <c r="P607" s="5"/>
      <c r="Q607">
        <f>28-3</f>
        <v>25</v>
      </c>
      <c r="R607" t="s">
        <v>38</v>
      </c>
      <c r="T607">
        <v>30</v>
      </c>
      <c r="W607">
        <v>12.6</v>
      </c>
      <c r="X607">
        <v>30</v>
      </c>
      <c r="Z607" t="s">
        <v>39</v>
      </c>
      <c r="AB607" t="s">
        <v>47</v>
      </c>
      <c r="AC607" t="s">
        <v>41</v>
      </c>
    </row>
    <row r="608" spans="1:29" x14ac:dyDescent="0.35">
      <c r="A608" s="4">
        <v>42536</v>
      </c>
      <c r="B608" t="s">
        <v>30</v>
      </c>
      <c r="C608">
        <v>801</v>
      </c>
      <c r="D608">
        <v>8</v>
      </c>
      <c r="E608">
        <v>2</v>
      </c>
      <c r="F608" t="s">
        <v>31</v>
      </c>
      <c r="G608" t="s">
        <v>32</v>
      </c>
      <c r="H608" t="s">
        <v>33</v>
      </c>
      <c r="I608" t="s">
        <v>94</v>
      </c>
      <c r="J608" t="s">
        <v>122</v>
      </c>
      <c r="O608" s="5"/>
      <c r="P608" s="5"/>
      <c r="Z608" t="s">
        <v>39</v>
      </c>
    </row>
    <row r="609" spans="1:29" x14ac:dyDescent="0.35">
      <c r="A609" s="4">
        <v>42537</v>
      </c>
      <c r="B609" t="s">
        <v>30</v>
      </c>
      <c r="C609">
        <v>501</v>
      </c>
      <c r="D609">
        <v>3</v>
      </c>
      <c r="E609">
        <v>1</v>
      </c>
      <c r="F609" t="s">
        <v>42</v>
      </c>
      <c r="G609" t="s">
        <v>32</v>
      </c>
      <c r="H609" t="s">
        <v>33</v>
      </c>
      <c r="I609" t="s">
        <v>43</v>
      </c>
      <c r="J609" t="s">
        <v>44</v>
      </c>
      <c r="K609" t="s">
        <v>112</v>
      </c>
      <c r="L609" t="s">
        <v>37</v>
      </c>
      <c r="M609">
        <v>0</v>
      </c>
      <c r="N609">
        <v>0</v>
      </c>
      <c r="O609" s="5">
        <v>26604</v>
      </c>
      <c r="P609" s="5">
        <v>26603</v>
      </c>
      <c r="Q609">
        <f>31.5-11</f>
        <v>20.5</v>
      </c>
      <c r="R609" t="s">
        <v>38</v>
      </c>
      <c r="T609">
        <v>17</v>
      </c>
      <c r="U609">
        <v>82</v>
      </c>
      <c r="V609">
        <v>14</v>
      </c>
      <c r="W609">
        <v>12.25</v>
      </c>
      <c r="X609">
        <v>27.5</v>
      </c>
      <c r="Z609" t="s">
        <v>39</v>
      </c>
      <c r="AB609" t="s">
        <v>47</v>
      </c>
      <c r="AC609" t="s">
        <v>87</v>
      </c>
    </row>
    <row r="610" spans="1:29" x14ac:dyDescent="0.35">
      <c r="A610" s="4">
        <v>42537</v>
      </c>
      <c r="B610" t="s">
        <v>30</v>
      </c>
      <c r="C610">
        <v>303</v>
      </c>
      <c r="D610">
        <v>1</v>
      </c>
      <c r="E610">
        <v>1</v>
      </c>
      <c r="F610" t="s">
        <v>42</v>
      </c>
      <c r="G610" t="s">
        <v>32</v>
      </c>
      <c r="H610" t="s">
        <v>33</v>
      </c>
      <c r="I610" t="s">
        <v>43</v>
      </c>
      <c r="J610" t="s">
        <v>44</v>
      </c>
      <c r="K610" t="s">
        <v>112</v>
      </c>
      <c r="L610" t="s">
        <v>37</v>
      </c>
      <c r="M610">
        <v>0</v>
      </c>
      <c r="N610">
        <v>0</v>
      </c>
      <c r="O610" s="5" t="s">
        <v>129</v>
      </c>
      <c r="P610" s="5" t="s">
        <v>130</v>
      </c>
      <c r="Q610">
        <f>35-12</f>
        <v>23</v>
      </c>
      <c r="R610" t="s">
        <v>38</v>
      </c>
      <c r="T610">
        <v>18</v>
      </c>
      <c r="U610">
        <v>85</v>
      </c>
      <c r="V610">
        <v>16</v>
      </c>
      <c r="W610">
        <v>12.5</v>
      </c>
      <c r="X610">
        <v>30.5</v>
      </c>
      <c r="Z610" t="s">
        <v>39</v>
      </c>
      <c r="AB610" t="s">
        <v>47</v>
      </c>
      <c r="AC610" t="s">
        <v>87</v>
      </c>
    </row>
    <row r="611" spans="1:29" x14ac:dyDescent="0.35">
      <c r="A611" s="4">
        <v>42537</v>
      </c>
      <c r="B611" t="s">
        <v>30</v>
      </c>
      <c r="C611">
        <v>703</v>
      </c>
      <c r="D611">
        <v>9</v>
      </c>
      <c r="E611">
        <v>1</v>
      </c>
      <c r="F611" t="s">
        <v>31</v>
      </c>
      <c r="G611" t="s">
        <v>32</v>
      </c>
      <c r="H611" t="s">
        <v>33</v>
      </c>
      <c r="I611" t="s">
        <v>43</v>
      </c>
      <c r="J611" t="s">
        <v>44</v>
      </c>
      <c r="K611" t="s">
        <v>112</v>
      </c>
      <c r="L611" t="s">
        <v>45</v>
      </c>
      <c r="M611">
        <v>0</v>
      </c>
      <c r="N611">
        <v>0</v>
      </c>
      <c r="O611" s="5">
        <v>50395</v>
      </c>
      <c r="P611" s="5">
        <v>50394</v>
      </c>
      <c r="Q611">
        <f>26-3.5</f>
        <v>22.5</v>
      </c>
      <c r="R611" t="s">
        <v>61</v>
      </c>
      <c r="S611" t="s">
        <v>102</v>
      </c>
      <c r="T611">
        <v>20</v>
      </c>
      <c r="U611">
        <v>84</v>
      </c>
      <c r="Z611" t="s">
        <v>39</v>
      </c>
      <c r="AB611" t="s">
        <v>40</v>
      </c>
      <c r="AC611" t="s">
        <v>87</v>
      </c>
    </row>
    <row r="612" spans="1:29" x14ac:dyDescent="0.35">
      <c r="A612" s="4">
        <v>42537</v>
      </c>
      <c r="B612" t="s">
        <v>30</v>
      </c>
      <c r="C612">
        <v>803</v>
      </c>
      <c r="D612">
        <v>8</v>
      </c>
      <c r="E612">
        <v>1</v>
      </c>
      <c r="F612" t="s">
        <v>31</v>
      </c>
      <c r="G612" t="s">
        <v>32</v>
      </c>
      <c r="H612" t="s">
        <v>33</v>
      </c>
      <c r="I612" t="s">
        <v>43</v>
      </c>
      <c r="J612" t="s">
        <v>44</v>
      </c>
      <c r="K612" t="s">
        <v>112</v>
      </c>
      <c r="L612" t="s">
        <v>37</v>
      </c>
      <c r="M612">
        <v>0</v>
      </c>
      <c r="N612">
        <v>0</v>
      </c>
      <c r="O612" s="5">
        <v>50453</v>
      </c>
      <c r="P612" s="5">
        <v>50454</v>
      </c>
      <c r="Q612">
        <f>38-14.4</f>
        <v>23.6</v>
      </c>
      <c r="R612" t="s">
        <v>38</v>
      </c>
      <c r="T612">
        <v>19</v>
      </c>
      <c r="U612">
        <v>81</v>
      </c>
      <c r="V612">
        <v>12</v>
      </c>
      <c r="W612">
        <v>13</v>
      </c>
      <c r="X612">
        <v>29.5</v>
      </c>
      <c r="Z612" t="s">
        <v>39</v>
      </c>
      <c r="AB612" t="s">
        <v>47</v>
      </c>
      <c r="AC612" t="s">
        <v>87</v>
      </c>
    </row>
    <row r="613" spans="1:29" x14ac:dyDescent="0.35">
      <c r="A613" s="4">
        <v>42537</v>
      </c>
      <c r="B613" t="s">
        <v>30</v>
      </c>
      <c r="C613">
        <v>803</v>
      </c>
      <c r="D613">
        <v>7</v>
      </c>
      <c r="E613">
        <v>1</v>
      </c>
      <c r="F613" t="s">
        <v>31</v>
      </c>
      <c r="G613" t="s">
        <v>32</v>
      </c>
      <c r="H613" t="s">
        <v>33</v>
      </c>
      <c r="I613" t="s">
        <v>43</v>
      </c>
      <c r="J613" t="s">
        <v>44</v>
      </c>
      <c r="K613" t="s">
        <v>113</v>
      </c>
      <c r="L613" t="s">
        <v>45</v>
      </c>
      <c r="M613">
        <v>0</v>
      </c>
      <c r="N613">
        <v>0</v>
      </c>
      <c r="O613" s="5">
        <v>50457</v>
      </c>
      <c r="P613" s="5">
        <v>50456</v>
      </c>
      <c r="R613" t="s">
        <v>61</v>
      </c>
      <c r="S613" t="s">
        <v>39</v>
      </c>
      <c r="T613">
        <v>18</v>
      </c>
      <c r="U613">
        <v>76</v>
      </c>
      <c r="V613">
        <v>12</v>
      </c>
      <c r="W613">
        <v>12.5</v>
      </c>
      <c r="X613">
        <v>26.8</v>
      </c>
      <c r="Y613" t="s">
        <v>131</v>
      </c>
      <c r="Z613" t="s">
        <v>39</v>
      </c>
      <c r="AB613" t="s">
        <v>47</v>
      </c>
      <c r="AC613" t="s">
        <v>87</v>
      </c>
    </row>
    <row r="614" spans="1:29" x14ac:dyDescent="0.35">
      <c r="A614" s="4">
        <v>42537</v>
      </c>
      <c r="B614" t="s">
        <v>30</v>
      </c>
      <c r="C614">
        <v>703</v>
      </c>
      <c r="D614">
        <v>10</v>
      </c>
      <c r="E614">
        <v>1</v>
      </c>
      <c r="F614" t="s">
        <v>31</v>
      </c>
      <c r="G614" t="s">
        <v>32</v>
      </c>
      <c r="H614" t="s">
        <v>33</v>
      </c>
      <c r="I614" t="s">
        <v>43</v>
      </c>
      <c r="J614" t="s">
        <v>35</v>
      </c>
      <c r="K614" t="s">
        <v>88</v>
      </c>
      <c r="L614" t="s">
        <v>45</v>
      </c>
      <c r="M614">
        <v>0</v>
      </c>
      <c r="N614">
        <v>1</v>
      </c>
      <c r="O614" s="5">
        <v>50466</v>
      </c>
      <c r="P614" s="5">
        <v>50465</v>
      </c>
      <c r="Q614">
        <v>9</v>
      </c>
      <c r="R614" t="s">
        <v>46</v>
      </c>
      <c r="S614" t="s">
        <v>39</v>
      </c>
      <c r="T614">
        <v>17</v>
      </c>
      <c r="U614">
        <v>60</v>
      </c>
      <c r="V614">
        <v>10</v>
      </c>
      <c r="W614">
        <v>11.5</v>
      </c>
      <c r="X614">
        <v>23.8</v>
      </c>
      <c r="Z614" t="s">
        <v>39</v>
      </c>
      <c r="AB614" t="s">
        <v>40</v>
      </c>
      <c r="AC614" t="s">
        <v>87</v>
      </c>
    </row>
    <row r="615" spans="1:29" x14ac:dyDescent="0.35">
      <c r="A615" s="4">
        <v>42537</v>
      </c>
      <c r="B615" t="s">
        <v>30</v>
      </c>
      <c r="C615">
        <v>701</v>
      </c>
      <c r="D615">
        <v>1</v>
      </c>
      <c r="E615">
        <v>2</v>
      </c>
      <c r="F615" t="s">
        <v>31</v>
      </c>
      <c r="G615" t="s">
        <v>32</v>
      </c>
      <c r="H615" t="s">
        <v>33</v>
      </c>
      <c r="I615" t="s">
        <v>43</v>
      </c>
      <c r="J615" t="s">
        <v>35</v>
      </c>
      <c r="K615" t="s">
        <v>112</v>
      </c>
      <c r="L615" t="s">
        <v>37</v>
      </c>
      <c r="M615">
        <v>0</v>
      </c>
      <c r="N615">
        <v>1</v>
      </c>
      <c r="O615" s="5">
        <v>50468</v>
      </c>
      <c r="P615" s="5">
        <v>50467</v>
      </c>
      <c r="Q615">
        <f>27.5-2</f>
        <v>25.5</v>
      </c>
      <c r="R615" t="s">
        <v>38</v>
      </c>
      <c r="T615">
        <v>21</v>
      </c>
      <c r="U615">
        <v>91</v>
      </c>
      <c r="V615">
        <v>16</v>
      </c>
      <c r="W615">
        <v>13.9</v>
      </c>
      <c r="X615">
        <v>31.1</v>
      </c>
      <c r="Z615" t="s">
        <v>39</v>
      </c>
      <c r="AB615" t="s">
        <v>40</v>
      </c>
      <c r="AC615" t="s">
        <v>87</v>
      </c>
    </row>
    <row r="616" spans="1:29" x14ac:dyDescent="0.35">
      <c r="A616" s="4">
        <v>42537</v>
      </c>
      <c r="B616" t="s">
        <v>30</v>
      </c>
      <c r="C616">
        <v>701</v>
      </c>
      <c r="D616">
        <v>9</v>
      </c>
      <c r="E616">
        <v>1</v>
      </c>
      <c r="F616" t="s">
        <v>31</v>
      </c>
      <c r="G616" t="s">
        <v>32</v>
      </c>
      <c r="H616" t="s">
        <v>33</v>
      </c>
      <c r="I616" t="s">
        <v>43</v>
      </c>
      <c r="J616" t="s">
        <v>35</v>
      </c>
      <c r="K616" t="s">
        <v>88</v>
      </c>
      <c r="L616" t="s">
        <v>37</v>
      </c>
      <c r="M616">
        <v>0</v>
      </c>
      <c r="N616">
        <v>1</v>
      </c>
      <c r="O616" s="5">
        <v>50470</v>
      </c>
      <c r="P616" s="5">
        <v>50469</v>
      </c>
      <c r="Q616">
        <f>21-12</f>
        <v>9</v>
      </c>
      <c r="R616" t="s">
        <v>46</v>
      </c>
      <c r="T616">
        <v>18</v>
      </c>
      <c r="U616">
        <v>59</v>
      </c>
      <c r="V616">
        <v>12</v>
      </c>
      <c r="W616">
        <v>11.8</v>
      </c>
      <c r="X616">
        <v>25.8</v>
      </c>
      <c r="Z616" t="s">
        <v>39</v>
      </c>
      <c r="AB616" t="s">
        <v>47</v>
      </c>
      <c r="AC616" t="s">
        <v>87</v>
      </c>
    </row>
    <row r="617" spans="1:29" x14ac:dyDescent="0.35">
      <c r="A617" s="4">
        <v>42537</v>
      </c>
      <c r="B617" t="s">
        <v>30</v>
      </c>
      <c r="C617">
        <v>303</v>
      </c>
      <c r="D617">
        <v>1</v>
      </c>
      <c r="E617">
        <v>2</v>
      </c>
      <c r="F617" t="s">
        <v>42</v>
      </c>
      <c r="G617" t="s">
        <v>32</v>
      </c>
      <c r="H617" t="s">
        <v>33</v>
      </c>
      <c r="I617" t="s">
        <v>43</v>
      </c>
      <c r="J617" t="s">
        <v>44</v>
      </c>
      <c r="K617" t="s">
        <v>88</v>
      </c>
      <c r="L617" t="s">
        <v>37</v>
      </c>
      <c r="M617">
        <v>0</v>
      </c>
      <c r="N617">
        <v>0</v>
      </c>
      <c r="O617" s="5">
        <v>50477</v>
      </c>
      <c r="P617" s="5">
        <v>50476</v>
      </c>
      <c r="Q617">
        <f>27-11.5</f>
        <v>15.5</v>
      </c>
      <c r="R617" t="s">
        <v>46</v>
      </c>
      <c r="T617">
        <v>18</v>
      </c>
      <c r="U617">
        <v>79</v>
      </c>
      <c r="V617">
        <v>16</v>
      </c>
      <c r="W617">
        <v>12.5</v>
      </c>
      <c r="X617">
        <v>29</v>
      </c>
      <c r="Z617" t="s">
        <v>39</v>
      </c>
      <c r="AB617" t="s">
        <v>47</v>
      </c>
      <c r="AC617" t="s">
        <v>87</v>
      </c>
    </row>
    <row r="618" spans="1:29" x14ac:dyDescent="0.35">
      <c r="A618" s="4">
        <v>42537</v>
      </c>
      <c r="B618" t="s">
        <v>30</v>
      </c>
      <c r="C618">
        <v>303</v>
      </c>
      <c r="D618">
        <v>3</v>
      </c>
      <c r="E618">
        <v>1</v>
      </c>
      <c r="F618" t="s">
        <v>42</v>
      </c>
      <c r="G618" t="s">
        <v>32</v>
      </c>
      <c r="H618" t="s">
        <v>33</v>
      </c>
      <c r="I618" t="s">
        <v>43</v>
      </c>
      <c r="J618" t="s">
        <v>44</v>
      </c>
      <c r="K618" t="s">
        <v>88</v>
      </c>
      <c r="L618" t="s">
        <v>45</v>
      </c>
      <c r="M618">
        <v>0</v>
      </c>
      <c r="N618">
        <v>0</v>
      </c>
      <c r="O618" s="5">
        <v>50582</v>
      </c>
      <c r="P618" s="5">
        <v>50581</v>
      </c>
      <c r="Q618">
        <f>26-11.5</f>
        <v>14.5</v>
      </c>
      <c r="R618" t="s">
        <v>46</v>
      </c>
      <c r="T618">
        <v>18</v>
      </c>
      <c r="U618">
        <v>79</v>
      </c>
      <c r="V618">
        <v>14.5</v>
      </c>
      <c r="W618">
        <v>13</v>
      </c>
      <c r="X618">
        <v>27.1</v>
      </c>
      <c r="Z618" t="s">
        <v>39</v>
      </c>
      <c r="AB618" t="s">
        <v>47</v>
      </c>
      <c r="AC618" t="s">
        <v>87</v>
      </c>
    </row>
    <row r="619" spans="1:29" x14ac:dyDescent="0.35">
      <c r="A619" s="4">
        <v>42537</v>
      </c>
      <c r="B619" t="s">
        <v>30</v>
      </c>
      <c r="C619">
        <v>501</v>
      </c>
      <c r="D619">
        <v>4</v>
      </c>
      <c r="E619">
        <v>1</v>
      </c>
      <c r="F619" t="s">
        <v>42</v>
      </c>
      <c r="G619" t="s">
        <v>32</v>
      </c>
      <c r="H619" t="s">
        <v>33</v>
      </c>
      <c r="I619" t="s">
        <v>43</v>
      </c>
      <c r="J619" t="s">
        <v>35</v>
      </c>
      <c r="K619" t="s">
        <v>113</v>
      </c>
      <c r="L619" t="s">
        <v>37</v>
      </c>
      <c r="M619">
        <v>0</v>
      </c>
      <c r="N619">
        <v>1</v>
      </c>
      <c r="O619" s="5">
        <v>50584</v>
      </c>
      <c r="P619" s="5">
        <v>50583</v>
      </c>
      <c r="Q619">
        <f>26.5-12.5</f>
        <v>14</v>
      </c>
      <c r="R619" t="s">
        <v>38</v>
      </c>
      <c r="T619">
        <v>17</v>
      </c>
      <c r="U619">
        <v>72</v>
      </c>
      <c r="V619">
        <v>14</v>
      </c>
      <c r="W619">
        <v>11.9</v>
      </c>
      <c r="X619">
        <v>25.6</v>
      </c>
      <c r="Z619" t="s">
        <v>39</v>
      </c>
      <c r="AB619" t="s">
        <v>47</v>
      </c>
      <c r="AC619" t="s">
        <v>87</v>
      </c>
    </row>
    <row r="620" spans="1:29" x14ac:dyDescent="0.35">
      <c r="A620" s="4">
        <v>42537</v>
      </c>
      <c r="B620" t="s">
        <v>30</v>
      </c>
      <c r="C620">
        <v>503</v>
      </c>
      <c r="D620">
        <v>8</v>
      </c>
      <c r="E620">
        <v>2</v>
      </c>
      <c r="F620" t="s">
        <v>42</v>
      </c>
      <c r="G620" t="s">
        <v>32</v>
      </c>
      <c r="H620" t="s">
        <v>33</v>
      </c>
      <c r="I620" t="s">
        <v>43</v>
      </c>
      <c r="J620" t="s">
        <v>35</v>
      </c>
      <c r="K620" t="s">
        <v>88</v>
      </c>
      <c r="L620" t="s">
        <v>37</v>
      </c>
      <c r="M620">
        <v>0</v>
      </c>
      <c r="N620">
        <v>1</v>
      </c>
      <c r="O620" s="5">
        <v>50588</v>
      </c>
      <c r="P620" s="5">
        <v>50587</v>
      </c>
      <c r="Q620">
        <f>26-12</f>
        <v>14</v>
      </c>
      <c r="R620" t="s">
        <v>64</v>
      </c>
      <c r="T620">
        <v>19</v>
      </c>
      <c r="U620">
        <v>84</v>
      </c>
      <c r="V620">
        <v>16</v>
      </c>
      <c r="W620">
        <v>12.1</v>
      </c>
      <c r="X620">
        <v>27</v>
      </c>
      <c r="Z620" t="s">
        <v>39</v>
      </c>
      <c r="AB620" t="s">
        <v>47</v>
      </c>
      <c r="AC620" t="s">
        <v>87</v>
      </c>
    </row>
    <row r="621" spans="1:29" x14ac:dyDescent="0.35">
      <c r="A621" s="4">
        <v>42537</v>
      </c>
      <c r="B621" t="s">
        <v>30</v>
      </c>
      <c r="C621">
        <v>401</v>
      </c>
      <c r="D621">
        <v>5</v>
      </c>
      <c r="E621">
        <v>1</v>
      </c>
      <c r="F621" t="s">
        <v>42</v>
      </c>
      <c r="G621" t="s">
        <v>32</v>
      </c>
      <c r="H621" t="s">
        <v>33</v>
      </c>
      <c r="I621" t="s">
        <v>43</v>
      </c>
      <c r="J621" t="s">
        <v>35</v>
      </c>
      <c r="K621" t="s">
        <v>113</v>
      </c>
      <c r="L621" t="s">
        <v>37</v>
      </c>
      <c r="M621">
        <v>0</v>
      </c>
      <c r="N621">
        <v>1</v>
      </c>
      <c r="O621" s="5">
        <v>50590</v>
      </c>
      <c r="P621" s="5">
        <v>50589</v>
      </c>
      <c r="Q621">
        <f>30-14</f>
        <v>16</v>
      </c>
      <c r="R621" t="s">
        <v>38</v>
      </c>
      <c r="T621">
        <v>17</v>
      </c>
      <c r="U621">
        <v>75</v>
      </c>
      <c r="V621">
        <v>14</v>
      </c>
      <c r="W621">
        <v>11.9</v>
      </c>
      <c r="X621">
        <v>27.2</v>
      </c>
      <c r="Z621" t="s">
        <v>39</v>
      </c>
      <c r="AB621" t="s">
        <v>47</v>
      </c>
      <c r="AC621" t="s">
        <v>87</v>
      </c>
    </row>
    <row r="622" spans="1:29" x14ac:dyDescent="0.35">
      <c r="A622" s="4">
        <v>42537</v>
      </c>
      <c r="B622" t="s">
        <v>30</v>
      </c>
      <c r="C622">
        <v>703</v>
      </c>
      <c r="D622">
        <v>9</v>
      </c>
      <c r="E622">
        <v>2</v>
      </c>
      <c r="F622" t="s">
        <v>31</v>
      </c>
      <c r="G622" t="s">
        <v>32</v>
      </c>
      <c r="H622" t="s">
        <v>33</v>
      </c>
      <c r="I622" t="s">
        <v>43</v>
      </c>
      <c r="J622" t="s">
        <v>44</v>
      </c>
      <c r="K622" t="s">
        <v>112</v>
      </c>
      <c r="L622" t="s">
        <v>45</v>
      </c>
      <c r="M622">
        <v>0</v>
      </c>
      <c r="N622">
        <v>0</v>
      </c>
      <c r="O622" s="5" t="s">
        <v>70</v>
      </c>
      <c r="P622" s="5" t="s">
        <v>71</v>
      </c>
      <c r="Q622">
        <f>22-2.5</f>
        <v>19.5</v>
      </c>
      <c r="R622" t="s">
        <v>61</v>
      </c>
      <c r="S622" t="s">
        <v>102</v>
      </c>
      <c r="T622">
        <v>19</v>
      </c>
      <c r="U622">
        <v>86</v>
      </c>
      <c r="V622">
        <v>12</v>
      </c>
      <c r="W622">
        <v>12.5</v>
      </c>
      <c r="X622">
        <v>29.6</v>
      </c>
      <c r="Z622" t="s">
        <v>39</v>
      </c>
      <c r="AB622" t="s">
        <v>40</v>
      </c>
      <c r="AC622" t="s">
        <v>87</v>
      </c>
    </row>
    <row r="623" spans="1:29" x14ac:dyDescent="0.35">
      <c r="A623" s="4">
        <v>42537</v>
      </c>
      <c r="B623" t="s">
        <v>30</v>
      </c>
      <c r="C623">
        <v>803</v>
      </c>
      <c r="D623">
        <v>6</v>
      </c>
      <c r="E623">
        <v>1</v>
      </c>
      <c r="F623" t="s">
        <v>31</v>
      </c>
      <c r="G623" t="s">
        <v>32</v>
      </c>
      <c r="H623" t="s">
        <v>33</v>
      </c>
      <c r="I623" t="s">
        <v>34</v>
      </c>
      <c r="J623" t="s">
        <v>44</v>
      </c>
      <c r="K623" t="s">
        <v>112</v>
      </c>
      <c r="L623" t="s">
        <v>37</v>
      </c>
      <c r="M623">
        <v>0</v>
      </c>
      <c r="N623">
        <v>0</v>
      </c>
      <c r="O623" s="5">
        <v>50391</v>
      </c>
      <c r="P623" s="5"/>
      <c r="Q623">
        <f>138-49</f>
        <v>89</v>
      </c>
      <c r="R623" t="s">
        <v>38</v>
      </c>
      <c r="T623">
        <v>29</v>
      </c>
      <c r="Z623" t="s">
        <v>39</v>
      </c>
      <c r="AB623" t="s">
        <v>47</v>
      </c>
      <c r="AC623" t="s">
        <v>87</v>
      </c>
    </row>
    <row r="624" spans="1:29" x14ac:dyDescent="0.35">
      <c r="A624" s="4">
        <v>42537</v>
      </c>
      <c r="B624" t="s">
        <v>30</v>
      </c>
      <c r="C624">
        <v>803</v>
      </c>
      <c r="D624">
        <v>4</v>
      </c>
      <c r="E624">
        <v>2</v>
      </c>
      <c r="F624" t="s">
        <v>31</v>
      </c>
      <c r="G624" t="s">
        <v>32</v>
      </c>
      <c r="H624" t="s">
        <v>33</v>
      </c>
      <c r="I624" t="s">
        <v>34</v>
      </c>
      <c r="J624" t="s">
        <v>44</v>
      </c>
      <c r="K624" t="s">
        <v>112</v>
      </c>
      <c r="L624" t="s">
        <v>37</v>
      </c>
      <c r="M624">
        <v>0</v>
      </c>
      <c r="N624">
        <v>0</v>
      </c>
      <c r="O624" s="5">
        <v>50463</v>
      </c>
      <c r="P624" s="5"/>
      <c r="Q624">
        <f>127-48</f>
        <v>79</v>
      </c>
      <c r="R624" t="s">
        <v>38</v>
      </c>
      <c r="T624">
        <v>31</v>
      </c>
      <c r="W624">
        <v>19.5</v>
      </c>
      <c r="X624">
        <v>43.5</v>
      </c>
      <c r="Z624" t="s">
        <v>39</v>
      </c>
      <c r="AB624" t="s">
        <v>47</v>
      </c>
      <c r="AC624" t="s">
        <v>87</v>
      </c>
    </row>
    <row r="625" spans="1:29" x14ac:dyDescent="0.35">
      <c r="A625" s="4">
        <v>42537</v>
      </c>
      <c r="B625" t="s">
        <v>30</v>
      </c>
      <c r="C625">
        <v>701</v>
      </c>
      <c r="D625">
        <v>10</v>
      </c>
      <c r="E625">
        <v>2</v>
      </c>
      <c r="F625" t="s">
        <v>31</v>
      </c>
      <c r="G625" t="s">
        <v>32</v>
      </c>
      <c r="H625" t="s">
        <v>33</v>
      </c>
      <c r="I625" t="s">
        <v>34</v>
      </c>
      <c r="J625" t="s">
        <v>44</v>
      </c>
      <c r="K625" t="s">
        <v>112</v>
      </c>
      <c r="L625" t="s">
        <v>45</v>
      </c>
      <c r="M625">
        <v>0</v>
      </c>
      <c r="N625">
        <v>0</v>
      </c>
      <c r="O625" s="5"/>
      <c r="P625" s="5" t="s">
        <v>93</v>
      </c>
      <c r="Q625">
        <f>138-49</f>
        <v>89</v>
      </c>
      <c r="R625" t="s">
        <v>61</v>
      </c>
      <c r="S625" t="s">
        <v>102</v>
      </c>
      <c r="T625">
        <v>31</v>
      </c>
      <c r="Y625" t="s">
        <v>132</v>
      </c>
      <c r="Z625" t="s">
        <v>39</v>
      </c>
      <c r="AB625" t="s">
        <v>47</v>
      </c>
      <c r="AC625" t="s">
        <v>87</v>
      </c>
    </row>
    <row r="626" spans="1:29" x14ac:dyDescent="0.35">
      <c r="A626" s="4">
        <v>42537</v>
      </c>
      <c r="B626" t="s">
        <v>30</v>
      </c>
      <c r="C626">
        <v>801</v>
      </c>
      <c r="D626">
        <v>2</v>
      </c>
      <c r="E626">
        <v>1</v>
      </c>
      <c r="F626" t="s">
        <v>31</v>
      </c>
      <c r="G626" t="s">
        <v>32</v>
      </c>
      <c r="H626" t="s">
        <v>33</v>
      </c>
      <c r="I626" t="s">
        <v>34</v>
      </c>
      <c r="J626" t="s">
        <v>44</v>
      </c>
      <c r="K626" t="s">
        <v>112</v>
      </c>
      <c r="L626" t="s">
        <v>37</v>
      </c>
      <c r="M626">
        <v>0</v>
      </c>
      <c r="N626">
        <v>0</v>
      </c>
      <c r="O626" s="5"/>
      <c r="P626" s="5">
        <v>50392</v>
      </c>
      <c r="Q626">
        <f>146-48</f>
        <v>98</v>
      </c>
      <c r="R626" t="s">
        <v>38</v>
      </c>
      <c r="T626">
        <v>28</v>
      </c>
      <c r="W626">
        <v>21.2</v>
      </c>
      <c r="X626">
        <v>44.8</v>
      </c>
      <c r="Z626" t="s">
        <v>39</v>
      </c>
      <c r="AB626" t="s">
        <v>47</v>
      </c>
      <c r="AC626" t="s">
        <v>87</v>
      </c>
    </row>
    <row r="627" spans="1:29" x14ac:dyDescent="0.35">
      <c r="A627" s="4">
        <v>42537</v>
      </c>
      <c r="B627" t="s">
        <v>30</v>
      </c>
      <c r="C627">
        <v>501</v>
      </c>
      <c r="D627">
        <v>1</v>
      </c>
      <c r="E627">
        <v>1</v>
      </c>
      <c r="F627" t="s">
        <v>42</v>
      </c>
      <c r="G627" t="s">
        <v>32</v>
      </c>
      <c r="H627" t="s">
        <v>33</v>
      </c>
      <c r="I627" t="s">
        <v>34</v>
      </c>
      <c r="J627" t="s">
        <v>44</v>
      </c>
      <c r="K627" t="s">
        <v>112</v>
      </c>
      <c r="M627">
        <v>0</v>
      </c>
      <c r="N627">
        <v>0</v>
      </c>
      <c r="O627" s="5"/>
      <c r="P627" s="5">
        <v>50337</v>
      </c>
      <c r="Q627">
        <f>140-90</f>
        <v>50</v>
      </c>
      <c r="T627">
        <v>33</v>
      </c>
      <c r="W627">
        <v>21</v>
      </c>
      <c r="X627">
        <v>42</v>
      </c>
      <c r="Z627" t="s">
        <v>39</v>
      </c>
      <c r="AB627" t="s">
        <v>47</v>
      </c>
      <c r="AC627" t="s">
        <v>87</v>
      </c>
    </row>
    <row r="628" spans="1:29" x14ac:dyDescent="0.35">
      <c r="A628" s="4">
        <v>42537</v>
      </c>
      <c r="B628" t="s">
        <v>30</v>
      </c>
      <c r="C628">
        <v>503</v>
      </c>
      <c r="D628">
        <v>2</v>
      </c>
      <c r="E628">
        <v>1</v>
      </c>
      <c r="F628" t="s">
        <v>42</v>
      </c>
      <c r="G628" t="s">
        <v>32</v>
      </c>
      <c r="H628" t="s">
        <v>33</v>
      </c>
      <c r="I628" t="s">
        <v>34</v>
      </c>
      <c r="J628" t="s">
        <v>44</v>
      </c>
      <c r="K628" t="s">
        <v>112</v>
      </c>
      <c r="L628" t="s">
        <v>45</v>
      </c>
      <c r="M628">
        <v>0</v>
      </c>
      <c r="N628">
        <v>0</v>
      </c>
      <c r="O628" s="5"/>
      <c r="P628" s="5">
        <v>50578</v>
      </c>
      <c r="Q628">
        <f>197-90</f>
        <v>107</v>
      </c>
      <c r="R628" t="s">
        <v>74</v>
      </c>
      <c r="S628" t="s">
        <v>102</v>
      </c>
      <c r="T628">
        <v>34</v>
      </c>
      <c r="W628">
        <v>22.2</v>
      </c>
      <c r="X628">
        <v>43.65</v>
      </c>
      <c r="Z628" t="s">
        <v>39</v>
      </c>
      <c r="AB628" t="s">
        <v>47</v>
      </c>
      <c r="AC628" t="s">
        <v>87</v>
      </c>
    </row>
    <row r="629" spans="1:29" x14ac:dyDescent="0.35">
      <c r="A629" s="4">
        <v>42537</v>
      </c>
      <c r="B629" t="s">
        <v>30</v>
      </c>
      <c r="C629">
        <v>703</v>
      </c>
      <c r="D629">
        <v>4</v>
      </c>
      <c r="E629">
        <v>1</v>
      </c>
      <c r="F629" t="s">
        <v>31</v>
      </c>
      <c r="G629" t="s">
        <v>32</v>
      </c>
      <c r="H629" t="s">
        <v>33</v>
      </c>
      <c r="I629" t="s">
        <v>128</v>
      </c>
      <c r="J629" t="s">
        <v>44</v>
      </c>
      <c r="K629" t="s">
        <v>112</v>
      </c>
      <c r="L629" t="s">
        <v>45</v>
      </c>
      <c r="M629">
        <v>0</v>
      </c>
      <c r="N629">
        <v>0</v>
      </c>
      <c r="O629" s="5">
        <v>50382</v>
      </c>
      <c r="P629" s="5">
        <v>50381</v>
      </c>
      <c r="R629" t="s">
        <v>61</v>
      </c>
      <c r="S629" t="s">
        <v>102</v>
      </c>
      <c r="Z629" t="s">
        <v>39</v>
      </c>
      <c r="AB629" t="s">
        <v>47</v>
      </c>
      <c r="AC629" t="s">
        <v>87</v>
      </c>
    </row>
    <row r="630" spans="1:29" x14ac:dyDescent="0.35">
      <c r="A630" s="4">
        <v>42537</v>
      </c>
      <c r="B630" t="s">
        <v>30</v>
      </c>
      <c r="C630">
        <v>701</v>
      </c>
      <c r="D630">
        <v>1</v>
      </c>
      <c r="E630">
        <v>1</v>
      </c>
      <c r="F630" t="s">
        <v>31</v>
      </c>
      <c r="G630" t="s">
        <v>32</v>
      </c>
      <c r="H630" t="s">
        <v>33</v>
      </c>
      <c r="I630" t="s">
        <v>58</v>
      </c>
      <c r="J630" t="s">
        <v>35</v>
      </c>
      <c r="K630" t="s">
        <v>112</v>
      </c>
      <c r="L630" t="s">
        <v>37</v>
      </c>
      <c r="M630">
        <v>0</v>
      </c>
      <c r="N630">
        <v>1</v>
      </c>
      <c r="O630" s="5">
        <v>50452</v>
      </c>
      <c r="P630" s="5"/>
      <c r="Q630">
        <f>19-3.5</f>
        <v>15.5</v>
      </c>
      <c r="R630" t="s">
        <v>38</v>
      </c>
      <c r="T630">
        <v>17</v>
      </c>
      <c r="W630">
        <v>12.4</v>
      </c>
      <c r="X630">
        <v>26.6</v>
      </c>
      <c r="Z630" t="s">
        <v>39</v>
      </c>
      <c r="AB630" t="s">
        <v>40</v>
      </c>
      <c r="AC630" t="s">
        <v>87</v>
      </c>
    </row>
    <row r="631" spans="1:29" x14ac:dyDescent="0.35">
      <c r="A631" s="4">
        <v>42537</v>
      </c>
      <c r="B631" t="s">
        <v>30</v>
      </c>
      <c r="C631">
        <v>703</v>
      </c>
      <c r="D631">
        <v>2</v>
      </c>
      <c r="E631">
        <v>1</v>
      </c>
      <c r="F631" t="s">
        <v>31</v>
      </c>
      <c r="G631" t="s">
        <v>32</v>
      </c>
      <c r="H631" t="s">
        <v>33</v>
      </c>
      <c r="I631" t="s">
        <v>58</v>
      </c>
      <c r="J631" t="s">
        <v>35</v>
      </c>
      <c r="K631" t="s">
        <v>112</v>
      </c>
      <c r="L631" t="s">
        <v>37</v>
      </c>
      <c r="M631">
        <v>0</v>
      </c>
      <c r="N631">
        <v>1</v>
      </c>
      <c r="O631" s="5">
        <v>50464</v>
      </c>
      <c r="P631" s="5"/>
      <c r="Q631">
        <f>28-11.5</f>
        <v>16.5</v>
      </c>
      <c r="R631" t="s">
        <v>38</v>
      </c>
      <c r="T631">
        <v>18</v>
      </c>
      <c r="W631">
        <v>12.4</v>
      </c>
      <c r="X631">
        <v>27.5</v>
      </c>
      <c r="Z631" t="s">
        <v>39</v>
      </c>
      <c r="AB631" t="s">
        <v>47</v>
      </c>
      <c r="AC631" t="s">
        <v>87</v>
      </c>
    </row>
    <row r="632" spans="1:29" x14ac:dyDescent="0.35">
      <c r="A632" s="4">
        <v>42537</v>
      </c>
      <c r="B632" t="s">
        <v>30</v>
      </c>
      <c r="C632">
        <v>503</v>
      </c>
      <c r="D632">
        <v>10</v>
      </c>
      <c r="E632">
        <v>2</v>
      </c>
      <c r="F632" t="s">
        <v>42</v>
      </c>
      <c r="G632" t="s">
        <v>32</v>
      </c>
      <c r="H632" t="s">
        <v>33</v>
      </c>
      <c r="I632" t="s">
        <v>58</v>
      </c>
      <c r="J632" t="s">
        <v>44</v>
      </c>
      <c r="K632" t="s">
        <v>112</v>
      </c>
      <c r="L632" t="s">
        <v>37</v>
      </c>
      <c r="M632">
        <v>0</v>
      </c>
      <c r="N632">
        <v>0</v>
      </c>
      <c r="O632" s="5">
        <v>50579</v>
      </c>
      <c r="P632" s="5"/>
      <c r="Q632">
        <f>41-13</f>
        <v>28</v>
      </c>
      <c r="R632" t="s">
        <v>38</v>
      </c>
      <c r="T632">
        <v>15.5</v>
      </c>
      <c r="W632">
        <v>12.6</v>
      </c>
      <c r="X632">
        <v>28.7</v>
      </c>
      <c r="Z632" t="s">
        <v>39</v>
      </c>
      <c r="AB632" t="s">
        <v>47</v>
      </c>
      <c r="AC632" t="s">
        <v>87</v>
      </c>
    </row>
    <row r="633" spans="1:29" x14ac:dyDescent="0.35">
      <c r="A633" s="4">
        <v>42537</v>
      </c>
      <c r="B633" t="s">
        <v>30</v>
      </c>
      <c r="C633">
        <v>501</v>
      </c>
      <c r="D633">
        <v>9</v>
      </c>
      <c r="E633">
        <v>1</v>
      </c>
      <c r="F633" t="s">
        <v>42</v>
      </c>
      <c r="G633" t="s">
        <v>32</v>
      </c>
      <c r="H633" t="s">
        <v>33</v>
      </c>
      <c r="I633" t="s">
        <v>58</v>
      </c>
      <c r="J633" t="s">
        <v>35</v>
      </c>
      <c r="K633" t="s">
        <v>112</v>
      </c>
      <c r="L633" t="s">
        <v>37</v>
      </c>
      <c r="M633">
        <v>0</v>
      </c>
      <c r="N633">
        <v>1</v>
      </c>
      <c r="O633" s="5">
        <v>50586</v>
      </c>
      <c r="P633" s="5"/>
      <c r="Q633">
        <f>38-12</f>
        <v>26</v>
      </c>
      <c r="R633" t="s">
        <v>38</v>
      </c>
      <c r="T633">
        <v>16</v>
      </c>
      <c r="W633">
        <v>13.1</v>
      </c>
      <c r="X633">
        <v>27.6</v>
      </c>
      <c r="Z633" t="s">
        <v>39</v>
      </c>
      <c r="AB633" t="s">
        <v>47</v>
      </c>
      <c r="AC633" t="s">
        <v>87</v>
      </c>
    </row>
    <row r="634" spans="1:29" x14ac:dyDescent="0.35">
      <c r="A634" s="4">
        <v>42537</v>
      </c>
      <c r="B634" t="s">
        <v>30</v>
      </c>
      <c r="C634">
        <v>703</v>
      </c>
      <c r="D634">
        <v>6</v>
      </c>
      <c r="E634">
        <v>1</v>
      </c>
      <c r="F634" t="s">
        <v>31</v>
      </c>
      <c r="G634" t="s">
        <v>32</v>
      </c>
      <c r="H634" t="s">
        <v>33</v>
      </c>
      <c r="I634" t="s">
        <v>65</v>
      </c>
      <c r="J634" t="s">
        <v>44</v>
      </c>
      <c r="K634" t="s">
        <v>112</v>
      </c>
      <c r="L634" t="s">
        <v>45</v>
      </c>
      <c r="M634">
        <v>0</v>
      </c>
      <c r="N634">
        <v>0</v>
      </c>
      <c r="O634" s="5">
        <v>50390</v>
      </c>
      <c r="P634" s="5"/>
      <c r="Q634">
        <f>206-48</f>
        <v>158</v>
      </c>
      <c r="R634" t="s">
        <v>61</v>
      </c>
      <c r="S634" t="s">
        <v>102</v>
      </c>
      <c r="T634">
        <v>41</v>
      </c>
      <c r="X634">
        <v>42.5</v>
      </c>
      <c r="Z634" t="s">
        <v>39</v>
      </c>
      <c r="AB634" t="s">
        <v>47</v>
      </c>
      <c r="AC634" t="s">
        <v>87</v>
      </c>
    </row>
    <row r="635" spans="1:29" x14ac:dyDescent="0.35">
      <c r="A635" s="4">
        <v>42537</v>
      </c>
      <c r="B635" t="s">
        <v>30</v>
      </c>
      <c r="C635">
        <v>703</v>
      </c>
      <c r="D635">
        <v>8</v>
      </c>
      <c r="E635">
        <v>1</v>
      </c>
      <c r="F635" t="s">
        <v>31</v>
      </c>
      <c r="G635" t="s">
        <v>32</v>
      </c>
      <c r="H635" t="s">
        <v>33</v>
      </c>
      <c r="I635" t="s">
        <v>65</v>
      </c>
      <c r="J635" t="s">
        <v>44</v>
      </c>
      <c r="K635" t="s">
        <v>112</v>
      </c>
      <c r="L635" t="s">
        <v>45</v>
      </c>
      <c r="M635">
        <v>0</v>
      </c>
      <c r="N635">
        <v>0</v>
      </c>
      <c r="O635" s="5">
        <v>50460</v>
      </c>
      <c r="P635" s="5"/>
      <c r="Q635">
        <f>232-48</f>
        <v>184</v>
      </c>
      <c r="R635" t="s">
        <v>61</v>
      </c>
      <c r="S635" t="s">
        <v>102</v>
      </c>
      <c r="T635">
        <v>40</v>
      </c>
      <c r="Z635" t="s">
        <v>39</v>
      </c>
      <c r="AB635" t="s">
        <v>40</v>
      </c>
      <c r="AC635" t="s">
        <v>87</v>
      </c>
    </row>
    <row r="636" spans="1:29" x14ac:dyDescent="0.35">
      <c r="A636" s="4">
        <v>42537</v>
      </c>
      <c r="B636" t="s">
        <v>30</v>
      </c>
      <c r="C636">
        <v>701</v>
      </c>
      <c r="D636">
        <v>6</v>
      </c>
      <c r="E636">
        <v>1</v>
      </c>
      <c r="F636" t="s">
        <v>31</v>
      </c>
      <c r="G636" t="s">
        <v>32</v>
      </c>
      <c r="H636" t="s">
        <v>33</v>
      </c>
      <c r="I636" t="s">
        <v>65</v>
      </c>
      <c r="J636" t="s">
        <v>35</v>
      </c>
      <c r="K636" t="s">
        <v>112</v>
      </c>
      <c r="L636" t="s">
        <v>37</v>
      </c>
      <c r="M636">
        <v>0</v>
      </c>
      <c r="N636">
        <v>1</v>
      </c>
      <c r="O636" s="5">
        <v>50471</v>
      </c>
      <c r="P636" s="5"/>
      <c r="Q636">
        <f>232-50</f>
        <v>182</v>
      </c>
      <c r="R636" t="s">
        <v>38</v>
      </c>
      <c r="T636">
        <v>42</v>
      </c>
      <c r="W636">
        <v>27.2</v>
      </c>
      <c r="X636">
        <v>50</v>
      </c>
      <c r="Y636" t="s">
        <v>133</v>
      </c>
      <c r="Z636" t="s">
        <v>39</v>
      </c>
      <c r="AB636" t="s">
        <v>40</v>
      </c>
      <c r="AC636" t="s">
        <v>87</v>
      </c>
    </row>
    <row r="637" spans="1:29" x14ac:dyDescent="0.35">
      <c r="A637" s="4">
        <v>42537</v>
      </c>
      <c r="B637" t="s">
        <v>30</v>
      </c>
      <c r="C637">
        <v>703</v>
      </c>
      <c r="D637">
        <v>5</v>
      </c>
      <c r="E637">
        <v>1</v>
      </c>
      <c r="F637" t="s">
        <v>31</v>
      </c>
      <c r="G637" t="s">
        <v>32</v>
      </c>
      <c r="H637" t="s">
        <v>33</v>
      </c>
      <c r="I637" t="s">
        <v>55</v>
      </c>
      <c r="J637" t="s">
        <v>66</v>
      </c>
      <c r="O637" s="5"/>
      <c r="P637" s="5"/>
      <c r="Z637" t="s">
        <v>39</v>
      </c>
    </row>
    <row r="638" spans="1:29" x14ac:dyDescent="0.35">
      <c r="A638" s="4">
        <v>42537</v>
      </c>
      <c r="B638" t="s">
        <v>30</v>
      </c>
      <c r="C638">
        <v>703</v>
      </c>
      <c r="D638">
        <v>1</v>
      </c>
      <c r="E638">
        <v>1</v>
      </c>
      <c r="F638" t="s">
        <v>31</v>
      </c>
      <c r="G638" t="s">
        <v>32</v>
      </c>
      <c r="H638" t="s">
        <v>33</v>
      </c>
      <c r="I638" t="s">
        <v>59</v>
      </c>
      <c r="O638" s="5"/>
      <c r="P638" s="5"/>
      <c r="Z638" t="s">
        <v>39</v>
      </c>
    </row>
    <row r="639" spans="1:29" x14ac:dyDescent="0.35">
      <c r="A639" s="4">
        <v>42537</v>
      </c>
      <c r="B639" t="s">
        <v>30</v>
      </c>
      <c r="C639">
        <v>703</v>
      </c>
      <c r="D639">
        <v>1</v>
      </c>
      <c r="E639">
        <v>2</v>
      </c>
      <c r="F639" t="s">
        <v>31</v>
      </c>
      <c r="G639" t="s">
        <v>32</v>
      </c>
      <c r="H639" t="s">
        <v>33</v>
      </c>
      <c r="I639" t="s">
        <v>59</v>
      </c>
      <c r="O639" s="5"/>
      <c r="P639" s="5"/>
      <c r="Z639" t="s">
        <v>39</v>
      </c>
    </row>
    <row r="640" spans="1:29" x14ac:dyDescent="0.35">
      <c r="A640" s="4">
        <v>42537</v>
      </c>
      <c r="B640" t="s">
        <v>30</v>
      </c>
      <c r="C640">
        <v>703</v>
      </c>
      <c r="D640">
        <v>7</v>
      </c>
      <c r="E640">
        <v>1</v>
      </c>
      <c r="F640" t="s">
        <v>31</v>
      </c>
      <c r="G640" t="s">
        <v>32</v>
      </c>
      <c r="H640" t="s">
        <v>33</v>
      </c>
      <c r="I640" t="s">
        <v>59</v>
      </c>
      <c r="O640" s="5"/>
      <c r="P640" s="5"/>
      <c r="Z640" t="s">
        <v>39</v>
      </c>
    </row>
    <row r="641" spans="1:29" x14ac:dyDescent="0.35">
      <c r="A641" s="4">
        <v>42537</v>
      </c>
      <c r="B641" t="s">
        <v>30</v>
      </c>
      <c r="C641">
        <v>703</v>
      </c>
      <c r="D641">
        <v>7</v>
      </c>
      <c r="E641">
        <v>2</v>
      </c>
      <c r="F641" t="s">
        <v>31</v>
      </c>
      <c r="G641" t="s">
        <v>32</v>
      </c>
      <c r="H641" t="s">
        <v>33</v>
      </c>
      <c r="I641" t="s">
        <v>59</v>
      </c>
      <c r="O641" s="5"/>
      <c r="P641" s="5"/>
      <c r="Z641" t="s">
        <v>39</v>
      </c>
    </row>
    <row r="642" spans="1:29" x14ac:dyDescent="0.35">
      <c r="A642" s="4">
        <v>42537</v>
      </c>
      <c r="B642" t="s">
        <v>30</v>
      </c>
      <c r="C642">
        <v>701</v>
      </c>
      <c r="D642">
        <v>10</v>
      </c>
      <c r="E642">
        <v>1</v>
      </c>
      <c r="F642" t="s">
        <v>31</v>
      </c>
      <c r="G642" t="s">
        <v>32</v>
      </c>
      <c r="H642" t="s">
        <v>33</v>
      </c>
      <c r="I642" t="s">
        <v>59</v>
      </c>
      <c r="O642" s="5"/>
      <c r="P642" s="5"/>
      <c r="Z642" t="s">
        <v>39</v>
      </c>
    </row>
    <row r="643" spans="1:29" x14ac:dyDescent="0.35">
      <c r="A643" s="4">
        <v>42537</v>
      </c>
      <c r="B643" t="s">
        <v>30</v>
      </c>
      <c r="C643">
        <v>803</v>
      </c>
      <c r="D643">
        <v>10</v>
      </c>
      <c r="E643">
        <v>1</v>
      </c>
      <c r="F643" t="s">
        <v>31</v>
      </c>
      <c r="G643" t="s">
        <v>32</v>
      </c>
      <c r="H643" t="s">
        <v>33</v>
      </c>
      <c r="I643" t="s">
        <v>59</v>
      </c>
      <c r="O643" s="5"/>
      <c r="P643" s="5"/>
      <c r="Z643" t="s">
        <v>39</v>
      </c>
    </row>
    <row r="644" spans="1:29" x14ac:dyDescent="0.35">
      <c r="A644" s="4">
        <v>42537</v>
      </c>
      <c r="B644" t="s">
        <v>30</v>
      </c>
      <c r="C644">
        <v>803</v>
      </c>
      <c r="D644">
        <v>9</v>
      </c>
      <c r="E644">
        <v>1</v>
      </c>
      <c r="F644" t="s">
        <v>31</v>
      </c>
      <c r="G644" t="s">
        <v>32</v>
      </c>
      <c r="H644" t="s">
        <v>33</v>
      </c>
      <c r="I644" t="s">
        <v>59</v>
      </c>
      <c r="O644" s="5"/>
      <c r="P644" s="5"/>
      <c r="Z644" t="s">
        <v>39</v>
      </c>
    </row>
    <row r="645" spans="1:29" x14ac:dyDescent="0.35">
      <c r="A645" s="4">
        <v>42537</v>
      </c>
      <c r="B645" t="s">
        <v>30</v>
      </c>
      <c r="C645">
        <v>803</v>
      </c>
      <c r="D645">
        <v>5</v>
      </c>
      <c r="E645">
        <v>1</v>
      </c>
      <c r="F645" t="s">
        <v>31</v>
      </c>
      <c r="G645" t="s">
        <v>32</v>
      </c>
      <c r="H645" t="s">
        <v>33</v>
      </c>
      <c r="I645" t="s">
        <v>59</v>
      </c>
      <c r="O645" s="5"/>
      <c r="P645" s="5"/>
      <c r="Z645" t="s">
        <v>39</v>
      </c>
    </row>
    <row r="646" spans="1:29" x14ac:dyDescent="0.35">
      <c r="A646" s="4">
        <v>42537</v>
      </c>
      <c r="B646" t="s">
        <v>30</v>
      </c>
      <c r="C646">
        <v>803</v>
      </c>
      <c r="D646">
        <v>4</v>
      </c>
      <c r="E646">
        <v>1</v>
      </c>
      <c r="F646" t="s">
        <v>31</v>
      </c>
      <c r="G646" t="s">
        <v>32</v>
      </c>
      <c r="H646" t="s">
        <v>33</v>
      </c>
      <c r="I646" t="s">
        <v>59</v>
      </c>
      <c r="O646" s="5"/>
      <c r="P646" s="5"/>
      <c r="Z646" t="s">
        <v>39</v>
      </c>
    </row>
    <row r="647" spans="1:29" x14ac:dyDescent="0.35">
      <c r="A647" s="4">
        <v>42537</v>
      </c>
      <c r="B647" t="s">
        <v>30</v>
      </c>
      <c r="C647">
        <v>501</v>
      </c>
      <c r="D647">
        <v>8</v>
      </c>
      <c r="E647">
        <v>1</v>
      </c>
      <c r="F647" t="s">
        <v>42</v>
      </c>
      <c r="G647" t="s">
        <v>32</v>
      </c>
      <c r="H647" t="s">
        <v>33</v>
      </c>
      <c r="I647" t="s">
        <v>59</v>
      </c>
      <c r="O647" s="5"/>
      <c r="P647" s="5"/>
      <c r="Z647" t="s">
        <v>39</v>
      </c>
    </row>
    <row r="648" spans="1:29" x14ac:dyDescent="0.35">
      <c r="A648" s="4">
        <v>42537</v>
      </c>
      <c r="B648" t="s">
        <v>30</v>
      </c>
      <c r="C648">
        <v>503</v>
      </c>
      <c r="D648">
        <v>8</v>
      </c>
      <c r="E648">
        <v>1</v>
      </c>
      <c r="F648" t="s">
        <v>42</v>
      </c>
      <c r="G648" t="s">
        <v>32</v>
      </c>
      <c r="H648" t="s">
        <v>33</v>
      </c>
      <c r="I648" t="s">
        <v>59</v>
      </c>
      <c r="O648" s="5"/>
      <c r="P648" s="5"/>
      <c r="Z648" t="s">
        <v>39</v>
      </c>
    </row>
    <row r="649" spans="1:29" x14ac:dyDescent="0.35">
      <c r="A649" s="4">
        <v>42537</v>
      </c>
      <c r="B649" t="s">
        <v>30</v>
      </c>
      <c r="C649">
        <v>503</v>
      </c>
      <c r="D649">
        <v>10</v>
      </c>
      <c r="E649">
        <v>1</v>
      </c>
      <c r="F649" t="s">
        <v>42</v>
      </c>
      <c r="G649" t="s">
        <v>32</v>
      </c>
      <c r="H649" t="s">
        <v>33</v>
      </c>
      <c r="I649" t="s">
        <v>59</v>
      </c>
      <c r="O649" s="5"/>
      <c r="P649" s="5"/>
      <c r="Z649" t="s">
        <v>39</v>
      </c>
    </row>
    <row r="650" spans="1:29" x14ac:dyDescent="0.35">
      <c r="A650" s="4">
        <v>42537</v>
      </c>
      <c r="B650" t="s">
        <v>30</v>
      </c>
      <c r="C650">
        <v>303</v>
      </c>
      <c r="D650">
        <v>2</v>
      </c>
      <c r="E650">
        <v>1</v>
      </c>
      <c r="F650" t="s">
        <v>42</v>
      </c>
      <c r="G650" t="s">
        <v>32</v>
      </c>
      <c r="H650" t="s">
        <v>33</v>
      </c>
      <c r="I650" t="s">
        <v>59</v>
      </c>
      <c r="O650" s="5"/>
      <c r="P650" s="5"/>
      <c r="Z650" t="s">
        <v>39</v>
      </c>
    </row>
    <row r="651" spans="1:29" x14ac:dyDescent="0.35">
      <c r="A651" s="4">
        <v>42537</v>
      </c>
      <c r="B651" t="s">
        <v>30</v>
      </c>
      <c r="C651">
        <v>401</v>
      </c>
      <c r="D651">
        <v>1</v>
      </c>
      <c r="E651">
        <v>1</v>
      </c>
      <c r="F651" t="s">
        <v>42</v>
      </c>
      <c r="G651" t="s">
        <v>32</v>
      </c>
      <c r="H651" t="s">
        <v>33</v>
      </c>
      <c r="I651" t="s">
        <v>59</v>
      </c>
      <c r="O651" s="5"/>
      <c r="P651" s="5"/>
      <c r="Z651" t="s">
        <v>39</v>
      </c>
    </row>
    <row r="652" spans="1:29" x14ac:dyDescent="0.35">
      <c r="A652" s="4">
        <v>42537</v>
      </c>
      <c r="B652" t="s">
        <v>30</v>
      </c>
      <c r="C652">
        <v>401</v>
      </c>
      <c r="D652">
        <v>4</v>
      </c>
      <c r="E652">
        <v>1</v>
      </c>
      <c r="F652" t="s">
        <v>42</v>
      </c>
      <c r="G652" t="s">
        <v>32</v>
      </c>
      <c r="H652" t="s">
        <v>33</v>
      </c>
      <c r="I652" t="s">
        <v>59</v>
      </c>
      <c r="O652" s="5"/>
      <c r="P652" s="5"/>
      <c r="Z652" t="s">
        <v>39</v>
      </c>
    </row>
    <row r="653" spans="1:29" x14ac:dyDescent="0.35">
      <c r="A653" s="4">
        <v>42537</v>
      </c>
      <c r="B653" t="s">
        <v>30</v>
      </c>
      <c r="C653">
        <v>303</v>
      </c>
      <c r="D653">
        <v>5</v>
      </c>
      <c r="E653">
        <v>1</v>
      </c>
      <c r="F653" t="s">
        <v>42</v>
      </c>
      <c r="G653" t="s">
        <v>32</v>
      </c>
      <c r="H653" t="s">
        <v>33</v>
      </c>
      <c r="I653" t="s">
        <v>94</v>
      </c>
      <c r="J653" t="s">
        <v>134</v>
      </c>
      <c r="K653" t="s">
        <v>112</v>
      </c>
      <c r="M653">
        <v>0</v>
      </c>
      <c r="N653">
        <v>0</v>
      </c>
      <c r="O653" s="5" t="s">
        <v>135</v>
      </c>
      <c r="P653" s="5"/>
      <c r="Z653" t="s">
        <v>39</v>
      </c>
    </row>
    <row r="654" spans="1:29" x14ac:dyDescent="0.35">
      <c r="A654" s="4">
        <v>42537</v>
      </c>
      <c r="B654" t="s">
        <v>30</v>
      </c>
      <c r="C654">
        <v>501</v>
      </c>
      <c r="D654">
        <v>7</v>
      </c>
      <c r="E654">
        <v>1</v>
      </c>
      <c r="F654" t="s">
        <v>42</v>
      </c>
      <c r="G654" t="s">
        <v>32</v>
      </c>
      <c r="H654" t="s">
        <v>33</v>
      </c>
      <c r="I654" t="s">
        <v>94</v>
      </c>
      <c r="J654" t="s">
        <v>35</v>
      </c>
      <c r="K654" t="s">
        <v>112</v>
      </c>
      <c r="L654" t="s">
        <v>45</v>
      </c>
      <c r="M654">
        <v>0</v>
      </c>
      <c r="N654">
        <v>1</v>
      </c>
      <c r="O654" s="5"/>
      <c r="P654" s="5">
        <v>50585</v>
      </c>
      <c r="Q654">
        <f>38.5-11</f>
        <v>27.5</v>
      </c>
      <c r="R654" t="s">
        <v>119</v>
      </c>
      <c r="S654" t="s">
        <v>102</v>
      </c>
      <c r="T654">
        <v>28</v>
      </c>
      <c r="W654">
        <v>12.6</v>
      </c>
      <c r="X654">
        <v>29.8</v>
      </c>
      <c r="Z654" t="s">
        <v>39</v>
      </c>
      <c r="AB654" t="s">
        <v>47</v>
      </c>
      <c r="AC654" t="s">
        <v>87</v>
      </c>
    </row>
    <row r="655" spans="1:29" x14ac:dyDescent="0.35">
      <c r="A655" s="4">
        <v>42541</v>
      </c>
      <c r="B655" t="s">
        <v>30</v>
      </c>
      <c r="C655">
        <v>111</v>
      </c>
      <c r="D655">
        <v>6</v>
      </c>
      <c r="E655">
        <v>1</v>
      </c>
      <c r="F655" t="s">
        <v>42</v>
      </c>
      <c r="G655" t="s">
        <v>32</v>
      </c>
      <c r="H655" t="s">
        <v>33</v>
      </c>
      <c r="I655" t="s">
        <v>43</v>
      </c>
      <c r="J655" t="s">
        <v>44</v>
      </c>
      <c r="K655" t="s">
        <v>36</v>
      </c>
      <c r="L655" t="s">
        <v>45</v>
      </c>
      <c r="M655">
        <v>0</v>
      </c>
      <c r="N655">
        <v>0</v>
      </c>
      <c r="O655" s="5">
        <v>50348</v>
      </c>
      <c r="P655" s="5">
        <v>50347</v>
      </c>
      <c r="Q655">
        <f>34.5-12.5</f>
        <v>22</v>
      </c>
      <c r="R655" t="s">
        <v>61</v>
      </c>
      <c r="S655" t="s">
        <v>39</v>
      </c>
      <c r="T655">
        <v>18</v>
      </c>
      <c r="U655">
        <v>88</v>
      </c>
      <c r="V655">
        <v>16</v>
      </c>
      <c r="Z655" t="s">
        <v>39</v>
      </c>
      <c r="AB655" t="s">
        <v>136</v>
      </c>
      <c r="AC655" t="s">
        <v>137</v>
      </c>
    </row>
    <row r="656" spans="1:29" x14ac:dyDescent="0.35">
      <c r="A656" s="4">
        <v>42541</v>
      </c>
      <c r="B656" t="s">
        <v>30</v>
      </c>
      <c r="C656">
        <v>112</v>
      </c>
      <c r="D656">
        <v>2</v>
      </c>
      <c r="E656">
        <v>1</v>
      </c>
      <c r="F656" t="s">
        <v>42</v>
      </c>
      <c r="G656" t="s">
        <v>32</v>
      </c>
      <c r="H656" t="s">
        <v>33</v>
      </c>
      <c r="I656" t="s">
        <v>43</v>
      </c>
      <c r="J656" t="s">
        <v>44</v>
      </c>
      <c r="K656" t="s">
        <v>36</v>
      </c>
      <c r="L656" t="s">
        <v>45</v>
      </c>
      <c r="M656">
        <v>0</v>
      </c>
      <c r="N656">
        <v>0</v>
      </c>
      <c r="O656" s="5">
        <v>50350</v>
      </c>
      <c r="P656" s="5">
        <v>50349</v>
      </c>
      <c r="Q656">
        <f>42-14</f>
        <v>28</v>
      </c>
      <c r="R656" t="s">
        <v>119</v>
      </c>
      <c r="S656" t="s">
        <v>39</v>
      </c>
      <c r="T656">
        <v>19</v>
      </c>
      <c r="U656">
        <v>96</v>
      </c>
      <c r="V656">
        <v>17</v>
      </c>
      <c r="W656">
        <v>13</v>
      </c>
      <c r="X656">
        <v>29.7</v>
      </c>
      <c r="Z656" t="s">
        <v>39</v>
      </c>
      <c r="AB656" t="s">
        <v>138</v>
      </c>
      <c r="AC656" t="s">
        <v>137</v>
      </c>
    </row>
    <row r="657" spans="1:30" x14ac:dyDescent="0.35">
      <c r="A657" s="4">
        <v>42541</v>
      </c>
      <c r="B657" t="s">
        <v>30</v>
      </c>
      <c r="C657">
        <v>201</v>
      </c>
      <c r="D657">
        <v>7</v>
      </c>
      <c r="E657">
        <v>2</v>
      </c>
      <c r="F657" t="s">
        <v>31</v>
      </c>
      <c r="G657" t="s">
        <v>32</v>
      </c>
      <c r="H657" t="s">
        <v>33</v>
      </c>
      <c r="I657" t="s">
        <v>43</v>
      </c>
      <c r="J657" t="s">
        <v>44</v>
      </c>
      <c r="K657" t="s">
        <v>36</v>
      </c>
      <c r="L657" t="s">
        <v>45</v>
      </c>
      <c r="M657">
        <v>0</v>
      </c>
      <c r="N657">
        <v>0</v>
      </c>
      <c r="O657" s="5">
        <v>50359</v>
      </c>
      <c r="P657" s="5">
        <v>50358</v>
      </c>
      <c r="Q657">
        <f>34-12</f>
        <v>22</v>
      </c>
      <c r="R657" t="s">
        <v>61</v>
      </c>
      <c r="S657" t="s">
        <v>39</v>
      </c>
      <c r="T657">
        <v>18</v>
      </c>
      <c r="U657">
        <v>85</v>
      </c>
      <c r="V657">
        <v>14</v>
      </c>
      <c r="W657">
        <v>14</v>
      </c>
      <c r="X657">
        <v>29.8</v>
      </c>
      <c r="Z657" t="s">
        <v>39</v>
      </c>
      <c r="AB657" t="s">
        <v>60</v>
      </c>
      <c r="AC657" t="s">
        <v>87</v>
      </c>
    </row>
    <row r="658" spans="1:30" x14ac:dyDescent="0.35">
      <c r="A658" s="4">
        <v>42541</v>
      </c>
      <c r="B658" t="s">
        <v>30</v>
      </c>
      <c r="C658">
        <v>203</v>
      </c>
      <c r="D658">
        <v>3</v>
      </c>
      <c r="E658">
        <v>1</v>
      </c>
      <c r="F658" t="s">
        <v>31</v>
      </c>
      <c r="G658" t="s">
        <v>32</v>
      </c>
      <c r="H658" t="s">
        <v>33</v>
      </c>
      <c r="I658" t="s">
        <v>43</v>
      </c>
      <c r="J658" t="s">
        <v>35</v>
      </c>
      <c r="K658" t="s">
        <v>113</v>
      </c>
      <c r="L658" t="s">
        <v>45</v>
      </c>
      <c r="M658">
        <v>0</v>
      </c>
      <c r="N658">
        <v>1</v>
      </c>
      <c r="O658" s="5">
        <v>50420</v>
      </c>
      <c r="P658" s="5">
        <v>50419</v>
      </c>
      <c r="Q658">
        <f>32-13.5</f>
        <v>18.5</v>
      </c>
      <c r="R658" t="s">
        <v>46</v>
      </c>
      <c r="S658" t="s">
        <v>39</v>
      </c>
      <c r="T658">
        <v>20</v>
      </c>
      <c r="U658">
        <v>80</v>
      </c>
      <c r="V658">
        <v>13</v>
      </c>
      <c r="W658">
        <v>27.7</v>
      </c>
      <c r="X658">
        <v>11.8</v>
      </c>
      <c r="Z658" t="s">
        <v>39</v>
      </c>
      <c r="AB658" t="s">
        <v>60</v>
      </c>
      <c r="AC658" t="s">
        <v>87</v>
      </c>
    </row>
    <row r="659" spans="1:30" x14ac:dyDescent="0.35">
      <c r="A659" s="4">
        <v>42541</v>
      </c>
      <c r="B659" t="s">
        <v>30</v>
      </c>
      <c r="C659">
        <v>113</v>
      </c>
      <c r="D659">
        <v>9</v>
      </c>
      <c r="E659">
        <v>1</v>
      </c>
      <c r="F659" t="s">
        <v>42</v>
      </c>
      <c r="G659" t="s">
        <v>32</v>
      </c>
      <c r="H659" t="s">
        <v>33</v>
      </c>
      <c r="I659" t="s">
        <v>43</v>
      </c>
      <c r="J659" t="s">
        <v>44</v>
      </c>
      <c r="K659" t="s">
        <v>113</v>
      </c>
      <c r="L659" t="s">
        <v>45</v>
      </c>
      <c r="M659">
        <v>0</v>
      </c>
      <c r="N659">
        <v>0</v>
      </c>
      <c r="O659" s="5">
        <v>50474</v>
      </c>
      <c r="P659" s="5">
        <v>50473</v>
      </c>
      <c r="Q659">
        <f>32.5-14</f>
        <v>18.5</v>
      </c>
      <c r="R659" t="s">
        <v>46</v>
      </c>
      <c r="S659" t="s">
        <v>39</v>
      </c>
      <c r="T659">
        <v>17</v>
      </c>
      <c r="U659">
        <v>79.5</v>
      </c>
      <c r="V659">
        <v>16.5</v>
      </c>
      <c r="W659">
        <v>12.2</v>
      </c>
      <c r="X659">
        <v>29.6</v>
      </c>
      <c r="Z659" t="s">
        <v>39</v>
      </c>
      <c r="AB659" t="s">
        <v>60</v>
      </c>
      <c r="AC659" t="s">
        <v>137</v>
      </c>
    </row>
    <row r="660" spans="1:30" x14ac:dyDescent="0.35">
      <c r="A660" s="4">
        <v>42541</v>
      </c>
      <c r="B660" t="s">
        <v>30</v>
      </c>
      <c r="C660">
        <v>111</v>
      </c>
      <c r="D660">
        <v>3</v>
      </c>
      <c r="E660">
        <v>1</v>
      </c>
      <c r="F660" t="s">
        <v>42</v>
      </c>
      <c r="G660" t="s">
        <v>32</v>
      </c>
      <c r="H660" t="s">
        <v>33</v>
      </c>
      <c r="I660" t="s">
        <v>43</v>
      </c>
      <c r="J660" t="s">
        <v>44</v>
      </c>
      <c r="K660" t="s">
        <v>36</v>
      </c>
      <c r="L660" t="s">
        <v>37</v>
      </c>
      <c r="M660">
        <v>0</v>
      </c>
      <c r="N660">
        <v>0</v>
      </c>
      <c r="O660" s="5">
        <v>50475</v>
      </c>
      <c r="P660" s="5">
        <v>50308</v>
      </c>
      <c r="Q660">
        <f>36-15.5</f>
        <v>20.5</v>
      </c>
      <c r="R660" t="s">
        <v>38</v>
      </c>
      <c r="S660" t="s">
        <v>39</v>
      </c>
      <c r="T660">
        <v>17</v>
      </c>
      <c r="U660">
        <v>85</v>
      </c>
      <c r="V660">
        <v>15</v>
      </c>
      <c r="W660">
        <v>13.4</v>
      </c>
      <c r="X660">
        <v>27.9</v>
      </c>
      <c r="Z660" t="s">
        <v>39</v>
      </c>
      <c r="AB660" t="s">
        <v>60</v>
      </c>
      <c r="AC660" t="s">
        <v>137</v>
      </c>
    </row>
    <row r="661" spans="1:30" x14ac:dyDescent="0.35">
      <c r="A661" s="4">
        <v>42541</v>
      </c>
      <c r="B661" t="s">
        <v>30</v>
      </c>
      <c r="C661">
        <v>112</v>
      </c>
      <c r="D661">
        <v>10</v>
      </c>
      <c r="E661">
        <v>2</v>
      </c>
      <c r="F661" t="s">
        <v>42</v>
      </c>
      <c r="G661" t="s">
        <v>32</v>
      </c>
      <c r="H661" t="s">
        <v>33</v>
      </c>
      <c r="I661" t="s">
        <v>43</v>
      </c>
      <c r="J661" t="s">
        <v>35</v>
      </c>
      <c r="K661" t="s">
        <v>36</v>
      </c>
      <c r="L661" t="s">
        <v>45</v>
      </c>
      <c r="M661">
        <v>0</v>
      </c>
      <c r="N661">
        <v>0</v>
      </c>
      <c r="O661" s="5">
        <v>50498</v>
      </c>
      <c r="P661" s="5">
        <v>50499</v>
      </c>
      <c r="Q661">
        <f>34.5-12.5</f>
        <v>22</v>
      </c>
      <c r="R661" t="s">
        <v>46</v>
      </c>
      <c r="S661" t="s">
        <v>39</v>
      </c>
      <c r="T661">
        <v>19</v>
      </c>
      <c r="U661">
        <v>87</v>
      </c>
      <c r="V661">
        <v>18</v>
      </c>
      <c r="W661">
        <v>12.6</v>
      </c>
      <c r="X661">
        <v>29.6</v>
      </c>
      <c r="Z661" t="s">
        <v>39</v>
      </c>
      <c r="AB661" t="s">
        <v>60</v>
      </c>
      <c r="AC661" t="s">
        <v>137</v>
      </c>
    </row>
    <row r="662" spans="1:30" x14ac:dyDescent="0.35">
      <c r="A662" s="4">
        <v>42541</v>
      </c>
      <c r="B662" t="s">
        <v>30</v>
      </c>
      <c r="C662">
        <v>112</v>
      </c>
      <c r="D662">
        <v>4</v>
      </c>
      <c r="E662">
        <v>2</v>
      </c>
      <c r="F662" t="s">
        <v>42</v>
      </c>
      <c r="G662" t="s">
        <v>32</v>
      </c>
      <c r="H662" t="s">
        <v>33</v>
      </c>
      <c r="I662" t="s">
        <v>43</v>
      </c>
      <c r="J662" t="s">
        <v>35</v>
      </c>
      <c r="K662" t="s">
        <v>113</v>
      </c>
      <c r="L662" t="s">
        <v>37</v>
      </c>
      <c r="M662">
        <v>0</v>
      </c>
      <c r="N662">
        <v>1</v>
      </c>
      <c r="O662" s="5">
        <v>50595</v>
      </c>
      <c r="P662" s="5">
        <v>50594</v>
      </c>
      <c r="Q662">
        <f>31-13</f>
        <v>18</v>
      </c>
      <c r="R662" t="s">
        <v>38</v>
      </c>
      <c r="S662" t="s">
        <v>39</v>
      </c>
      <c r="T662">
        <v>19.5</v>
      </c>
      <c r="U662">
        <v>86</v>
      </c>
      <c r="V662">
        <v>16</v>
      </c>
      <c r="W662">
        <v>12.8</v>
      </c>
      <c r="X662">
        <v>27.2</v>
      </c>
      <c r="Z662" t="s">
        <v>39</v>
      </c>
      <c r="AB662" t="s">
        <v>60</v>
      </c>
      <c r="AC662" t="s">
        <v>137</v>
      </c>
    </row>
    <row r="663" spans="1:30" x14ac:dyDescent="0.35">
      <c r="A663" s="4">
        <v>42541</v>
      </c>
      <c r="B663" t="s">
        <v>30</v>
      </c>
      <c r="C663">
        <v>112</v>
      </c>
      <c r="D663">
        <v>3</v>
      </c>
      <c r="E663">
        <v>1</v>
      </c>
      <c r="F663" t="s">
        <v>42</v>
      </c>
      <c r="G663" t="s">
        <v>32</v>
      </c>
      <c r="H663" t="s">
        <v>33</v>
      </c>
      <c r="I663" t="s">
        <v>43</v>
      </c>
      <c r="J663" t="s">
        <v>35</v>
      </c>
      <c r="K663" t="s">
        <v>36</v>
      </c>
      <c r="L663" t="s">
        <v>37</v>
      </c>
      <c r="M663">
        <v>0</v>
      </c>
      <c r="N663">
        <v>1</v>
      </c>
      <c r="O663" s="5">
        <v>50597</v>
      </c>
      <c r="P663" s="5">
        <v>50596</v>
      </c>
      <c r="Q663">
        <f>35.5-12.5</f>
        <v>23</v>
      </c>
      <c r="R663" t="s">
        <v>38</v>
      </c>
      <c r="S663" t="s">
        <v>39</v>
      </c>
      <c r="T663">
        <v>19</v>
      </c>
      <c r="U663">
        <v>90</v>
      </c>
      <c r="V663">
        <v>17</v>
      </c>
      <c r="W663">
        <v>12.8</v>
      </c>
      <c r="X663">
        <v>29.3</v>
      </c>
      <c r="Z663" t="s">
        <v>39</v>
      </c>
      <c r="AB663" t="s">
        <v>138</v>
      </c>
      <c r="AC663" t="s">
        <v>137</v>
      </c>
    </row>
    <row r="664" spans="1:30" x14ac:dyDescent="0.35">
      <c r="A664" s="4">
        <v>42541</v>
      </c>
      <c r="B664" t="s">
        <v>30</v>
      </c>
      <c r="C664">
        <v>203</v>
      </c>
      <c r="D664">
        <v>5</v>
      </c>
      <c r="E664">
        <v>1</v>
      </c>
      <c r="F664" t="s">
        <v>31</v>
      </c>
      <c r="G664" t="s">
        <v>32</v>
      </c>
      <c r="H664" t="s">
        <v>33</v>
      </c>
      <c r="I664" t="s">
        <v>43</v>
      </c>
      <c r="J664" t="s">
        <v>44</v>
      </c>
      <c r="K664" t="s">
        <v>36</v>
      </c>
      <c r="L664" t="s">
        <v>37</v>
      </c>
      <c r="M664">
        <v>0</v>
      </c>
      <c r="N664">
        <v>0</v>
      </c>
      <c r="O664" s="5" t="s">
        <v>51</v>
      </c>
      <c r="P664" s="5" t="s">
        <v>52</v>
      </c>
      <c r="Q664">
        <f>34-12</f>
        <v>22</v>
      </c>
      <c r="R664" t="s">
        <v>38</v>
      </c>
      <c r="T664">
        <v>20</v>
      </c>
      <c r="U664">
        <v>86</v>
      </c>
      <c r="V664">
        <v>15</v>
      </c>
      <c r="W664">
        <v>12.5</v>
      </c>
      <c r="X664">
        <v>30.4</v>
      </c>
      <c r="Z664" t="s">
        <v>39</v>
      </c>
      <c r="AB664" t="s">
        <v>60</v>
      </c>
      <c r="AC664" t="s">
        <v>87</v>
      </c>
    </row>
    <row r="665" spans="1:30" x14ac:dyDescent="0.35">
      <c r="A665" s="4">
        <v>42541</v>
      </c>
      <c r="B665" t="s">
        <v>30</v>
      </c>
      <c r="C665">
        <v>202</v>
      </c>
      <c r="D665">
        <v>5</v>
      </c>
      <c r="E665">
        <v>1</v>
      </c>
      <c r="F665" t="s">
        <v>31</v>
      </c>
      <c r="G665" t="s">
        <v>32</v>
      </c>
      <c r="H665" t="s">
        <v>33</v>
      </c>
      <c r="I665" t="s">
        <v>43</v>
      </c>
      <c r="J665" t="s">
        <v>122</v>
      </c>
      <c r="O665" s="5"/>
      <c r="P665" s="5"/>
      <c r="Z665" t="s">
        <v>39</v>
      </c>
    </row>
    <row r="666" spans="1:30" x14ac:dyDescent="0.35">
      <c r="A666" s="4">
        <v>42541</v>
      </c>
      <c r="B666" t="s">
        <v>30</v>
      </c>
      <c r="C666">
        <v>113</v>
      </c>
      <c r="D666">
        <v>1</v>
      </c>
      <c r="E666">
        <v>1</v>
      </c>
      <c r="F666" t="s">
        <v>42</v>
      </c>
      <c r="G666" t="s">
        <v>32</v>
      </c>
      <c r="H666" t="s">
        <v>33</v>
      </c>
      <c r="I666" t="s">
        <v>43</v>
      </c>
      <c r="J666" t="s">
        <v>139</v>
      </c>
      <c r="O666" s="5"/>
      <c r="P666" s="5"/>
      <c r="Z666" t="s">
        <v>39</v>
      </c>
      <c r="AB666" t="s">
        <v>60</v>
      </c>
      <c r="AC666" t="s">
        <v>137</v>
      </c>
      <c r="AD666" t="s">
        <v>140</v>
      </c>
    </row>
    <row r="667" spans="1:30" x14ac:dyDescent="0.35">
      <c r="A667" s="4">
        <v>42541</v>
      </c>
      <c r="B667" t="s">
        <v>30</v>
      </c>
      <c r="C667">
        <v>402</v>
      </c>
      <c r="D667">
        <v>1</v>
      </c>
      <c r="E667">
        <v>2</v>
      </c>
      <c r="F667" t="s">
        <v>42</v>
      </c>
      <c r="G667" t="s">
        <v>32</v>
      </c>
      <c r="H667" t="s">
        <v>33</v>
      </c>
      <c r="I667" t="s">
        <v>34</v>
      </c>
      <c r="J667" t="s">
        <v>35</v>
      </c>
      <c r="K667" t="s">
        <v>88</v>
      </c>
      <c r="L667" t="s">
        <v>45</v>
      </c>
      <c r="M667">
        <v>0</v>
      </c>
      <c r="N667">
        <v>1</v>
      </c>
      <c r="O667" s="5">
        <v>50478</v>
      </c>
      <c r="P667" s="5"/>
      <c r="Q667">
        <f>170-90</f>
        <v>80</v>
      </c>
      <c r="R667" t="s">
        <v>46</v>
      </c>
      <c r="S667" t="s">
        <v>39</v>
      </c>
      <c r="T667">
        <v>35</v>
      </c>
      <c r="W667">
        <v>21.5</v>
      </c>
      <c r="X667">
        <v>42.9</v>
      </c>
      <c r="Z667" t="s">
        <v>39</v>
      </c>
      <c r="AB667" t="s">
        <v>136</v>
      </c>
      <c r="AC667" t="s">
        <v>137</v>
      </c>
    </row>
    <row r="668" spans="1:30" x14ac:dyDescent="0.35">
      <c r="A668" s="4">
        <v>42541</v>
      </c>
      <c r="B668" t="s">
        <v>30</v>
      </c>
      <c r="C668">
        <v>113</v>
      </c>
      <c r="D668">
        <v>8</v>
      </c>
      <c r="E668">
        <v>1</v>
      </c>
      <c r="F668" t="s">
        <v>42</v>
      </c>
      <c r="G668" t="s">
        <v>32</v>
      </c>
      <c r="H668" t="s">
        <v>33</v>
      </c>
      <c r="I668" t="s">
        <v>34</v>
      </c>
      <c r="J668" t="s">
        <v>35</v>
      </c>
      <c r="K668" t="s">
        <v>113</v>
      </c>
      <c r="L668" t="s">
        <v>37</v>
      </c>
      <c r="M668">
        <v>0</v>
      </c>
      <c r="N668">
        <v>1</v>
      </c>
      <c r="O668" s="5">
        <v>50482</v>
      </c>
      <c r="P668" s="5"/>
      <c r="Q668">
        <f>175-90</f>
        <v>85</v>
      </c>
      <c r="R668" t="s">
        <v>38</v>
      </c>
      <c r="S668" t="s">
        <v>39</v>
      </c>
      <c r="T668">
        <v>34</v>
      </c>
      <c r="W668">
        <v>20.399999999999999</v>
      </c>
      <c r="X668">
        <v>41.1</v>
      </c>
      <c r="Z668" t="s">
        <v>39</v>
      </c>
      <c r="AB668" t="s">
        <v>136</v>
      </c>
      <c r="AC668" t="s">
        <v>137</v>
      </c>
    </row>
    <row r="669" spans="1:30" x14ac:dyDescent="0.35">
      <c r="A669" s="4">
        <v>42541</v>
      </c>
      <c r="B669" t="s">
        <v>30</v>
      </c>
      <c r="C669">
        <v>113</v>
      </c>
      <c r="D669">
        <v>3</v>
      </c>
      <c r="E669">
        <v>1</v>
      </c>
      <c r="F669" t="s">
        <v>42</v>
      </c>
      <c r="G669" t="s">
        <v>32</v>
      </c>
      <c r="H669" t="s">
        <v>33</v>
      </c>
      <c r="I669" t="s">
        <v>34</v>
      </c>
      <c r="J669" t="s">
        <v>35</v>
      </c>
      <c r="K669" t="s">
        <v>88</v>
      </c>
      <c r="L669" t="s">
        <v>45</v>
      </c>
      <c r="M669">
        <v>0</v>
      </c>
      <c r="N669">
        <v>1</v>
      </c>
      <c r="O669" s="5">
        <v>50599</v>
      </c>
      <c r="P669" s="5"/>
      <c r="Q669">
        <f>158-90</f>
        <v>68</v>
      </c>
      <c r="R669" t="s">
        <v>46</v>
      </c>
      <c r="S669" t="s">
        <v>39</v>
      </c>
      <c r="T669">
        <v>29</v>
      </c>
      <c r="W669">
        <v>20.5</v>
      </c>
      <c r="X669">
        <v>39.5</v>
      </c>
      <c r="Z669" t="s">
        <v>39</v>
      </c>
      <c r="AB669" t="s">
        <v>136</v>
      </c>
      <c r="AC669" t="s">
        <v>137</v>
      </c>
    </row>
    <row r="670" spans="1:30" x14ac:dyDescent="0.35">
      <c r="A670" s="4">
        <v>42541</v>
      </c>
      <c r="B670" t="s">
        <v>30</v>
      </c>
      <c r="C670">
        <v>112</v>
      </c>
      <c r="D670">
        <v>8</v>
      </c>
      <c r="E670">
        <v>1</v>
      </c>
      <c r="F670" t="s">
        <v>42</v>
      </c>
      <c r="G670" t="s">
        <v>32</v>
      </c>
      <c r="H670" t="s">
        <v>33</v>
      </c>
      <c r="I670" t="s">
        <v>34</v>
      </c>
      <c r="J670" t="s">
        <v>44</v>
      </c>
      <c r="K670" t="s">
        <v>36</v>
      </c>
      <c r="L670" t="s">
        <v>37</v>
      </c>
      <c r="M670">
        <v>0</v>
      </c>
      <c r="N670">
        <v>0</v>
      </c>
      <c r="O670" s="5" t="s">
        <v>141</v>
      </c>
      <c r="P670" s="5"/>
      <c r="Q670">
        <f>180-90</f>
        <v>90</v>
      </c>
      <c r="R670" t="s">
        <v>38</v>
      </c>
      <c r="S670" t="s">
        <v>39</v>
      </c>
      <c r="T670">
        <v>34</v>
      </c>
      <c r="W670">
        <v>21.1</v>
      </c>
      <c r="X670">
        <v>43.7</v>
      </c>
      <c r="Z670" t="s">
        <v>39</v>
      </c>
      <c r="AB670" t="s">
        <v>60</v>
      </c>
      <c r="AC670" t="s">
        <v>137</v>
      </c>
    </row>
    <row r="671" spans="1:30" x14ac:dyDescent="0.35">
      <c r="A671" s="4">
        <v>42541</v>
      </c>
      <c r="B671" t="s">
        <v>30</v>
      </c>
      <c r="C671">
        <v>202</v>
      </c>
      <c r="D671">
        <v>10</v>
      </c>
      <c r="E671">
        <v>1</v>
      </c>
      <c r="F671" t="s">
        <v>31</v>
      </c>
      <c r="G671" t="s">
        <v>32</v>
      </c>
      <c r="H671" t="s">
        <v>33</v>
      </c>
      <c r="I671" t="s">
        <v>34</v>
      </c>
      <c r="J671" t="s">
        <v>44</v>
      </c>
      <c r="K671" t="s">
        <v>36</v>
      </c>
      <c r="L671" t="s">
        <v>45</v>
      </c>
      <c r="M671">
        <v>0</v>
      </c>
      <c r="N671">
        <v>0</v>
      </c>
      <c r="O671" s="5"/>
      <c r="P671" s="5" t="s">
        <v>142</v>
      </c>
      <c r="Q671">
        <f>143-48</f>
        <v>95</v>
      </c>
      <c r="R671" t="s">
        <v>143</v>
      </c>
      <c r="S671" t="s">
        <v>102</v>
      </c>
      <c r="T671">
        <v>32</v>
      </c>
      <c r="Z671" t="s">
        <v>39</v>
      </c>
      <c r="AB671" t="s">
        <v>60</v>
      </c>
      <c r="AC671" t="s">
        <v>87</v>
      </c>
    </row>
    <row r="672" spans="1:30" x14ac:dyDescent="0.35">
      <c r="A672" s="4">
        <v>42541</v>
      </c>
      <c r="B672" t="s">
        <v>30</v>
      </c>
      <c r="C672">
        <v>201</v>
      </c>
      <c r="D672">
        <v>4</v>
      </c>
      <c r="E672">
        <v>1</v>
      </c>
      <c r="F672" t="s">
        <v>31</v>
      </c>
      <c r="G672" t="s">
        <v>32</v>
      </c>
      <c r="H672" t="s">
        <v>33</v>
      </c>
      <c r="I672" t="s">
        <v>59</v>
      </c>
      <c r="O672" s="5"/>
      <c r="P672" s="5"/>
      <c r="Z672" t="s">
        <v>39</v>
      </c>
    </row>
    <row r="673" spans="1:26" x14ac:dyDescent="0.35">
      <c r="A673" s="4">
        <v>42541</v>
      </c>
      <c r="B673" t="s">
        <v>30</v>
      </c>
      <c r="C673">
        <v>201</v>
      </c>
      <c r="D673">
        <v>6</v>
      </c>
      <c r="E673">
        <v>1</v>
      </c>
      <c r="F673" t="s">
        <v>31</v>
      </c>
      <c r="G673" t="s">
        <v>32</v>
      </c>
      <c r="H673" t="s">
        <v>33</v>
      </c>
      <c r="I673" t="s">
        <v>59</v>
      </c>
      <c r="O673" s="5"/>
      <c r="P673" s="5"/>
      <c r="Z673" t="s">
        <v>39</v>
      </c>
    </row>
    <row r="674" spans="1:26" x14ac:dyDescent="0.35">
      <c r="A674" s="4">
        <v>42541</v>
      </c>
      <c r="B674" t="s">
        <v>30</v>
      </c>
      <c r="C674">
        <v>201</v>
      </c>
      <c r="D674">
        <v>7</v>
      </c>
      <c r="E674">
        <v>1</v>
      </c>
      <c r="F674" t="s">
        <v>31</v>
      </c>
      <c r="G674" t="s">
        <v>32</v>
      </c>
      <c r="H674" t="s">
        <v>33</v>
      </c>
      <c r="I674" t="s">
        <v>59</v>
      </c>
      <c r="O674" s="5"/>
      <c r="P674" s="5"/>
      <c r="Z674" t="s">
        <v>39</v>
      </c>
    </row>
    <row r="675" spans="1:26" x14ac:dyDescent="0.35">
      <c r="A675" s="4">
        <v>42541</v>
      </c>
      <c r="B675" t="s">
        <v>30</v>
      </c>
      <c r="C675">
        <v>201</v>
      </c>
      <c r="D675">
        <v>8</v>
      </c>
      <c r="E675">
        <v>1</v>
      </c>
      <c r="F675" t="s">
        <v>31</v>
      </c>
      <c r="G675" t="s">
        <v>32</v>
      </c>
      <c r="H675" t="s">
        <v>33</v>
      </c>
      <c r="I675" t="s">
        <v>59</v>
      </c>
      <c r="O675" s="5"/>
      <c r="P675" s="5"/>
      <c r="Z675" t="s">
        <v>39</v>
      </c>
    </row>
    <row r="676" spans="1:26" x14ac:dyDescent="0.35">
      <c r="A676" s="4">
        <v>42541</v>
      </c>
      <c r="B676" t="s">
        <v>30</v>
      </c>
      <c r="C676">
        <v>201</v>
      </c>
      <c r="D676">
        <v>8</v>
      </c>
      <c r="E676">
        <v>2</v>
      </c>
      <c r="F676" t="s">
        <v>31</v>
      </c>
      <c r="G676" t="s">
        <v>32</v>
      </c>
      <c r="H676" t="s">
        <v>33</v>
      </c>
      <c r="I676" t="s">
        <v>59</v>
      </c>
      <c r="O676" s="5"/>
      <c r="P676" s="5"/>
      <c r="Z676" t="s">
        <v>39</v>
      </c>
    </row>
    <row r="677" spans="1:26" x14ac:dyDescent="0.35">
      <c r="A677" s="4">
        <v>42541</v>
      </c>
      <c r="B677" t="s">
        <v>30</v>
      </c>
      <c r="C677">
        <v>203</v>
      </c>
      <c r="D677">
        <v>8</v>
      </c>
      <c r="E677">
        <v>1</v>
      </c>
      <c r="F677" t="s">
        <v>31</v>
      </c>
      <c r="G677" t="s">
        <v>32</v>
      </c>
      <c r="H677" t="s">
        <v>33</v>
      </c>
      <c r="I677" t="s">
        <v>59</v>
      </c>
      <c r="O677" s="5"/>
      <c r="P677" s="5"/>
      <c r="Z677" t="s">
        <v>39</v>
      </c>
    </row>
    <row r="678" spans="1:26" x14ac:dyDescent="0.35">
      <c r="A678" s="4">
        <v>42541</v>
      </c>
      <c r="B678" t="s">
        <v>30</v>
      </c>
      <c r="C678">
        <v>203</v>
      </c>
      <c r="D678">
        <v>9</v>
      </c>
      <c r="E678">
        <v>1</v>
      </c>
      <c r="F678" t="s">
        <v>31</v>
      </c>
      <c r="G678" t="s">
        <v>32</v>
      </c>
      <c r="H678" t="s">
        <v>33</v>
      </c>
      <c r="I678" t="s">
        <v>59</v>
      </c>
      <c r="O678" s="5"/>
      <c r="P678" s="5"/>
      <c r="Z678" t="s">
        <v>39</v>
      </c>
    </row>
    <row r="679" spans="1:26" x14ac:dyDescent="0.35">
      <c r="A679" s="4">
        <v>42541</v>
      </c>
      <c r="B679" t="s">
        <v>30</v>
      </c>
      <c r="C679">
        <v>202</v>
      </c>
      <c r="D679">
        <v>2</v>
      </c>
      <c r="E679">
        <v>1</v>
      </c>
      <c r="F679" t="s">
        <v>31</v>
      </c>
      <c r="G679" t="s">
        <v>32</v>
      </c>
      <c r="H679" t="s">
        <v>33</v>
      </c>
      <c r="I679" t="s">
        <v>59</v>
      </c>
      <c r="O679" s="5"/>
      <c r="P679" s="5"/>
      <c r="Z679" t="s">
        <v>39</v>
      </c>
    </row>
    <row r="680" spans="1:26" x14ac:dyDescent="0.35">
      <c r="A680" s="4">
        <v>42541</v>
      </c>
      <c r="B680" t="s">
        <v>30</v>
      </c>
      <c r="C680">
        <v>111</v>
      </c>
      <c r="D680">
        <v>4</v>
      </c>
      <c r="E680">
        <v>1</v>
      </c>
      <c r="F680" t="s">
        <v>42</v>
      </c>
      <c r="G680" t="s">
        <v>32</v>
      </c>
      <c r="H680" t="s">
        <v>33</v>
      </c>
      <c r="I680" t="s">
        <v>59</v>
      </c>
      <c r="O680" s="5"/>
      <c r="P680" s="5"/>
      <c r="Z680" t="s">
        <v>39</v>
      </c>
    </row>
    <row r="681" spans="1:26" x14ac:dyDescent="0.35">
      <c r="A681" s="4">
        <v>42541</v>
      </c>
      <c r="B681" t="s">
        <v>30</v>
      </c>
      <c r="C681">
        <v>111</v>
      </c>
      <c r="D681">
        <v>4</v>
      </c>
      <c r="E681">
        <v>2</v>
      </c>
      <c r="F681" t="s">
        <v>42</v>
      </c>
      <c r="G681" t="s">
        <v>32</v>
      </c>
      <c r="H681" t="s">
        <v>33</v>
      </c>
      <c r="I681" t="s">
        <v>59</v>
      </c>
      <c r="O681" s="5"/>
      <c r="P681" s="5"/>
      <c r="Z681" t="s">
        <v>39</v>
      </c>
    </row>
    <row r="682" spans="1:26" x14ac:dyDescent="0.35">
      <c r="A682" s="4">
        <v>42541</v>
      </c>
      <c r="B682" t="s">
        <v>30</v>
      </c>
      <c r="C682">
        <v>111</v>
      </c>
      <c r="D682">
        <v>7</v>
      </c>
      <c r="E682">
        <v>1</v>
      </c>
      <c r="F682" t="s">
        <v>42</v>
      </c>
      <c r="G682" t="s">
        <v>32</v>
      </c>
      <c r="H682" t="s">
        <v>33</v>
      </c>
      <c r="I682" t="s">
        <v>59</v>
      </c>
      <c r="O682" s="5"/>
      <c r="P682" s="5"/>
      <c r="Z682" t="s">
        <v>39</v>
      </c>
    </row>
    <row r="683" spans="1:26" x14ac:dyDescent="0.35">
      <c r="A683" s="4">
        <v>42541</v>
      </c>
      <c r="B683" t="s">
        <v>30</v>
      </c>
      <c r="C683">
        <v>111</v>
      </c>
      <c r="D683">
        <v>8</v>
      </c>
      <c r="E683">
        <v>1</v>
      </c>
      <c r="F683" t="s">
        <v>42</v>
      </c>
      <c r="G683" t="s">
        <v>32</v>
      </c>
      <c r="H683" t="s">
        <v>33</v>
      </c>
      <c r="I683" t="s">
        <v>59</v>
      </c>
      <c r="O683" s="5"/>
      <c r="P683" s="5"/>
      <c r="Z683" t="s">
        <v>39</v>
      </c>
    </row>
    <row r="684" spans="1:26" x14ac:dyDescent="0.35">
      <c r="A684" s="4">
        <v>42541</v>
      </c>
      <c r="B684" t="s">
        <v>30</v>
      </c>
      <c r="C684">
        <v>111</v>
      </c>
      <c r="D684">
        <v>8</v>
      </c>
      <c r="E684">
        <v>2</v>
      </c>
      <c r="F684" t="s">
        <v>42</v>
      </c>
      <c r="G684" t="s">
        <v>32</v>
      </c>
      <c r="H684" t="s">
        <v>33</v>
      </c>
      <c r="I684" t="s">
        <v>59</v>
      </c>
      <c r="O684" s="5"/>
      <c r="P684" s="5"/>
      <c r="Z684" t="s">
        <v>39</v>
      </c>
    </row>
    <row r="685" spans="1:26" x14ac:dyDescent="0.35">
      <c r="A685" s="4">
        <v>42541</v>
      </c>
      <c r="B685" t="s">
        <v>30</v>
      </c>
      <c r="C685">
        <v>112</v>
      </c>
      <c r="D685">
        <v>4</v>
      </c>
      <c r="E685">
        <v>1</v>
      </c>
      <c r="F685" t="s">
        <v>42</v>
      </c>
      <c r="G685" t="s">
        <v>32</v>
      </c>
      <c r="H685" t="s">
        <v>33</v>
      </c>
      <c r="I685" t="s">
        <v>59</v>
      </c>
      <c r="O685" s="5"/>
      <c r="P685" s="5"/>
      <c r="Z685" t="s">
        <v>39</v>
      </c>
    </row>
    <row r="686" spans="1:26" x14ac:dyDescent="0.35">
      <c r="A686" s="4">
        <v>42541</v>
      </c>
      <c r="B686" t="s">
        <v>30</v>
      </c>
      <c r="C686">
        <v>112</v>
      </c>
      <c r="D686">
        <v>9</v>
      </c>
      <c r="E686">
        <v>1</v>
      </c>
      <c r="F686" t="s">
        <v>42</v>
      </c>
      <c r="G686" t="s">
        <v>32</v>
      </c>
      <c r="H686" t="s">
        <v>33</v>
      </c>
      <c r="I686" t="s">
        <v>59</v>
      </c>
      <c r="O686" s="5"/>
      <c r="P686" s="5"/>
      <c r="Z686" t="s">
        <v>39</v>
      </c>
    </row>
    <row r="687" spans="1:26" x14ac:dyDescent="0.35">
      <c r="A687" s="4">
        <v>42541</v>
      </c>
      <c r="B687" t="s">
        <v>30</v>
      </c>
      <c r="C687">
        <v>112</v>
      </c>
      <c r="D687">
        <v>10</v>
      </c>
      <c r="E687">
        <v>1</v>
      </c>
      <c r="F687" t="s">
        <v>42</v>
      </c>
      <c r="G687" t="s">
        <v>32</v>
      </c>
      <c r="H687" t="s">
        <v>33</v>
      </c>
      <c r="I687" t="s">
        <v>59</v>
      </c>
      <c r="O687" s="5"/>
      <c r="P687" s="5"/>
      <c r="Z687" t="s">
        <v>39</v>
      </c>
    </row>
    <row r="688" spans="1:26" x14ac:dyDescent="0.35">
      <c r="A688" s="4">
        <v>42541</v>
      </c>
      <c r="B688" t="s">
        <v>30</v>
      </c>
      <c r="C688">
        <v>113</v>
      </c>
      <c r="D688">
        <v>1</v>
      </c>
      <c r="E688">
        <v>2</v>
      </c>
      <c r="F688" t="s">
        <v>42</v>
      </c>
      <c r="G688" t="s">
        <v>32</v>
      </c>
      <c r="H688" t="s">
        <v>33</v>
      </c>
      <c r="I688" t="s">
        <v>59</v>
      </c>
      <c r="O688" s="5"/>
      <c r="P688" s="5"/>
      <c r="Z688" t="s">
        <v>39</v>
      </c>
    </row>
    <row r="689" spans="1:30" x14ac:dyDescent="0.35">
      <c r="A689" s="4">
        <v>42541</v>
      </c>
      <c r="B689" t="s">
        <v>30</v>
      </c>
      <c r="C689">
        <v>113</v>
      </c>
      <c r="D689">
        <v>8</v>
      </c>
      <c r="E689">
        <v>2</v>
      </c>
      <c r="F689" t="s">
        <v>42</v>
      </c>
      <c r="G689" t="s">
        <v>32</v>
      </c>
      <c r="H689" t="s">
        <v>33</v>
      </c>
      <c r="I689" t="s">
        <v>59</v>
      </c>
      <c r="O689" s="5"/>
      <c r="P689" s="5"/>
      <c r="Z689" t="s">
        <v>39</v>
      </c>
    </row>
    <row r="690" spans="1:30" x14ac:dyDescent="0.35">
      <c r="A690" s="4">
        <v>42541</v>
      </c>
      <c r="B690" t="s">
        <v>30</v>
      </c>
      <c r="C690">
        <v>402</v>
      </c>
      <c r="D690">
        <v>1</v>
      </c>
      <c r="E690">
        <v>1</v>
      </c>
      <c r="F690" t="s">
        <v>42</v>
      </c>
      <c r="G690" t="s">
        <v>32</v>
      </c>
      <c r="H690" t="s">
        <v>33</v>
      </c>
      <c r="I690" t="s">
        <v>59</v>
      </c>
      <c r="O690" s="5"/>
      <c r="P690" s="5"/>
      <c r="Z690" t="s">
        <v>39</v>
      </c>
    </row>
    <row r="691" spans="1:30" x14ac:dyDescent="0.35">
      <c r="A691" s="4">
        <v>42542</v>
      </c>
      <c r="B691" t="s">
        <v>30</v>
      </c>
      <c r="C691">
        <v>201</v>
      </c>
      <c r="D691">
        <v>2</v>
      </c>
      <c r="E691">
        <v>1</v>
      </c>
      <c r="F691" t="s">
        <v>31</v>
      </c>
      <c r="G691" t="s">
        <v>32</v>
      </c>
      <c r="H691" t="s">
        <v>33</v>
      </c>
      <c r="I691" t="s">
        <v>43</v>
      </c>
      <c r="J691" t="s">
        <v>44</v>
      </c>
      <c r="K691" t="s">
        <v>36</v>
      </c>
      <c r="L691" t="s">
        <v>37</v>
      </c>
      <c r="M691">
        <v>0</v>
      </c>
      <c r="N691">
        <v>0</v>
      </c>
      <c r="O691" s="5">
        <v>50335</v>
      </c>
      <c r="P691" s="5">
        <v>50334</v>
      </c>
      <c r="Q691">
        <f>34.5-13</f>
        <v>21.5</v>
      </c>
      <c r="R691" t="s">
        <v>38</v>
      </c>
      <c r="T691">
        <v>20</v>
      </c>
      <c r="U691">
        <v>74</v>
      </c>
      <c r="V691">
        <v>14</v>
      </c>
      <c r="W691">
        <v>12.5</v>
      </c>
      <c r="X691">
        <v>28.6</v>
      </c>
      <c r="Z691" t="s">
        <v>39</v>
      </c>
      <c r="AB691" t="s">
        <v>47</v>
      </c>
      <c r="AC691" t="s">
        <v>87</v>
      </c>
    </row>
    <row r="692" spans="1:30" x14ac:dyDescent="0.35">
      <c r="A692" s="4">
        <v>42542</v>
      </c>
      <c r="B692" t="s">
        <v>30</v>
      </c>
      <c r="C692">
        <v>111</v>
      </c>
      <c r="D692">
        <v>8</v>
      </c>
      <c r="E692">
        <v>1</v>
      </c>
      <c r="F692" t="s">
        <v>42</v>
      </c>
      <c r="G692" t="s">
        <v>32</v>
      </c>
      <c r="H692" t="s">
        <v>33</v>
      </c>
      <c r="I692" t="s">
        <v>43</v>
      </c>
      <c r="J692" t="s">
        <v>44</v>
      </c>
      <c r="K692" t="s">
        <v>36</v>
      </c>
      <c r="L692" t="s">
        <v>45</v>
      </c>
      <c r="M692">
        <v>0</v>
      </c>
      <c r="N692">
        <v>0</v>
      </c>
      <c r="O692" s="5">
        <v>50348</v>
      </c>
      <c r="P692" s="5">
        <v>50347</v>
      </c>
      <c r="Q692">
        <f>32.5-13.5</f>
        <v>19</v>
      </c>
      <c r="R692" t="s">
        <v>74</v>
      </c>
      <c r="S692" t="s">
        <v>102</v>
      </c>
      <c r="T692">
        <v>18.5</v>
      </c>
      <c r="U692">
        <v>87</v>
      </c>
      <c r="V692">
        <v>17</v>
      </c>
      <c r="W692">
        <v>11.8</v>
      </c>
      <c r="X692">
        <v>25.6</v>
      </c>
      <c r="Z692" t="s">
        <v>39</v>
      </c>
      <c r="AB692" t="s">
        <v>47</v>
      </c>
      <c r="AC692" t="s">
        <v>87</v>
      </c>
    </row>
    <row r="693" spans="1:30" x14ac:dyDescent="0.35">
      <c r="A693" s="4">
        <v>42542</v>
      </c>
      <c r="B693" t="s">
        <v>30</v>
      </c>
      <c r="C693">
        <v>112</v>
      </c>
      <c r="D693">
        <v>2</v>
      </c>
      <c r="E693">
        <v>1</v>
      </c>
      <c r="F693" t="s">
        <v>42</v>
      </c>
      <c r="G693" t="s">
        <v>32</v>
      </c>
      <c r="H693" t="s">
        <v>33</v>
      </c>
      <c r="I693" t="s">
        <v>43</v>
      </c>
      <c r="J693" t="s">
        <v>44</v>
      </c>
      <c r="K693" t="s">
        <v>36</v>
      </c>
      <c r="L693" t="s">
        <v>45</v>
      </c>
      <c r="M693">
        <v>0</v>
      </c>
      <c r="N693">
        <v>0</v>
      </c>
      <c r="O693" s="5">
        <v>50350</v>
      </c>
      <c r="P693" s="5">
        <v>50349</v>
      </c>
      <c r="Q693">
        <f>40-13</f>
        <v>27</v>
      </c>
      <c r="R693" t="s">
        <v>77</v>
      </c>
      <c r="S693" t="s">
        <v>39</v>
      </c>
      <c r="T693">
        <v>18</v>
      </c>
      <c r="U693">
        <v>96</v>
      </c>
      <c r="V693">
        <v>16</v>
      </c>
      <c r="W693">
        <v>13.1</v>
      </c>
      <c r="X693">
        <v>28.8</v>
      </c>
      <c r="Z693" t="s">
        <v>39</v>
      </c>
      <c r="AB693" t="s">
        <v>47</v>
      </c>
      <c r="AC693" t="s">
        <v>87</v>
      </c>
      <c r="AD693" t="s">
        <v>144</v>
      </c>
    </row>
    <row r="694" spans="1:30" x14ac:dyDescent="0.35">
      <c r="A694" s="4">
        <v>42542</v>
      </c>
      <c r="B694" t="s">
        <v>30</v>
      </c>
      <c r="C694">
        <v>301</v>
      </c>
      <c r="D694">
        <v>5</v>
      </c>
      <c r="E694">
        <v>1</v>
      </c>
      <c r="F694" t="s">
        <v>31</v>
      </c>
      <c r="G694" t="s">
        <v>32</v>
      </c>
      <c r="H694" t="s">
        <v>33</v>
      </c>
      <c r="I694" t="s">
        <v>43</v>
      </c>
      <c r="J694" t="s">
        <v>44</v>
      </c>
      <c r="K694" t="s">
        <v>88</v>
      </c>
      <c r="L694" t="s">
        <v>37</v>
      </c>
      <c r="M694">
        <v>0</v>
      </c>
      <c r="N694">
        <v>0</v>
      </c>
      <c r="O694" s="5">
        <v>50352</v>
      </c>
      <c r="P694" s="5">
        <v>50367</v>
      </c>
      <c r="Q694">
        <f>30-16</f>
        <v>14</v>
      </c>
      <c r="R694" t="s">
        <v>64</v>
      </c>
      <c r="T694">
        <v>19</v>
      </c>
      <c r="U694">
        <v>74</v>
      </c>
      <c r="V694">
        <v>14</v>
      </c>
      <c r="W694">
        <v>12.2</v>
      </c>
      <c r="X694">
        <v>27.4</v>
      </c>
      <c r="Z694" t="s">
        <v>39</v>
      </c>
      <c r="AB694" t="s">
        <v>47</v>
      </c>
      <c r="AC694" t="s">
        <v>87</v>
      </c>
    </row>
    <row r="695" spans="1:30" x14ac:dyDescent="0.35">
      <c r="A695" s="4">
        <v>42542</v>
      </c>
      <c r="B695" t="s">
        <v>30</v>
      </c>
      <c r="C695">
        <v>201</v>
      </c>
      <c r="D695">
        <v>8</v>
      </c>
      <c r="E695">
        <v>1</v>
      </c>
      <c r="F695" t="s">
        <v>31</v>
      </c>
      <c r="G695" t="s">
        <v>32</v>
      </c>
      <c r="H695" t="s">
        <v>33</v>
      </c>
      <c r="I695" t="s">
        <v>43</v>
      </c>
      <c r="J695" t="s">
        <v>44</v>
      </c>
      <c r="K695" t="s">
        <v>36</v>
      </c>
      <c r="L695" t="s">
        <v>45</v>
      </c>
      <c r="M695">
        <v>0</v>
      </c>
      <c r="N695">
        <v>0</v>
      </c>
      <c r="O695" s="5">
        <v>50359</v>
      </c>
      <c r="P695" s="5">
        <v>50358</v>
      </c>
      <c r="Q695">
        <f>34-14.5</f>
        <v>19.5</v>
      </c>
      <c r="R695" t="s">
        <v>61</v>
      </c>
      <c r="S695" t="s">
        <v>39</v>
      </c>
      <c r="T695">
        <v>19</v>
      </c>
      <c r="U695">
        <v>82</v>
      </c>
      <c r="V695">
        <v>14</v>
      </c>
      <c r="W695">
        <v>12.9</v>
      </c>
      <c r="X695">
        <v>29.3</v>
      </c>
      <c r="Z695" t="s">
        <v>39</v>
      </c>
      <c r="AB695" t="s">
        <v>47</v>
      </c>
      <c r="AC695" t="s">
        <v>87</v>
      </c>
    </row>
    <row r="696" spans="1:30" x14ac:dyDescent="0.35">
      <c r="A696" s="4">
        <v>42542</v>
      </c>
      <c r="B696" t="s">
        <v>30</v>
      </c>
      <c r="C696">
        <v>201</v>
      </c>
      <c r="D696">
        <v>9</v>
      </c>
      <c r="E696">
        <v>1</v>
      </c>
      <c r="F696" t="s">
        <v>31</v>
      </c>
      <c r="G696" t="s">
        <v>32</v>
      </c>
      <c r="H696" t="s">
        <v>33</v>
      </c>
      <c r="I696" t="s">
        <v>43</v>
      </c>
      <c r="J696" t="s">
        <v>35</v>
      </c>
      <c r="K696" t="s">
        <v>88</v>
      </c>
      <c r="L696" t="s">
        <v>45</v>
      </c>
      <c r="M696">
        <v>0</v>
      </c>
      <c r="N696">
        <v>1</v>
      </c>
      <c r="O696" s="5">
        <v>50415</v>
      </c>
      <c r="P696" s="5">
        <v>50414</v>
      </c>
      <c r="Q696">
        <f>32-15</f>
        <v>17</v>
      </c>
      <c r="R696" t="s">
        <v>46</v>
      </c>
      <c r="S696" t="s">
        <v>39</v>
      </c>
      <c r="T696">
        <v>20</v>
      </c>
      <c r="U696">
        <v>88</v>
      </c>
      <c r="V696">
        <v>13</v>
      </c>
      <c r="W696">
        <v>12.5</v>
      </c>
      <c r="X696">
        <v>28.1</v>
      </c>
      <c r="Z696" t="s">
        <v>39</v>
      </c>
      <c r="AB696" t="s">
        <v>47</v>
      </c>
      <c r="AC696" t="s">
        <v>87</v>
      </c>
    </row>
    <row r="697" spans="1:30" x14ac:dyDescent="0.35">
      <c r="A697" s="4">
        <v>42542</v>
      </c>
      <c r="B697" t="s">
        <v>30</v>
      </c>
      <c r="C697">
        <v>201</v>
      </c>
      <c r="D697">
        <v>1</v>
      </c>
      <c r="E697">
        <v>2</v>
      </c>
      <c r="F697" t="s">
        <v>31</v>
      </c>
      <c r="G697" t="s">
        <v>32</v>
      </c>
      <c r="H697" t="s">
        <v>33</v>
      </c>
      <c r="I697" t="s">
        <v>43</v>
      </c>
      <c r="J697" t="s">
        <v>35</v>
      </c>
      <c r="K697" t="s">
        <v>113</v>
      </c>
      <c r="L697" t="s">
        <v>45</v>
      </c>
      <c r="M697">
        <v>0</v>
      </c>
      <c r="N697">
        <v>1</v>
      </c>
      <c r="O697" s="5">
        <v>50417</v>
      </c>
      <c r="P697" s="5">
        <v>50416</v>
      </c>
      <c r="Q697">
        <f>28.5-14</f>
        <v>14.5</v>
      </c>
      <c r="R697" t="s">
        <v>61</v>
      </c>
      <c r="S697" t="s">
        <v>39</v>
      </c>
      <c r="T697">
        <v>18</v>
      </c>
      <c r="U697">
        <v>74</v>
      </c>
      <c r="V697">
        <v>14</v>
      </c>
      <c r="W697">
        <v>11.8</v>
      </c>
      <c r="X697">
        <v>26.6</v>
      </c>
      <c r="Z697" t="s">
        <v>39</v>
      </c>
      <c r="AB697" t="s">
        <v>47</v>
      </c>
      <c r="AC697" t="s">
        <v>87</v>
      </c>
    </row>
    <row r="698" spans="1:30" x14ac:dyDescent="0.35">
      <c r="A698" s="4">
        <v>42542</v>
      </c>
      <c r="B698" t="s">
        <v>30</v>
      </c>
      <c r="C698">
        <v>201</v>
      </c>
      <c r="D698">
        <v>1</v>
      </c>
      <c r="E698">
        <v>1</v>
      </c>
      <c r="F698" t="s">
        <v>31</v>
      </c>
      <c r="G698" t="s">
        <v>32</v>
      </c>
      <c r="H698" t="s">
        <v>33</v>
      </c>
      <c r="I698" t="s">
        <v>43</v>
      </c>
      <c r="J698" t="s">
        <v>35</v>
      </c>
      <c r="K698" t="s">
        <v>36</v>
      </c>
      <c r="L698" t="s">
        <v>45</v>
      </c>
      <c r="M698">
        <v>0</v>
      </c>
      <c r="N698">
        <v>1</v>
      </c>
      <c r="O698" s="5">
        <v>50418</v>
      </c>
      <c r="P698" s="5">
        <v>50407</v>
      </c>
      <c r="Q698">
        <f>34-12.5</f>
        <v>21.5</v>
      </c>
      <c r="R698" t="s">
        <v>145</v>
      </c>
      <c r="S698" t="s">
        <v>102</v>
      </c>
      <c r="T698">
        <v>21</v>
      </c>
      <c r="U698">
        <v>84</v>
      </c>
      <c r="V698">
        <v>14</v>
      </c>
      <c r="W698">
        <v>12.4</v>
      </c>
      <c r="X698">
        <v>30.8</v>
      </c>
      <c r="Z698" t="s">
        <v>39</v>
      </c>
      <c r="AB698" t="s">
        <v>47</v>
      </c>
      <c r="AC698" t="s">
        <v>87</v>
      </c>
    </row>
    <row r="699" spans="1:30" x14ac:dyDescent="0.35">
      <c r="A699" s="4">
        <v>42542</v>
      </c>
      <c r="B699" t="s">
        <v>30</v>
      </c>
      <c r="C699">
        <v>113</v>
      </c>
      <c r="D699">
        <v>7</v>
      </c>
      <c r="E699">
        <v>1</v>
      </c>
      <c r="F699" t="s">
        <v>42</v>
      </c>
      <c r="G699" t="s">
        <v>32</v>
      </c>
      <c r="H699" t="s">
        <v>33</v>
      </c>
      <c r="I699" t="s">
        <v>43</v>
      </c>
      <c r="J699" t="s">
        <v>44</v>
      </c>
      <c r="K699" t="s">
        <v>113</v>
      </c>
      <c r="L699" t="s">
        <v>45</v>
      </c>
      <c r="M699">
        <v>0</v>
      </c>
      <c r="N699">
        <v>0</v>
      </c>
      <c r="O699" s="5">
        <v>50479</v>
      </c>
      <c r="P699" s="5">
        <v>50473</v>
      </c>
      <c r="Q699">
        <f>29.5-11.5</f>
        <v>18</v>
      </c>
      <c r="R699" t="s">
        <v>46</v>
      </c>
      <c r="S699" t="s">
        <v>39</v>
      </c>
      <c r="T699">
        <v>17</v>
      </c>
      <c r="U699">
        <v>81</v>
      </c>
      <c r="V699">
        <v>15</v>
      </c>
      <c r="W699">
        <v>12.2</v>
      </c>
      <c r="X699">
        <v>29.3</v>
      </c>
      <c r="Z699" t="s">
        <v>39</v>
      </c>
      <c r="AB699" t="s">
        <v>47</v>
      </c>
      <c r="AC699" t="s">
        <v>87</v>
      </c>
    </row>
    <row r="700" spans="1:30" x14ac:dyDescent="0.35">
      <c r="A700" s="4">
        <v>42542</v>
      </c>
      <c r="B700" t="s">
        <v>30</v>
      </c>
      <c r="C700">
        <v>112</v>
      </c>
      <c r="D700">
        <v>4</v>
      </c>
      <c r="E700">
        <v>1</v>
      </c>
      <c r="F700" t="s">
        <v>42</v>
      </c>
      <c r="G700" t="s">
        <v>32</v>
      </c>
      <c r="H700" t="s">
        <v>33</v>
      </c>
      <c r="I700" t="s">
        <v>43</v>
      </c>
      <c r="J700" t="s">
        <v>35</v>
      </c>
      <c r="K700" t="s">
        <v>113</v>
      </c>
      <c r="L700" t="s">
        <v>37</v>
      </c>
      <c r="M700">
        <v>0</v>
      </c>
      <c r="N700">
        <v>1</v>
      </c>
      <c r="O700" s="5">
        <v>50497</v>
      </c>
      <c r="P700" s="5">
        <v>50496</v>
      </c>
      <c r="Q700">
        <f>31-14</f>
        <v>17</v>
      </c>
      <c r="R700" t="s">
        <v>38</v>
      </c>
      <c r="S700" t="s">
        <v>39</v>
      </c>
      <c r="T700">
        <v>18</v>
      </c>
      <c r="U700">
        <v>76.5</v>
      </c>
      <c r="V700">
        <v>16</v>
      </c>
      <c r="W700">
        <v>12</v>
      </c>
      <c r="X700">
        <v>29.2</v>
      </c>
      <c r="Z700" t="s">
        <v>39</v>
      </c>
      <c r="AB700" t="s">
        <v>47</v>
      </c>
      <c r="AC700" t="s">
        <v>87</v>
      </c>
      <c r="AD700" t="s">
        <v>144</v>
      </c>
    </row>
    <row r="701" spans="1:30" x14ac:dyDescent="0.35">
      <c r="A701" s="4">
        <v>42542</v>
      </c>
      <c r="B701" t="s">
        <v>30</v>
      </c>
      <c r="C701">
        <v>112</v>
      </c>
      <c r="D701">
        <v>10</v>
      </c>
      <c r="E701">
        <v>1</v>
      </c>
      <c r="F701" t="s">
        <v>42</v>
      </c>
      <c r="G701" t="s">
        <v>32</v>
      </c>
      <c r="H701" t="s">
        <v>33</v>
      </c>
      <c r="I701" t="s">
        <v>43</v>
      </c>
      <c r="J701" t="s">
        <v>44</v>
      </c>
      <c r="K701" t="s">
        <v>36</v>
      </c>
      <c r="L701" t="s">
        <v>45</v>
      </c>
      <c r="M701">
        <v>0</v>
      </c>
      <c r="N701">
        <v>0</v>
      </c>
      <c r="O701" s="5">
        <v>50498</v>
      </c>
      <c r="P701" s="5">
        <v>50499</v>
      </c>
      <c r="Q701">
        <f>36-13.5</f>
        <v>22.5</v>
      </c>
      <c r="R701" t="s">
        <v>61</v>
      </c>
      <c r="S701" t="s">
        <v>39</v>
      </c>
      <c r="T701">
        <v>17</v>
      </c>
      <c r="U701">
        <v>87</v>
      </c>
      <c r="V701">
        <v>18</v>
      </c>
      <c r="W701">
        <v>13.2</v>
      </c>
      <c r="X701">
        <v>30.5</v>
      </c>
      <c r="Z701" t="s">
        <v>39</v>
      </c>
      <c r="AB701" t="s">
        <v>47</v>
      </c>
      <c r="AC701" t="s">
        <v>87</v>
      </c>
    </row>
    <row r="702" spans="1:30" x14ac:dyDescent="0.35">
      <c r="A702" s="4">
        <v>42542</v>
      </c>
      <c r="B702" t="s">
        <v>30</v>
      </c>
      <c r="C702">
        <v>112</v>
      </c>
      <c r="D702">
        <v>7</v>
      </c>
      <c r="E702">
        <v>1</v>
      </c>
      <c r="F702" t="s">
        <v>42</v>
      </c>
      <c r="G702" t="s">
        <v>32</v>
      </c>
      <c r="H702" t="s">
        <v>33</v>
      </c>
      <c r="I702" t="s">
        <v>43</v>
      </c>
      <c r="J702" t="s">
        <v>48</v>
      </c>
      <c r="K702" t="s">
        <v>113</v>
      </c>
      <c r="L702" t="s">
        <v>37</v>
      </c>
      <c r="M702">
        <v>0</v>
      </c>
      <c r="N702">
        <v>0</v>
      </c>
      <c r="O702" s="5">
        <v>50595</v>
      </c>
      <c r="P702" s="5">
        <v>50594</v>
      </c>
      <c r="Q702">
        <f>32.5-13.5</f>
        <v>19</v>
      </c>
      <c r="R702" t="s">
        <v>38</v>
      </c>
      <c r="S702" t="s">
        <v>39</v>
      </c>
      <c r="T702">
        <v>20</v>
      </c>
      <c r="U702">
        <v>85</v>
      </c>
      <c r="V702">
        <v>17</v>
      </c>
      <c r="W702">
        <v>12.7</v>
      </c>
      <c r="X702">
        <v>25.5</v>
      </c>
      <c r="Z702" t="s">
        <v>39</v>
      </c>
      <c r="AB702" t="s">
        <v>47</v>
      </c>
      <c r="AC702" t="s">
        <v>87</v>
      </c>
      <c r="AD702" t="s">
        <v>146</v>
      </c>
    </row>
    <row r="703" spans="1:30" x14ac:dyDescent="0.35">
      <c r="A703" s="4">
        <v>42542</v>
      </c>
      <c r="B703" t="s">
        <v>30</v>
      </c>
      <c r="C703">
        <v>402</v>
      </c>
      <c r="D703">
        <v>1</v>
      </c>
      <c r="E703">
        <v>1</v>
      </c>
      <c r="F703" t="s">
        <v>42</v>
      </c>
      <c r="G703" t="s">
        <v>32</v>
      </c>
      <c r="H703" t="s">
        <v>33</v>
      </c>
      <c r="I703" t="s">
        <v>34</v>
      </c>
      <c r="J703" t="s">
        <v>44</v>
      </c>
      <c r="K703" t="s">
        <v>36</v>
      </c>
      <c r="L703" t="s">
        <v>45</v>
      </c>
      <c r="M703">
        <v>0</v>
      </c>
      <c r="N703">
        <v>0</v>
      </c>
      <c r="O703" s="5">
        <v>50478</v>
      </c>
      <c r="P703" s="5"/>
      <c r="Q703">
        <f>170-90</f>
        <v>80</v>
      </c>
      <c r="R703" t="s">
        <v>46</v>
      </c>
      <c r="S703" t="s">
        <v>39</v>
      </c>
      <c r="T703">
        <v>32</v>
      </c>
      <c r="W703">
        <v>21.2</v>
      </c>
      <c r="X703">
        <v>40.6</v>
      </c>
      <c r="Z703" t="s">
        <v>39</v>
      </c>
      <c r="AB703" t="s">
        <v>47</v>
      </c>
      <c r="AC703" t="s">
        <v>87</v>
      </c>
    </row>
    <row r="704" spans="1:30" x14ac:dyDescent="0.35">
      <c r="A704" s="4">
        <v>42542</v>
      </c>
      <c r="B704" t="s">
        <v>30</v>
      </c>
      <c r="C704">
        <v>113</v>
      </c>
      <c r="D704">
        <v>9</v>
      </c>
      <c r="E704">
        <v>1</v>
      </c>
      <c r="F704" t="s">
        <v>42</v>
      </c>
      <c r="G704" t="s">
        <v>32</v>
      </c>
      <c r="H704" t="s">
        <v>33</v>
      </c>
      <c r="I704" t="s">
        <v>34</v>
      </c>
      <c r="J704" t="s">
        <v>44</v>
      </c>
      <c r="K704" t="s">
        <v>36</v>
      </c>
      <c r="L704" t="s">
        <v>37</v>
      </c>
      <c r="M704">
        <v>0</v>
      </c>
      <c r="N704">
        <v>0</v>
      </c>
      <c r="O704" s="5">
        <v>50482</v>
      </c>
      <c r="P704" s="5"/>
      <c r="Q704">
        <f>178-90</f>
        <v>88</v>
      </c>
      <c r="R704" t="s">
        <v>38</v>
      </c>
      <c r="S704" t="s">
        <v>39</v>
      </c>
      <c r="T704">
        <v>32</v>
      </c>
      <c r="W704">
        <v>21.6</v>
      </c>
      <c r="X704">
        <v>43.2</v>
      </c>
      <c r="Z704" t="s">
        <v>39</v>
      </c>
      <c r="AB704" t="s">
        <v>47</v>
      </c>
      <c r="AC704" t="s">
        <v>87</v>
      </c>
    </row>
    <row r="705" spans="1:30" x14ac:dyDescent="0.35">
      <c r="A705" s="4">
        <v>42542</v>
      </c>
      <c r="B705" t="s">
        <v>30</v>
      </c>
      <c r="C705">
        <v>113</v>
      </c>
      <c r="D705">
        <v>4</v>
      </c>
      <c r="E705">
        <v>1</v>
      </c>
      <c r="F705" t="s">
        <v>42</v>
      </c>
      <c r="G705" t="s">
        <v>32</v>
      </c>
      <c r="H705" t="s">
        <v>33</v>
      </c>
      <c r="I705" t="s">
        <v>34</v>
      </c>
      <c r="J705" t="s">
        <v>35</v>
      </c>
      <c r="K705" t="s">
        <v>88</v>
      </c>
      <c r="L705" t="s">
        <v>45</v>
      </c>
      <c r="M705">
        <v>0</v>
      </c>
      <c r="N705">
        <v>1</v>
      </c>
      <c r="O705" s="5">
        <v>50493</v>
      </c>
      <c r="P705" s="5"/>
      <c r="Q705">
        <f>168-90</f>
        <v>78</v>
      </c>
      <c r="R705" t="s">
        <v>46</v>
      </c>
      <c r="S705" t="s">
        <v>39</v>
      </c>
      <c r="T705">
        <v>31</v>
      </c>
      <c r="W705">
        <v>21.2</v>
      </c>
      <c r="X705">
        <v>41.5</v>
      </c>
      <c r="Z705" t="s">
        <v>39</v>
      </c>
      <c r="AB705" t="s">
        <v>47</v>
      </c>
      <c r="AC705" t="s">
        <v>87</v>
      </c>
    </row>
    <row r="706" spans="1:30" x14ac:dyDescent="0.35">
      <c r="A706" s="4">
        <v>42542</v>
      </c>
      <c r="B706" t="s">
        <v>30</v>
      </c>
      <c r="C706">
        <v>402</v>
      </c>
      <c r="D706">
        <v>1</v>
      </c>
      <c r="E706">
        <v>2</v>
      </c>
      <c r="F706" t="s">
        <v>42</v>
      </c>
      <c r="G706" t="s">
        <v>32</v>
      </c>
      <c r="H706" t="s">
        <v>33</v>
      </c>
      <c r="I706" t="s">
        <v>34</v>
      </c>
      <c r="J706" t="s">
        <v>44</v>
      </c>
      <c r="K706" t="s">
        <v>36</v>
      </c>
      <c r="L706" t="s">
        <v>37</v>
      </c>
      <c r="M706">
        <v>0</v>
      </c>
      <c r="N706">
        <v>0</v>
      </c>
      <c r="O706" s="5" t="s">
        <v>147</v>
      </c>
      <c r="P706" s="5"/>
      <c r="Q706">
        <f>180-90</f>
        <v>90</v>
      </c>
      <c r="R706" t="s">
        <v>38</v>
      </c>
      <c r="S706" t="s">
        <v>39</v>
      </c>
      <c r="T706">
        <v>34</v>
      </c>
      <c r="W706">
        <v>21.3</v>
      </c>
      <c r="X706">
        <v>38.799999999999997</v>
      </c>
      <c r="Z706" t="s">
        <v>39</v>
      </c>
      <c r="AB706" t="s">
        <v>47</v>
      </c>
      <c r="AC706" t="s">
        <v>87</v>
      </c>
    </row>
    <row r="707" spans="1:30" x14ac:dyDescent="0.35">
      <c r="A707" s="4">
        <v>42542</v>
      </c>
      <c r="B707" t="s">
        <v>30</v>
      </c>
      <c r="C707">
        <v>112</v>
      </c>
      <c r="D707">
        <v>8</v>
      </c>
      <c r="E707">
        <v>2</v>
      </c>
      <c r="F707" t="s">
        <v>42</v>
      </c>
      <c r="G707" t="s">
        <v>32</v>
      </c>
      <c r="H707" t="s">
        <v>33</v>
      </c>
      <c r="I707" t="s">
        <v>34</v>
      </c>
      <c r="J707" t="s">
        <v>44</v>
      </c>
      <c r="K707" t="s">
        <v>36</v>
      </c>
      <c r="L707" t="s">
        <v>37</v>
      </c>
      <c r="M707">
        <v>0</v>
      </c>
      <c r="N707">
        <v>0</v>
      </c>
      <c r="O707" s="5" t="s">
        <v>141</v>
      </c>
      <c r="P707" s="5"/>
      <c r="Q707">
        <f>185-90</f>
        <v>95</v>
      </c>
      <c r="R707" t="s">
        <v>38</v>
      </c>
      <c r="S707" t="s">
        <v>39</v>
      </c>
      <c r="Z707" t="s">
        <v>39</v>
      </c>
      <c r="AB707" t="s">
        <v>47</v>
      </c>
      <c r="AC707" t="s">
        <v>87</v>
      </c>
      <c r="AD707" t="s">
        <v>148</v>
      </c>
    </row>
    <row r="708" spans="1:30" x14ac:dyDescent="0.35">
      <c r="A708" s="4">
        <v>42542</v>
      </c>
      <c r="B708" t="s">
        <v>30</v>
      </c>
      <c r="C708">
        <v>402</v>
      </c>
      <c r="D708">
        <v>7</v>
      </c>
      <c r="E708">
        <v>1</v>
      </c>
      <c r="F708" t="s">
        <v>42</v>
      </c>
      <c r="G708" t="s">
        <v>32</v>
      </c>
      <c r="H708" t="s">
        <v>33</v>
      </c>
      <c r="I708" t="s">
        <v>58</v>
      </c>
      <c r="J708" t="s">
        <v>35</v>
      </c>
      <c r="K708" t="s">
        <v>36</v>
      </c>
      <c r="L708" t="s">
        <v>45</v>
      </c>
      <c r="M708">
        <v>0</v>
      </c>
      <c r="N708">
        <v>1</v>
      </c>
      <c r="O708" s="5">
        <v>50483</v>
      </c>
      <c r="P708" s="5"/>
      <c r="Q708">
        <f>45.5-14.5</f>
        <v>31</v>
      </c>
      <c r="R708" t="s">
        <v>149</v>
      </c>
      <c r="S708" t="s">
        <v>102</v>
      </c>
      <c r="T708">
        <v>16</v>
      </c>
      <c r="W708">
        <v>12.8</v>
      </c>
      <c r="X708">
        <v>27.1</v>
      </c>
      <c r="Z708" t="s">
        <v>39</v>
      </c>
      <c r="AB708" t="s">
        <v>47</v>
      </c>
      <c r="AC708" t="s">
        <v>87</v>
      </c>
    </row>
    <row r="709" spans="1:30" x14ac:dyDescent="0.35">
      <c r="A709" s="4">
        <v>42542</v>
      </c>
      <c r="B709" t="s">
        <v>30</v>
      </c>
      <c r="C709">
        <v>202</v>
      </c>
      <c r="D709">
        <v>5</v>
      </c>
      <c r="E709">
        <v>2</v>
      </c>
      <c r="F709" t="s">
        <v>31</v>
      </c>
      <c r="G709" t="s">
        <v>32</v>
      </c>
      <c r="H709" t="s">
        <v>33</v>
      </c>
      <c r="I709" t="s">
        <v>55</v>
      </c>
      <c r="J709" t="s">
        <v>123</v>
      </c>
      <c r="O709" s="5"/>
      <c r="P709" s="5"/>
      <c r="Z709" t="s">
        <v>39</v>
      </c>
    </row>
    <row r="710" spans="1:30" x14ac:dyDescent="0.35">
      <c r="A710" s="4">
        <v>42542</v>
      </c>
      <c r="B710" t="s">
        <v>30</v>
      </c>
      <c r="C710">
        <v>111</v>
      </c>
      <c r="D710">
        <v>8</v>
      </c>
      <c r="E710">
        <v>2</v>
      </c>
      <c r="F710" t="s">
        <v>42</v>
      </c>
      <c r="G710" t="s">
        <v>32</v>
      </c>
      <c r="H710" t="s">
        <v>33</v>
      </c>
      <c r="I710" t="s">
        <v>55</v>
      </c>
      <c r="O710" s="5"/>
      <c r="P710" s="5"/>
      <c r="Z710" t="s">
        <v>39</v>
      </c>
    </row>
    <row r="711" spans="1:30" x14ac:dyDescent="0.35">
      <c r="A711" s="4">
        <v>42542</v>
      </c>
      <c r="B711" t="s">
        <v>30</v>
      </c>
      <c r="C711">
        <v>203</v>
      </c>
      <c r="D711">
        <v>3</v>
      </c>
      <c r="E711">
        <v>1</v>
      </c>
      <c r="F711" t="s">
        <v>31</v>
      </c>
      <c r="G711" t="s">
        <v>32</v>
      </c>
      <c r="H711" t="s">
        <v>33</v>
      </c>
      <c r="I711" t="s">
        <v>84</v>
      </c>
      <c r="O711" s="5"/>
      <c r="P711" s="5"/>
      <c r="Z711" t="s">
        <v>39</v>
      </c>
    </row>
    <row r="712" spans="1:30" x14ac:dyDescent="0.35">
      <c r="A712" s="4">
        <v>42542</v>
      </c>
      <c r="B712" t="s">
        <v>30</v>
      </c>
      <c r="C712">
        <v>202</v>
      </c>
      <c r="D712">
        <v>1</v>
      </c>
      <c r="E712">
        <v>1</v>
      </c>
      <c r="F712" t="s">
        <v>31</v>
      </c>
      <c r="G712" t="s">
        <v>32</v>
      </c>
      <c r="H712" t="s">
        <v>33</v>
      </c>
      <c r="I712" t="s">
        <v>84</v>
      </c>
      <c r="O712" s="5"/>
      <c r="P712" s="5"/>
      <c r="Z712" t="s">
        <v>39</v>
      </c>
    </row>
    <row r="713" spans="1:30" x14ac:dyDescent="0.35">
      <c r="A713" s="4">
        <v>42542</v>
      </c>
      <c r="B713" t="s">
        <v>30</v>
      </c>
      <c r="C713">
        <v>202</v>
      </c>
      <c r="D713">
        <v>10</v>
      </c>
      <c r="E713">
        <v>1</v>
      </c>
      <c r="F713" t="s">
        <v>31</v>
      </c>
      <c r="G713" t="s">
        <v>32</v>
      </c>
      <c r="H713" t="s">
        <v>33</v>
      </c>
      <c r="I713" t="s">
        <v>84</v>
      </c>
      <c r="O713" s="5"/>
      <c r="P713" s="5"/>
      <c r="Z713" t="s">
        <v>39</v>
      </c>
    </row>
    <row r="714" spans="1:30" x14ac:dyDescent="0.35">
      <c r="A714" s="4">
        <v>42542</v>
      </c>
      <c r="B714" t="s">
        <v>30</v>
      </c>
      <c r="C714">
        <v>113</v>
      </c>
      <c r="D714">
        <v>3</v>
      </c>
      <c r="E714">
        <v>1</v>
      </c>
      <c r="F714" t="s">
        <v>42</v>
      </c>
      <c r="G714" t="s">
        <v>32</v>
      </c>
      <c r="H714" t="s">
        <v>33</v>
      </c>
      <c r="I714" t="s">
        <v>81</v>
      </c>
      <c r="O714" s="5"/>
      <c r="P714" s="5"/>
      <c r="Z714" t="s">
        <v>39</v>
      </c>
    </row>
    <row r="715" spans="1:30" x14ac:dyDescent="0.35">
      <c r="A715" s="4">
        <v>42542</v>
      </c>
      <c r="B715" t="s">
        <v>30</v>
      </c>
      <c r="C715">
        <v>201</v>
      </c>
      <c r="D715">
        <v>3</v>
      </c>
      <c r="E715">
        <v>1</v>
      </c>
      <c r="F715" t="s">
        <v>31</v>
      </c>
      <c r="G715" t="s">
        <v>32</v>
      </c>
      <c r="H715" t="s">
        <v>33</v>
      </c>
      <c r="I715" t="s">
        <v>59</v>
      </c>
      <c r="O715" s="5"/>
      <c r="P715" s="5"/>
      <c r="Z715" t="s">
        <v>39</v>
      </c>
    </row>
    <row r="716" spans="1:30" x14ac:dyDescent="0.35">
      <c r="A716" s="4">
        <v>42542</v>
      </c>
      <c r="B716" t="s">
        <v>30</v>
      </c>
      <c r="C716">
        <v>201</v>
      </c>
      <c r="D716">
        <v>4</v>
      </c>
      <c r="E716">
        <v>1</v>
      </c>
      <c r="F716" t="s">
        <v>31</v>
      </c>
      <c r="G716" t="s">
        <v>32</v>
      </c>
      <c r="H716" t="s">
        <v>33</v>
      </c>
      <c r="I716" t="s">
        <v>59</v>
      </c>
      <c r="O716" s="5"/>
      <c r="P716" s="5"/>
      <c r="Z716" t="s">
        <v>39</v>
      </c>
    </row>
    <row r="717" spans="1:30" x14ac:dyDescent="0.35">
      <c r="A717" s="4">
        <v>42542</v>
      </c>
      <c r="B717" t="s">
        <v>30</v>
      </c>
      <c r="C717">
        <v>201</v>
      </c>
      <c r="D717">
        <v>5</v>
      </c>
      <c r="E717">
        <v>1</v>
      </c>
      <c r="F717" t="s">
        <v>31</v>
      </c>
      <c r="G717" t="s">
        <v>32</v>
      </c>
      <c r="H717" t="s">
        <v>33</v>
      </c>
      <c r="I717" t="s">
        <v>59</v>
      </c>
      <c r="O717" s="5"/>
      <c r="P717" s="5"/>
      <c r="Z717" t="s">
        <v>39</v>
      </c>
    </row>
    <row r="718" spans="1:30" x14ac:dyDescent="0.35">
      <c r="A718" s="4">
        <v>42542</v>
      </c>
      <c r="B718" t="s">
        <v>30</v>
      </c>
      <c r="C718">
        <v>201</v>
      </c>
      <c r="D718">
        <v>6</v>
      </c>
      <c r="E718">
        <v>1</v>
      </c>
      <c r="F718" t="s">
        <v>31</v>
      </c>
      <c r="G718" t="s">
        <v>32</v>
      </c>
      <c r="H718" t="s">
        <v>33</v>
      </c>
      <c r="I718" t="s">
        <v>59</v>
      </c>
      <c r="O718" s="5"/>
      <c r="P718" s="5"/>
      <c r="Z718" t="s">
        <v>39</v>
      </c>
    </row>
    <row r="719" spans="1:30" x14ac:dyDescent="0.35">
      <c r="A719" s="4">
        <v>42542</v>
      </c>
      <c r="B719" t="s">
        <v>30</v>
      </c>
      <c r="C719">
        <v>201</v>
      </c>
      <c r="D719">
        <v>7</v>
      </c>
      <c r="E719">
        <v>1</v>
      </c>
      <c r="F719" t="s">
        <v>31</v>
      </c>
      <c r="G719" t="s">
        <v>32</v>
      </c>
      <c r="H719" t="s">
        <v>33</v>
      </c>
      <c r="I719" t="s">
        <v>59</v>
      </c>
      <c r="O719" s="5"/>
      <c r="P719" s="5"/>
      <c r="Z719" t="s">
        <v>39</v>
      </c>
    </row>
    <row r="720" spans="1:30" x14ac:dyDescent="0.35">
      <c r="A720" s="4">
        <v>42542</v>
      </c>
      <c r="B720" t="s">
        <v>30</v>
      </c>
      <c r="C720">
        <v>203</v>
      </c>
      <c r="D720">
        <v>4</v>
      </c>
      <c r="E720">
        <v>1</v>
      </c>
      <c r="F720" t="s">
        <v>31</v>
      </c>
      <c r="G720" t="s">
        <v>32</v>
      </c>
      <c r="H720" t="s">
        <v>33</v>
      </c>
      <c r="I720" t="s">
        <v>59</v>
      </c>
      <c r="O720" s="5"/>
      <c r="P720" s="5"/>
      <c r="Z720" t="s">
        <v>39</v>
      </c>
    </row>
    <row r="721" spans="1:29" x14ac:dyDescent="0.35">
      <c r="A721" s="4">
        <v>42542</v>
      </c>
      <c r="B721" t="s">
        <v>30</v>
      </c>
      <c r="C721">
        <v>203</v>
      </c>
      <c r="D721">
        <v>8</v>
      </c>
      <c r="E721">
        <v>1</v>
      </c>
      <c r="F721" t="s">
        <v>31</v>
      </c>
      <c r="G721" t="s">
        <v>32</v>
      </c>
      <c r="H721" t="s">
        <v>33</v>
      </c>
      <c r="I721" t="s">
        <v>59</v>
      </c>
      <c r="O721" s="5"/>
      <c r="P721" s="5"/>
      <c r="Z721" t="s">
        <v>39</v>
      </c>
    </row>
    <row r="722" spans="1:29" x14ac:dyDescent="0.35">
      <c r="A722" s="4">
        <v>42542</v>
      </c>
      <c r="B722" t="s">
        <v>30</v>
      </c>
      <c r="C722">
        <v>203</v>
      </c>
      <c r="D722">
        <v>9</v>
      </c>
      <c r="E722">
        <v>1</v>
      </c>
      <c r="F722" t="s">
        <v>31</v>
      </c>
      <c r="G722" t="s">
        <v>32</v>
      </c>
      <c r="H722" t="s">
        <v>33</v>
      </c>
      <c r="I722" t="s">
        <v>59</v>
      </c>
      <c r="O722" s="5"/>
      <c r="P722" s="5"/>
      <c r="Z722" t="s">
        <v>39</v>
      </c>
    </row>
    <row r="723" spans="1:29" x14ac:dyDescent="0.35">
      <c r="A723" s="4">
        <v>42542</v>
      </c>
      <c r="B723" t="s">
        <v>30</v>
      </c>
      <c r="C723">
        <v>203</v>
      </c>
      <c r="D723">
        <v>9</v>
      </c>
      <c r="E723">
        <v>2</v>
      </c>
      <c r="F723" t="s">
        <v>31</v>
      </c>
      <c r="G723" t="s">
        <v>32</v>
      </c>
      <c r="H723" t="s">
        <v>33</v>
      </c>
      <c r="I723" t="s">
        <v>59</v>
      </c>
      <c r="O723" s="5"/>
      <c r="P723" s="5"/>
      <c r="Z723" t="s">
        <v>39</v>
      </c>
    </row>
    <row r="724" spans="1:29" x14ac:dyDescent="0.35">
      <c r="A724" s="4">
        <v>42542</v>
      </c>
      <c r="B724" t="s">
        <v>30</v>
      </c>
      <c r="C724">
        <v>202</v>
      </c>
      <c r="D724">
        <v>2</v>
      </c>
      <c r="E724">
        <v>1</v>
      </c>
      <c r="F724" t="s">
        <v>31</v>
      </c>
      <c r="G724" t="s">
        <v>32</v>
      </c>
      <c r="H724" t="s">
        <v>33</v>
      </c>
      <c r="I724" t="s">
        <v>59</v>
      </c>
      <c r="O724" s="5"/>
      <c r="P724" s="5"/>
      <c r="Z724" t="s">
        <v>39</v>
      </c>
    </row>
    <row r="725" spans="1:29" x14ac:dyDescent="0.35">
      <c r="A725" s="4">
        <v>42542</v>
      </c>
      <c r="B725" t="s">
        <v>30</v>
      </c>
      <c r="C725">
        <v>202</v>
      </c>
      <c r="D725">
        <v>5</v>
      </c>
      <c r="E725">
        <v>1</v>
      </c>
      <c r="F725" t="s">
        <v>31</v>
      </c>
      <c r="G725" t="s">
        <v>32</v>
      </c>
      <c r="H725" t="s">
        <v>33</v>
      </c>
      <c r="I725" t="s">
        <v>59</v>
      </c>
      <c r="O725" s="5"/>
      <c r="P725" s="5"/>
      <c r="Z725" t="s">
        <v>39</v>
      </c>
    </row>
    <row r="726" spans="1:29" x14ac:dyDescent="0.35">
      <c r="A726" s="4">
        <v>42542</v>
      </c>
      <c r="B726" t="s">
        <v>30</v>
      </c>
      <c r="C726">
        <v>301</v>
      </c>
      <c r="D726">
        <v>2</v>
      </c>
      <c r="E726">
        <v>1</v>
      </c>
      <c r="F726" t="s">
        <v>31</v>
      </c>
      <c r="G726" t="s">
        <v>32</v>
      </c>
      <c r="H726" t="s">
        <v>33</v>
      </c>
      <c r="I726" t="s">
        <v>59</v>
      </c>
      <c r="O726" s="5"/>
      <c r="P726" s="5"/>
      <c r="Z726" t="s">
        <v>39</v>
      </c>
    </row>
    <row r="727" spans="1:29" x14ac:dyDescent="0.35">
      <c r="A727" s="4">
        <v>42542</v>
      </c>
      <c r="B727" t="s">
        <v>30</v>
      </c>
      <c r="C727">
        <v>301</v>
      </c>
      <c r="D727">
        <v>6</v>
      </c>
      <c r="E727">
        <v>1</v>
      </c>
      <c r="F727" t="s">
        <v>31</v>
      </c>
      <c r="G727" t="s">
        <v>32</v>
      </c>
      <c r="H727" t="s">
        <v>33</v>
      </c>
      <c r="I727" t="s">
        <v>59</v>
      </c>
      <c r="O727" s="5"/>
      <c r="P727" s="5"/>
      <c r="Z727" t="s">
        <v>39</v>
      </c>
    </row>
    <row r="728" spans="1:29" x14ac:dyDescent="0.35">
      <c r="A728" s="4">
        <v>42542</v>
      </c>
      <c r="B728" t="s">
        <v>30</v>
      </c>
      <c r="C728">
        <v>301</v>
      </c>
      <c r="D728">
        <v>7</v>
      </c>
      <c r="E728">
        <v>1</v>
      </c>
      <c r="F728" t="s">
        <v>31</v>
      </c>
      <c r="G728" t="s">
        <v>32</v>
      </c>
      <c r="H728" t="s">
        <v>33</v>
      </c>
      <c r="I728" t="s">
        <v>59</v>
      </c>
      <c r="O728" s="5"/>
      <c r="P728" s="5"/>
      <c r="Z728" t="s">
        <v>39</v>
      </c>
    </row>
    <row r="729" spans="1:29" x14ac:dyDescent="0.35">
      <c r="A729" s="4">
        <v>42542</v>
      </c>
      <c r="B729" t="s">
        <v>30</v>
      </c>
      <c r="C729">
        <v>112</v>
      </c>
      <c r="D729">
        <v>6</v>
      </c>
      <c r="E729">
        <v>1</v>
      </c>
      <c r="F729" t="s">
        <v>42</v>
      </c>
      <c r="G729" t="s">
        <v>32</v>
      </c>
      <c r="H729" t="s">
        <v>33</v>
      </c>
      <c r="I729" t="s">
        <v>59</v>
      </c>
      <c r="O729" s="5"/>
      <c r="P729" s="5"/>
      <c r="Z729" t="s">
        <v>39</v>
      </c>
    </row>
    <row r="730" spans="1:29" x14ac:dyDescent="0.35">
      <c r="A730" s="4">
        <v>42542</v>
      </c>
      <c r="B730" t="s">
        <v>30</v>
      </c>
      <c r="C730">
        <v>112</v>
      </c>
      <c r="D730">
        <v>8</v>
      </c>
      <c r="E730">
        <v>1</v>
      </c>
      <c r="F730" t="s">
        <v>42</v>
      </c>
      <c r="G730" t="s">
        <v>32</v>
      </c>
      <c r="H730" t="s">
        <v>33</v>
      </c>
      <c r="I730" t="s">
        <v>59</v>
      </c>
      <c r="O730" s="5"/>
      <c r="P730" s="5"/>
      <c r="Z730" t="s">
        <v>39</v>
      </c>
    </row>
    <row r="731" spans="1:29" x14ac:dyDescent="0.35">
      <c r="A731" s="4">
        <v>42542</v>
      </c>
      <c r="B731" t="s">
        <v>30</v>
      </c>
      <c r="C731">
        <v>112</v>
      </c>
      <c r="D731">
        <v>9</v>
      </c>
      <c r="E731">
        <v>1</v>
      </c>
      <c r="F731" t="s">
        <v>42</v>
      </c>
      <c r="G731" t="s">
        <v>32</v>
      </c>
      <c r="H731" t="s">
        <v>33</v>
      </c>
      <c r="I731" t="s">
        <v>59</v>
      </c>
      <c r="O731" s="5"/>
      <c r="P731" s="5"/>
      <c r="Z731" t="s">
        <v>39</v>
      </c>
    </row>
    <row r="732" spans="1:29" x14ac:dyDescent="0.35">
      <c r="A732" s="4">
        <v>42542</v>
      </c>
      <c r="B732" t="s">
        <v>30</v>
      </c>
      <c r="C732">
        <v>113</v>
      </c>
      <c r="D732">
        <v>1</v>
      </c>
      <c r="E732">
        <v>1</v>
      </c>
      <c r="F732" t="s">
        <v>42</v>
      </c>
      <c r="G732" t="s">
        <v>32</v>
      </c>
      <c r="H732" t="s">
        <v>33</v>
      </c>
      <c r="I732" t="s">
        <v>59</v>
      </c>
      <c r="O732" s="5"/>
      <c r="P732" s="5"/>
      <c r="Z732" t="s">
        <v>39</v>
      </c>
    </row>
    <row r="733" spans="1:29" x14ac:dyDescent="0.35">
      <c r="A733" s="4">
        <v>42542</v>
      </c>
      <c r="B733" t="s">
        <v>30</v>
      </c>
      <c r="C733">
        <v>113</v>
      </c>
      <c r="D733">
        <v>8</v>
      </c>
      <c r="E733">
        <v>1</v>
      </c>
      <c r="F733" t="s">
        <v>42</v>
      </c>
      <c r="G733" t="s">
        <v>32</v>
      </c>
      <c r="H733" t="s">
        <v>33</v>
      </c>
      <c r="I733" t="s">
        <v>59</v>
      </c>
      <c r="O733" s="5"/>
      <c r="P733" s="5"/>
      <c r="Z733" t="s">
        <v>39</v>
      </c>
    </row>
    <row r="734" spans="1:29" x14ac:dyDescent="0.35">
      <c r="A734" s="4">
        <v>42542</v>
      </c>
      <c r="B734" t="s">
        <v>30</v>
      </c>
      <c r="C734">
        <v>113</v>
      </c>
      <c r="D734">
        <v>8</v>
      </c>
      <c r="E734">
        <v>2</v>
      </c>
      <c r="F734" t="s">
        <v>42</v>
      </c>
      <c r="G734" t="s">
        <v>32</v>
      </c>
      <c r="H734" t="s">
        <v>33</v>
      </c>
      <c r="I734" t="s">
        <v>59</v>
      </c>
      <c r="O734" s="5"/>
      <c r="P734" s="5"/>
      <c r="Z734" t="s">
        <v>39</v>
      </c>
    </row>
    <row r="735" spans="1:29" x14ac:dyDescent="0.35">
      <c r="A735" s="4">
        <v>42542</v>
      </c>
      <c r="B735" t="s">
        <v>30</v>
      </c>
      <c r="C735">
        <v>402</v>
      </c>
      <c r="D735">
        <v>8</v>
      </c>
      <c r="E735">
        <v>1</v>
      </c>
      <c r="F735" t="s">
        <v>42</v>
      </c>
      <c r="G735" t="s">
        <v>32</v>
      </c>
      <c r="H735" t="s">
        <v>33</v>
      </c>
      <c r="I735" t="s">
        <v>59</v>
      </c>
      <c r="O735" s="5"/>
      <c r="P735" s="5"/>
      <c r="Z735" t="s">
        <v>39</v>
      </c>
    </row>
    <row r="736" spans="1:29" x14ac:dyDescent="0.35">
      <c r="A736" s="4">
        <v>42542</v>
      </c>
      <c r="B736" t="s">
        <v>30</v>
      </c>
      <c r="C736">
        <v>112</v>
      </c>
      <c r="D736">
        <v>9</v>
      </c>
      <c r="E736">
        <v>2</v>
      </c>
      <c r="F736" t="s">
        <v>42</v>
      </c>
      <c r="G736" t="s">
        <v>32</v>
      </c>
      <c r="H736" t="s">
        <v>33</v>
      </c>
      <c r="I736" t="s">
        <v>94</v>
      </c>
      <c r="J736" t="s">
        <v>35</v>
      </c>
      <c r="K736" t="s">
        <v>36</v>
      </c>
      <c r="L736" t="s">
        <v>45</v>
      </c>
      <c r="M736">
        <v>0</v>
      </c>
      <c r="N736">
        <v>1</v>
      </c>
      <c r="O736" s="5">
        <v>50494</v>
      </c>
      <c r="P736" s="5"/>
      <c r="Q736">
        <f>37.5-11.5</f>
        <v>26</v>
      </c>
      <c r="R736" t="s">
        <v>74</v>
      </c>
      <c r="S736" t="s">
        <v>102</v>
      </c>
      <c r="T736">
        <v>29</v>
      </c>
      <c r="W736">
        <v>13.1</v>
      </c>
      <c r="X736">
        <v>28</v>
      </c>
      <c r="Z736" t="s">
        <v>39</v>
      </c>
      <c r="AB736" t="s">
        <v>47</v>
      </c>
      <c r="AC736" t="s">
        <v>87</v>
      </c>
    </row>
    <row r="737" spans="1:30" x14ac:dyDescent="0.35">
      <c r="A737" s="4">
        <v>42542</v>
      </c>
      <c r="B737" t="s">
        <v>30</v>
      </c>
      <c r="C737">
        <v>112</v>
      </c>
      <c r="D737">
        <v>4</v>
      </c>
      <c r="E737">
        <v>2</v>
      </c>
      <c r="F737" t="s">
        <v>42</v>
      </c>
      <c r="G737" t="s">
        <v>32</v>
      </c>
      <c r="H737" t="s">
        <v>33</v>
      </c>
      <c r="I737" t="s">
        <v>94</v>
      </c>
      <c r="J737" t="s">
        <v>35</v>
      </c>
      <c r="K737" t="s">
        <v>36</v>
      </c>
      <c r="L737" t="s">
        <v>37</v>
      </c>
      <c r="M737">
        <v>0</v>
      </c>
      <c r="N737">
        <v>1</v>
      </c>
      <c r="O737" s="5">
        <v>50495</v>
      </c>
      <c r="P737" s="5"/>
      <c r="Q737">
        <f>38-17.5</f>
        <v>20.5</v>
      </c>
      <c r="R737" t="s">
        <v>38</v>
      </c>
      <c r="S737" t="s">
        <v>39</v>
      </c>
      <c r="T737">
        <v>28</v>
      </c>
      <c r="W737">
        <v>12.3</v>
      </c>
      <c r="X737">
        <v>27.8</v>
      </c>
      <c r="Z737" t="s">
        <v>39</v>
      </c>
      <c r="AB737" t="s">
        <v>47</v>
      </c>
      <c r="AC737" t="s">
        <v>87</v>
      </c>
      <c r="AD737" t="s">
        <v>150</v>
      </c>
    </row>
    <row r="738" spans="1:30" x14ac:dyDescent="0.35">
      <c r="A738" s="4">
        <v>42542</v>
      </c>
      <c r="B738" t="s">
        <v>30</v>
      </c>
      <c r="C738">
        <v>112</v>
      </c>
      <c r="D738">
        <v>7</v>
      </c>
      <c r="E738">
        <v>2</v>
      </c>
      <c r="F738" t="s">
        <v>42</v>
      </c>
      <c r="G738" t="s">
        <v>32</v>
      </c>
      <c r="H738" t="s">
        <v>33</v>
      </c>
      <c r="I738" t="s">
        <v>94</v>
      </c>
      <c r="J738" t="s">
        <v>122</v>
      </c>
      <c r="O738" s="5"/>
      <c r="P738" s="5"/>
      <c r="Z738" t="s">
        <v>39</v>
      </c>
    </row>
    <row r="739" spans="1:30" x14ac:dyDescent="0.35">
      <c r="A739" s="4">
        <v>42543</v>
      </c>
      <c r="B739" t="s">
        <v>30</v>
      </c>
      <c r="C739">
        <v>111</v>
      </c>
      <c r="D739">
        <v>2</v>
      </c>
      <c r="E739">
        <v>1</v>
      </c>
      <c r="F739" t="s">
        <v>42</v>
      </c>
      <c r="G739" t="s">
        <v>32</v>
      </c>
      <c r="H739" t="s">
        <v>33</v>
      </c>
      <c r="I739" t="s">
        <v>43</v>
      </c>
      <c r="J739" t="s">
        <v>44</v>
      </c>
      <c r="K739" t="s">
        <v>36</v>
      </c>
      <c r="L739" t="s">
        <v>45</v>
      </c>
      <c r="M739">
        <v>0</v>
      </c>
      <c r="N739">
        <v>0</v>
      </c>
      <c r="O739" s="5">
        <v>50348</v>
      </c>
      <c r="P739" s="5">
        <v>50347</v>
      </c>
      <c r="Q739">
        <f>31-11.5</f>
        <v>19.5</v>
      </c>
      <c r="R739" t="s">
        <v>74</v>
      </c>
      <c r="S739" t="s">
        <v>102</v>
      </c>
      <c r="T739">
        <v>18</v>
      </c>
      <c r="U739">
        <v>86.5</v>
      </c>
      <c r="V739">
        <v>17</v>
      </c>
      <c r="W739">
        <v>12</v>
      </c>
      <c r="X739">
        <v>26.4</v>
      </c>
      <c r="Y739" t="s">
        <v>151</v>
      </c>
      <c r="Z739" t="s">
        <v>39</v>
      </c>
      <c r="AB739" t="s">
        <v>60</v>
      </c>
      <c r="AC739" t="s">
        <v>41</v>
      </c>
    </row>
    <row r="740" spans="1:30" x14ac:dyDescent="0.35">
      <c r="A740" s="4">
        <v>42543</v>
      </c>
      <c r="B740" t="s">
        <v>30</v>
      </c>
      <c r="C740">
        <v>304</v>
      </c>
      <c r="D740">
        <v>1</v>
      </c>
      <c r="E740">
        <v>1</v>
      </c>
      <c r="F740" t="s">
        <v>31</v>
      </c>
      <c r="G740" t="s">
        <v>32</v>
      </c>
      <c r="H740" t="s">
        <v>33</v>
      </c>
      <c r="I740" t="s">
        <v>43</v>
      </c>
      <c r="J740" t="s">
        <v>44</v>
      </c>
      <c r="K740" t="s">
        <v>88</v>
      </c>
      <c r="L740" t="s">
        <v>37</v>
      </c>
      <c r="M740">
        <v>0</v>
      </c>
      <c r="N740">
        <v>0</v>
      </c>
      <c r="O740" s="5">
        <v>50352</v>
      </c>
      <c r="P740" s="5">
        <v>50367</v>
      </c>
      <c r="Q740">
        <f>29-14.5</f>
        <v>14.5</v>
      </c>
      <c r="R740" t="s">
        <v>64</v>
      </c>
      <c r="T740">
        <v>20</v>
      </c>
      <c r="U740">
        <v>74</v>
      </c>
      <c r="V740">
        <v>14</v>
      </c>
      <c r="W740">
        <v>11.8</v>
      </c>
      <c r="X740">
        <v>27.2</v>
      </c>
      <c r="Z740" t="s">
        <v>39</v>
      </c>
      <c r="AB740" t="s">
        <v>60</v>
      </c>
      <c r="AC740" t="s">
        <v>87</v>
      </c>
    </row>
    <row r="741" spans="1:30" x14ac:dyDescent="0.35">
      <c r="A741" s="4">
        <v>42543</v>
      </c>
      <c r="B741" t="s">
        <v>30</v>
      </c>
      <c r="C741">
        <v>201</v>
      </c>
      <c r="D741">
        <v>8</v>
      </c>
      <c r="E741">
        <v>2</v>
      </c>
      <c r="F741" t="s">
        <v>31</v>
      </c>
      <c r="G741" t="s">
        <v>32</v>
      </c>
      <c r="H741" t="s">
        <v>33</v>
      </c>
      <c r="I741" t="s">
        <v>43</v>
      </c>
      <c r="J741" t="s">
        <v>35</v>
      </c>
      <c r="K741" t="s">
        <v>113</v>
      </c>
      <c r="L741" t="s">
        <v>37</v>
      </c>
      <c r="M741">
        <v>0</v>
      </c>
      <c r="N741">
        <v>1</v>
      </c>
      <c r="O741" s="5">
        <v>50409</v>
      </c>
      <c r="P741" s="5">
        <v>50408</v>
      </c>
      <c r="Q741">
        <f>31-13</f>
        <v>18</v>
      </c>
      <c r="R741" t="s">
        <v>38</v>
      </c>
      <c r="T741">
        <v>21</v>
      </c>
      <c r="U741">
        <v>81</v>
      </c>
      <c r="V741">
        <v>14</v>
      </c>
      <c r="W741">
        <v>12.5</v>
      </c>
      <c r="X741">
        <v>29.5</v>
      </c>
      <c r="Z741" t="s">
        <v>39</v>
      </c>
      <c r="AB741" t="s">
        <v>60</v>
      </c>
      <c r="AC741" t="s">
        <v>87</v>
      </c>
    </row>
    <row r="742" spans="1:30" x14ac:dyDescent="0.35">
      <c r="A742" s="4">
        <v>42543</v>
      </c>
      <c r="B742" t="s">
        <v>30</v>
      </c>
      <c r="C742">
        <v>202</v>
      </c>
      <c r="D742">
        <v>5</v>
      </c>
      <c r="E742">
        <v>1</v>
      </c>
      <c r="F742" t="s">
        <v>31</v>
      </c>
      <c r="G742" t="s">
        <v>32</v>
      </c>
      <c r="H742" t="s">
        <v>33</v>
      </c>
      <c r="I742" t="s">
        <v>43</v>
      </c>
      <c r="J742" t="s">
        <v>35</v>
      </c>
      <c r="K742" t="s">
        <v>36</v>
      </c>
      <c r="L742" t="s">
        <v>37</v>
      </c>
      <c r="M742">
        <v>0</v>
      </c>
      <c r="N742">
        <v>1</v>
      </c>
      <c r="O742" s="5">
        <v>50412</v>
      </c>
      <c r="P742" s="5">
        <v>50410</v>
      </c>
      <c r="Q742">
        <f>35-12</f>
        <v>23</v>
      </c>
      <c r="R742" t="s">
        <v>38</v>
      </c>
      <c r="T742">
        <v>19</v>
      </c>
      <c r="U742">
        <v>90</v>
      </c>
      <c r="V742">
        <v>14</v>
      </c>
      <c r="W742">
        <v>12.4</v>
      </c>
      <c r="X742">
        <v>29.5</v>
      </c>
      <c r="Y742" t="s">
        <v>152</v>
      </c>
      <c r="Z742" t="s">
        <v>39</v>
      </c>
      <c r="AB742" t="s">
        <v>60</v>
      </c>
      <c r="AC742" t="s">
        <v>87</v>
      </c>
    </row>
    <row r="743" spans="1:30" x14ac:dyDescent="0.35">
      <c r="A743" s="4">
        <v>42543</v>
      </c>
      <c r="B743" t="s">
        <v>30</v>
      </c>
      <c r="C743">
        <v>201</v>
      </c>
      <c r="D743">
        <v>4</v>
      </c>
      <c r="E743">
        <v>2</v>
      </c>
      <c r="F743" t="s">
        <v>31</v>
      </c>
      <c r="G743" t="s">
        <v>32</v>
      </c>
      <c r="H743" t="s">
        <v>33</v>
      </c>
      <c r="I743" t="s">
        <v>43</v>
      </c>
      <c r="J743" t="s">
        <v>44</v>
      </c>
      <c r="K743" t="s">
        <v>113</v>
      </c>
      <c r="L743" t="s">
        <v>45</v>
      </c>
      <c r="M743">
        <v>0</v>
      </c>
      <c r="N743">
        <v>0</v>
      </c>
      <c r="O743" s="5">
        <v>50417</v>
      </c>
      <c r="P743" s="5">
        <v>50416</v>
      </c>
      <c r="Q743">
        <f>28-14</f>
        <v>14</v>
      </c>
      <c r="R743" t="s">
        <v>61</v>
      </c>
      <c r="S743" t="s">
        <v>39</v>
      </c>
      <c r="T743">
        <v>18</v>
      </c>
      <c r="U743">
        <v>73</v>
      </c>
      <c r="V743">
        <v>13</v>
      </c>
      <c r="W743">
        <v>11.8</v>
      </c>
      <c r="X743">
        <v>26.6</v>
      </c>
      <c r="Z743" t="s">
        <v>39</v>
      </c>
      <c r="AB743" t="s">
        <v>60</v>
      </c>
      <c r="AC743" t="s">
        <v>87</v>
      </c>
    </row>
    <row r="744" spans="1:30" x14ac:dyDescent="0.35">
      <c r="A744" s="4">
        <v>42543</v>
      </c>
      <c r="B744" t="s">
        <v>30</v>
      </c>
      <c r="C744">
        <v>304</v>
      </c>
      <c r="D744">
        <v>2</v>
      </c>
      <c r="E744">
        <v>1</v>
      </c>
      <c r="F744" t="s">
        <v>31</v>
      </c>
      <c r="G744" t="s">
        <v>32</v>
      </c>
      <c r="H744" t="s">
        <v>33</v>
      </c>
      <c r="I744" t="s">
        <v>43</v>
      </c>
      <c r="J744" t="s">
        <v>35</v>
      </c>
      <c r="K744" t="s">
        <v>36</v>
      </c>
      <c r="L744" t="s">
        <v>45</v>
      </c>
      <c r="M744">
        <v>0</v>
      </c>
      <c r="N744">
        <v>1</v>
      </c>
      <c r="O744" s="5">
        <v>50428</v>
      </c>
      <c r="P744" s="5">
        <v>50427</v>
      </c>
      <c r="Q744">
        <f>36.5-13</f>
        <v>23.5</v>
      </c>
      <c r="R744" t="s">
        <v>149</v>
      </c>
      <c r="S744" t="s">
        <v>102</v>
      </c>
      <c r="T744">
        <v>18</v>
      </c>
      <c r="U744">
        <v>84</v>
      </c>
      <c r="V744">
        <v>15</v>
      </c>
      <c r="W744">
        <v>12.4</v>
      </c>
      <c r="X744">
        <v>30.4</v>
      </c>
      <c r="Z744" t="s">
        <v>39</v>
      </c>
      <c r="AB744" t="s">
        <v>60</v>
      </c>
      <c r="AC744" t="s">
        <v>87</v>
      </c>
    </row>
    <row r="745" spans="1:30" x14ac:dyDescent="0.35">
      <c r="A745" s="4">
        <v>42543</v>
      </c>
      <c r="B745" t="s">
        <v>30</v>
      </c>
      <c r="C745">
        <v>112</v>
      </c>
      <c r="D745">
        <v>9</v>
      </c>
      <c r="E745">
        <v>2</v>
      </c>
      <c r="F745" t="s">
        <v>42</v>
      </c>
      <c r="G745" t="s">
        <v>32</v>
      </c>
      <c r="H745" t="s">
        <v>33</v>
      </c>
      <c r="I745" t="s">
        <v>43</v>
      </c>
      <c r="J745" t="s">
        <v>44</v>
      </c>
      <c r="K745" t="s">
        <v>36</v>
      </c>
      <c r="L745" t="s">
        <v>37</v>
      </c>
      <c r="M745">
        <v>0</v>
      </c>
      <c r="N745">
        <v>0</v>
      </c>
      <c r="O745" s="5">
        <v>50597</v>
      </c>
      <c r="P745" s="5">
        <v>50596</v>
      </c>
      <c r="Q745">
        <f>34.5-12.5</f>
        <v>22</v>
      </c>
      <c r="R745" t="s">
        <v>38</v>
      </c>
      <c r="S745" t="s">
        <v>39</v>
      </c>
      <c r="T745">
        <v>18</v>
      </c>
      <c r="U745">
        <v>90</v>
      </c>
      <c r="V745">
        <v>15.5</v>
      </c>
      <c r="W745">
        <v>12.5</v>
      </c>
      <c r="X745">
        <v>27.55</v>
      </c>
      <c r="Z745" t="s">
        <v>39</v>
      </c>
      <c r="AB745" t="s">
        <v>60</v>
      </c>
      <c r="AC745" t="s">
        <v>41</v>
      </c>
    </row>
    <row r="746" spans="1:30" x14ac:dyDescent="0.35">
      <c r="A746" s="4">
        <v>42543</v>
      </c>
      <c r="B746" t="s">
        <v>30</v>
      </c>
      <c r="C746">
        <v>111</v>
      </c>
      <c r="D746">
        <v>3</v>
      </c>
      <c r="E746">
        <v>1</v>
      </c>
      <c r="F746" t="s">
        <v>42</v>
      </c>
      <c r="G746" t="s">
        <v>32</v>
      </c>
      <c r="H746" t="s">
        <v>33</v>
      </c>
      <c r="I746" t="s">
        <v>43</v>
      </c>
      <c r="J746" t="s">
        <v>35</v>
      </c>
      <c r="K746" t="s">
        <v>36</v>
      </c>
      <c r="L746" t="s">
        <v>37</v>
      </c>
      <c r="M746">
        <v>0</v>
      </c>
      <c r="N746">
        <v>1</v>
      </c>
      <c r="O746" s="5">
        <v>50602</v>
      </c>
      <c r="P746" s="5">
        <v>50601</v>
      </c>
      <c r="Q746">
        <f>35.5-13</f>
        <v>22.5</v>
      </c>
      <c r="R746" t="s">
        <v>38</v>
      </c>
      <c r="S746" t="s">
        <v>39</v>
      </c>
      <c r="T746">
        <v>18</v>
      </c>
      <c r="U746">
        <v>90</v>
      </c>
      <c r="V746">
        <v>13</v>
      </c>
      <c r="W746">
        <v>12.7</v>
      </c>
      <c r="X746">
        <v>27.5</v>
      </c>
      <c r="Z746" t="s">
        <v>39</v>
      </c>
      <c r="AB746" t="s">
        <v>60</v>
      </c>
      <c r="AC746" t="s">
        <v>41</v>
      </c>
    </row>
    <row r="747" spans="1:30" x14ac:dyDescent="0.35">
      <c r="A747" s="4">
        <v>42543</v>
      </c>
      <c r="B747" t="s">
        <v>30</v>
      </c>
      <c r="C747">
        <v>203</v>
      </c>
      <c r="D747">
        <v>6</v>
      </c>
      <c r="E747">
        <v>1</v>
      </c>
      <c r="F747" t="s">
        <v>31</v>
      </c>
      <c r="G747" t="s">
        <v>32</v>
      </c>
      <c r="H747" t="s">
        <v>33</v>
      </c>
      <c r="I747" t="s">
        <v>43</v>
      </c>
      <c r="J747" t="s">
        <v>44</v>
      </c>
      <c r="K747" t="s">
        <v>36</v>
      </c>
      <c r="L747" t="s">
        <v>37</v>
      </c>
      <c r="M747">
        <v>0</v>
      </c>
      <c r="N747">
        <v>0</v>
      </c>
      <c r="O747" s="5" t="s">
        <v>153</v>
      </c>
      <c r="P747" s="5" t="s">
        <v>154</v>
      </c>
      <c r="Q747">
        <f>33-13</f>
        <v>20</v>
      </c>
      <c r="R747" t="s">
        <v>38</v>
      </c>
      <c r="T747">
        <v>20</v>
      </c>
      <c r="U747">
        <v>88</v>
      </c>
      <c r="V747">
        <v>13</v>
      </c>
      <c r="W747">
        <v>12</v>
      </c>
      <c r="X747">
        <v>28.3</v>
      </c>
      <c r="Z747" t="s">
        <v>39</v>
      </c>
      <c r="AB747" t="s">
        <v>60</v>
      </c>
      <c r="AC747" t="s">
        <v>87</v>
      </c>
    </row>
    <row r="748" spans="1:30" x14ac:dyDescent="0.35">
      <c r="A748" s="4">
        <v>42543</v>
      </c>
      <c r="B748" t="s">
        <v>30</v>
      </c>
      <c r="C748">
        <v>201</v>
      </c>
      <c r="D748">
        <v>1</v>
      </c>
      <c r="E748">
        <v>1</v>
      </c>
      <c r="F748" t="s">
        <v>31</v>
      </c>
      <c r="G748" t="s">
        <v>32</v>
      </c>
      <c r="H748" t="s">
        <v>33</v>
      </c>
      <c r="I748" t="s">
        <v>34</v>
      </c>
      <c r="J748" t="s">
        <v>35</v>
      </c>
      <c r="K748" t="s">
        <v>36</v>
      </c>
      <c r="L748" t="s">
        <v>37</v>
      </c>
      <c r="M748">
        <v>0</v>
      </c>
      <c r="N748">
        <v>1</v>
      </c>
      <c r="O748" s="5">
        <v>50413</v>
      </c>
      <c r="P748" s="5"/>
      <c r="Q748">
        <f>139-48</f>
        <v>91</v>
      </c>
      <c r="R748" t="s">
        <v>38</v>
      </c>
      <c r="T748">
        <v>30</v>
      </c>
      <c r="W748">
        <v>22.1</v>
      </c>
      <c r="X748">
        <v>45.8</v>
      </c>
      <c r="Z748" t="s">
        <v>39</v>
      </c>
      <c r="AB748" t="s">
        <v>60</v>
      </c>
      <c r="AC748" t="s">
        <v>87</v>
      </c>
    </row>
    <row r="749" spans="1:30" x14ac:dyDescent="0.35">
      <c r="A749" s="4">
        <v>42543</v>
      </c>
      <c r="B749" t="s">
        <v>30</v>
      </c>
      <c r="C749">
        <v>113</v>
      </c>
      <c r="D749">
        <v>9</v>
      </c>
      <c r="E749">
        <v>1</v>
      </c>
      <c r="F749" t="s">
        <v>42</v>
      </c>
      <c r="G749" t="s">
        <v>32</v>
      </c>
      <c r="H749" t="s">
        <v>33</v>
      </c>
      <c r="I749" t="s">
        <v>34</v>
      </c>
      <c r="J749" t="s">
        <v>44</v>
      </c>
      <c r="K749" t="s">
        <v>36</v>
      </c>
      <c r="L749" t="s">
        <v>37</v>
      </c>
      <c r="M749">
        <v>0</v>
      </c>
      <c r="N749">
        <v>0</v>
      </c>
      <c r="O749" s="5">
        <v>50482</v>
      </c>
      <c r="P749" s="5"/>
      <c r="Q749">
        <f>170-90</f>
        <v>80</v>
      </c>
      <c r="R749" t="s">
        <v>38</v>
      </c>
      <c r="S749" t="s">
        <v>39</v>
      </c>
      <c r="W749">
        <v>20.5</v>
      </c>
      <c r="X749">
        <v>43.7</v>
      </c>
      <c r="Y749" t="s">
        <v>155</v>
      </c>
      <c r="Z749" t="s">
        <v>39</v>
      </c>
      <c r="AB749" t="s">
        <v>60</v>
      </c>
      <c r="AC749" t="s">
        <v>41</v>
      </c>
    </row>
    <row r="750" spans="1:30" x14ac:dyDescent="0.35">
      <c r="A750" s="4">
        <v>42543</v>
      </c>
      <c r="B750" t="s">
        <v>30</v>
      </c>
      <c r="C750">
        <v>113</v>
      </c>
      <c r="D750">
        <v>4</v>
      </c>
      <c r="E750">
        <v>1</v>
      </c>
      <c r="F750" t="s">
        <v>42</v>
      </c>
      <c r="G750" t="s">
        <v>32</v>
      </c>
      <c r="H750" t="s">
        <v>33</v>
      </c>
      <c r="I750" t="s">
        <v>34</v>
      </c>
      <c r="J750" t="s">
        <v>35</v>
      </c>
      <c r="K750" t="s">
        <v>36</v>
      </c>
      <c r="L750" t="s">
        <v>37</v>
      </c>
      <c r="M750">
        <v>0</v>
      </c>
      <c r="N750">
        <v>1</v>
      </c>
      <c r="O750" s="5">
        <v>50484</v>
      </c>
      <c r="P750" s="5"/>
      <c r="Q750">
        <f>185-90</f>
        <v>95</v>
      </c>
      <c r="R750" t="s">
        <v>38</v>
      </c>
      <c r="S750" t="s">
        <v>39</v>
      </c>
      <c r="T750">
        <v>32</v>
      </c>
      <c r="W750">
        <v>21.1</v>
      </c>
      <c r="X750">
        <v>40.5</v>
      </c>
      <c r="Z750" t="s">
        <v>39</v>
      </c>
      <c r="AB750" t="s">
        <v>60</v>
      </c>
      <c r="AC750" t="s">
        <v>41</v>
      </c>
    </row>
    <row r="751" spans="1:30" x14ac:dyDescent="0.35">
      <c r="A751" s="4">
        <v>42543</v>
      </c>
      <c r="B751" t="s">
        <v>30</v>
      </c>
      <c r="C751">
        <v>113</v>
      </c>
      <c r="D751">
        <v>7</v>
      </c>
      <c r="E751">
        <v>1</v>
      </c>
      <c r="F751" t="s">
        <v>42</v>
      </c>
      <c r="G751" t="s">
        <v>32</v>
      </c>
      <c r="H751" t="s">
        <v>33</v>
      </c>
      <c r="I751" t="s">
        <v>34</v>
      </c>
      <c r="J751" t="s">
        <v>35</v>
      </c>
      <c r="K751" t="s">
        <v>36</v>
      </c>
      <c r="L751" t="s">
        <v>37</v>
      </c>
      <c r="M751">
        <v>0</v>
      </c>
      <c r="N751">
        <v>1</v>
      </c>
      <c r="O751" s="5">
        <v>50487</v>
      </c>
      <c r="P751" s="5"/>
      <c r="Q751">
        <v>110</v>
      </c>
      <c r="R751" t="s">
        <v>38</v>
      </c>
      <c r="S751" t="s">
        <v>39</v>
      </c>
      <c r="T751">
        <v>34</v>
      </c>
      <c r="W751">
        <v>23.9</v>
      </c>
      <c r="X751">
        <v>45.5</v>
      </c>
      <c r="Z751" t="s">
        <v>39</v>
      </c>
      <c r="AB751" t="s">
        <v>60</v>
      </c>
      <c r="AC751" t="s">
        <v>41</v>
      </c>
    </row>
    <row r="752" spans="1:30" x14ac:dyDescent="0.35">
      <c r="A752" s="4">
        <v>42543</v>
      </c>
      <c r="B752" t="s">
        <v>30</v>
      </c>
      <c r="C752">
        <v>402</v>
      </c>
      <c r="D752">
        <v>6</v>
      </c>
      <c r="E752">
        <v>1</v>
      </c>
      <c r="F752" t="s">
        <v>42</v>
      </c>
      <c r="G752" t="s">
        <v>32</v>
      </c>
      <c r="H752" t="s">
        <v>33</v>
      </c>
      <c r="I752" t="s">
        <v>58</v>
      </c>
      <c r="J752" t="s">
        <v>44</v>
      </c>
      <c r="K752" t="s">
        <v>36</v>
      </c>
      <c r="L752" t="s">
        <v>45</v>
      </c>
      <c r="M752">
        <v>0</v>
      </c>
      <c r="N752">
        <v>0</v>
      </c>
      <c r="O752" s="5">
        <v>50483</v>
      </c>
      <c r="P752" s="5"/>
      <c r="Q752">
        <f>45-15.5</f>
        <v>29.5</v>
      </c>
      <c r="R752" t="s">
        <v>149</v>
      </c>
      <c r="S752" t="s">
        <v>102</v>
      </c>
      <c r="T752">
        <v>17</v>
      </c>
      <c r="W752">
        <v>13</v>
      </c>
      <c r="X752">
        <v>27.2</v>
      </c>
      <c r="Z752" t="s">
        <v>39</v>
      </c>
      <c r="AB752" t="s">
        <v>156</v>
      </c>
      <c r="AC752" t="s">
        <v>41</v>
      </c>
    </row>
    <row r="753" spans="1:30" x14ac:dyDescent="0.35">
      <c r="A753" s="4">
        <v>42543</v>
      </c>
      <c r="B753" t="s">
        <v>30</v>
      </c>
      <c r="C753">
        <v>304</v>
      </c>
      <c r="D753">
        <v>9</v>
      </c>
      <c r="E753">
        <v>1</v>
      </c>
      <c r="F753" t="s">
        <v>31</v>
      </c>
      <c r="G753" t="s">
        <v>32</v>
      </c>
      <c r="H753" t="s">
        <v>33</v>
      </c>
      <c r="I753" t="s">
        <v>65</v>
      </c>
      <c r="J753" t="s">
        <v>35</v>
      </c>
      <c r="K753" t="s">
        <v>88</v>
      </c>
      <c r="L753" t="s">
        <v>37</v>
      </c>
      <c r="M753">
        <v>0</v>
      </c>
      <c r="N753">
        <v>1</v>
      </c>
      <c r="O753" s="5">
        <v>50429</v>
      </c>
      <c r="P753" s="5"/>
      <c r="Q753">
        <f>170-47.5</f>
        <v>122.5</v>
      </c>
      <c r="R753" t="s">
        <v>64</v>
      </c>
      <c r="T753">
        <v>31</v>
      </c>
      <c r="W753">
        <v>24.9</v>
      </c>
      <c r="X753">
        <v>44.8</v>
      </c>
      <c r="Z753" t="s">
        <v>39</v>
      </c>
      <c r="AB753" t="s">
        <v>136</v>
      </c>
      <c r="AC753" t="s">
        <v>87</v>
      </c>
    </row>
    <row r="754" spans="1:30" x14ac:dyDescent="0.35">
      <c r="A754" s="4">
        <v>42543</v>
      </c>
      <c r="B754" t="s">
        <v>30</v>
      </c>
      <c r="C754">
        <v>304</v>
      </c>
      <c r="D754">
        <v>5</v>
      </c>
      <c r="E754">
        <v>1</v>
      </c>
      <c r="F754" t="s">
        <v>42</v>
      </c>
      <c r="G754" t="s">
        <v>32</v>
      </c>
      <c r="H754" t="s">
        <v>33</v>
      </c>
      <c r="I754" t="s">
        <v>65</v>
      </c>
      <c r="J754" t="s">
        <v>35</v>
      </c>
      <c r="K754" t="s">
        <v>36</v>
      </c>
      <c r="L754" t="s">
        <v>45</v>
      </c>
      <c r="M754">
        <v>0</v>
      </c>
      <c r="N754">
        <v>1</v>
      </c>
      <c r="O754" s="5">
        <v>50488</v>
      </c>
      <c r="P754" s="5"/>
      <c r="Q754">
        <f>280-90</f>
        <v>190</v>
      </c>
      <c r="R754" t="s">
        <v>74</v>
      </c>
      <c r="S754" t="s">
        <v>102</v>
      </c>
      <c r="T754">
        <v>42</v>
      </c>
      <c r="W754">
        <v>26.8</v>
      </c>
      <c r="X754">
        <v>50</v>
      </c>
      <c r="Z754" t="s">
        <v>39</v>
      </c>
      <c r="AB754" t="s">
        <v>156</v>
      </c>
      <c r="AC754" t="s">
        <v>41</v>
      </c>
    </row>
    <row r="755" spans="1:30" x14ac:dyDescent="0.35">
      <c r="A755" s="4">
        <v>42543</v>
      </c>
      <c r="B755" t="s">
        <v>30</v>
      </c>
      <c r="C755">
        <v>203</v>
      </c>
      <c r="D755">
        <v>3</v>
      </c>
      <c r="E755">
        <v>1</v>
      </c>
      <c r="F755" t="s">
        <v>31</v>
      </c>
      <c r="G755" t="s">
        <v>32</v>
      </c>
      <c r="H755" t="s">
        <v>33</v>
      </c>
      <c r="I755" t="s">
        <v>55</v>
      </c>
      <c r="J755" t="s">
        <v>66</v>
      </c>
      <c r="O755" s="5"/>
      <c r="P755" s="5"/>
      <c r="Z755" t="s">
        <v>39</v>
      </c>
    </row>
    <row r="756" spans="1:30" x14ac:dyDescent="0.35">
      <c r="A756" s="4">
        <v>42543</v>
      </c>
      <c r="B756" t="s">
        <v>30</v>
      </c>
      <c r="C756">
        <v>304</v>
      </c>
      <c r="D756">
        <v>7</v>
      </c>
      <c r="E756">
        <v>1</v>
      </c>
      <c r="F756" t="s">
        <v>31</v>
      </c>
      <c r="G756" t="s">
        <v>32</v>
      </c>
      <c r="H756" t="s">
        <v>33</v>
      </c>
      <c r="I756" t="s">
        <v>55</v>
      </c>
      <c r="J756" t="s">
        <v>66</v>
      </c>
      <c r="O756" s="5"/>
      <c r="P756" s="5"/>
      <c r="Z756" t="s">
        <v>39</v>
      </c>
    </row>
    <row r="757" spans="1:30" x14ac:dyDescent="0.35">
      <c r="A757" s="4">
        <v>42543</v>
      </c>
      <c r="B757" t="s">
        <v>30</v>
      </c>
      <c r="C757">
        <v>201</v>
      </c>
      <c r="D757">
        <v>2</v>
      </c>
      <c r="E757">
        <v>1</v>
      </c>
      <c r="F757" t="s">
        <v>31</v>
      </c>
      <c r="G757" t="s">
        <v>32</v>
      </c>
      <c r="H757" t="s">
        <v>33</v>
      </c>
      <c r="I757" t="s">
        <v>83</v>
      </c>
      <c r="O757" s="5"/>
      <c r="P757" s="5"/>
      <c r="Z757" t="s">
        <v>39</v>
      </c>
      <c r="AD757" t="s">
        <v>157</v>
      </c>
    </row>
    <row r="758" spans="1:30" x14ac:dyDescent="0.35">
      <c r="A758" s="4">
        <v>42543</v>
      </c>
      <c r="B758" t="s">
        <v>30</v>
      </c>
      <c r="C758">
        <v>112</v>
      </c>
      <c r="D758">
        <v>1</v>
      </c>
      <c r="E758">
        <v>1</v>
      </c>
      <c r="F758" t="s">
        <v>42</v>
      </c>
      <c r="G758" t="s">
        <v>32</v>
      </c>
      <c r="H758" t="s">
        <v>33</v>
      </c>
      <c r="I758" t="s">
        <v>81</v>
      </c>
      <c r="O758" s="5"/>
      <c r="P758" s="5"/>
      <c r="Z758" t="s">
        <v>39</v>
      </c>
    </row>
    <row r="759" spans="1:30" x14ac:dyDescent="0.35">
      <c r="A759" s="4">
        <v>42543</v>
      </c>
      <c r="B759" t="s">
        <v>30</v>
      </c>
      <c r="C759">
        <v>112</v>
      </c>
      <c r="D759">
        <v>2</v>
      </c>
      <c r="E759">
        <v>1</v>
      </c>
      <c r="F759" t="s">
        <v>42</v>
      </c>
      <c r="G759" t="s">
        <v>32</v>
      </c>
      <c r="H759" t="s">
        <v>33</v>
      </c>
      <c r="I759" t="s">
        <v>81</v>
      </c>
      <c r="O759" s="5"/>
      <c r="P759" s="5"/>
      <c r="Z759" t="s">
        <v>39</v>
      </c>
    </row>
    <row r="760" spans="1:30" x14ac:dyDescent="0.35">
      <c r="A760" s="4">
        <v>42543</v>
      </c>
      <c r="B760" t="s">
        <v>30</v>
      </c>
      <c r="C760">
        <v>112</v>
      </c>
      <c r="D760">
        <v>2</v>
      </c>
      <c r="E760">
        <v>2</v>
      </c>
      <c r="F760" t="s">
        <v>42</v>
      </c>
      <c r="G760" t="s">
        <v>32</v>
      </c>
      <c r="H760" t="s">
        <v>33</v>
      </c>
      <c r="I760" t="s">
        <v>81</v>
      </c>
      <c r="O760" s="5"/>
      <c r="P760" s="5"/>
      <c r="Z760" t="s">
        <v>39</v>
      </c>
    </row>
    <row r="761" spans="1:30" x14ac:dyDescent="0.35">
      <c r="A761" s="4">
        <v>42543</v>
      </c>
      <c r="B761" t="s">
        <v>30</v>
      </c>
      <c r="C761">
        <v>112</v>
      </c>
      <c r="D761">
        <v>3</v>
      </c>
      <c r="E761">
        <v>1</v>
      </c>
      <c r="F761" t="s">
        <v>42</v>
      </c>
      <c r="G761" t="s">
        <v>32</v>
      </c>
      <c r="H761" t="s">
        <v>33</v>
      </c>
      <c r="I761" t="s">
        <v>81</v>
      </c>
      <c r="O761" s="5"/>
      <c r="P761" s="5"/>
      <c r="Z761" t="s">
        <v>39</v>
      </c>
    </row>
    <row r="762" spans="1:30" x14ac:dyDescent="0.35">
      <c r="A762" s="4">
        <v>42543</v>
      </c>
      <c r="B762" t="s">
        <v>30</v>
      </c>
      <c r="C762">
        <v>112</v>
      </c>
      <c r="D762">
        <v>3</v>
      </c>
      <c r="E762">
        <v>2</v>
      </c>
      <c r="F762" t="s">
        <v>42</v>
      </c>
      <c r="G762" t="s">
        <v>32</v>
      </c>
      <c r="H762" t="s">
        <v>33</v>
      </c>
      <c r="I762" t="s">
        <v>81</v>
      </c>
      <c r="O762" s="5"/>
      <c r="P762" s="5"/>
      <c r="Z762" t="s">
        <v>39</v>
      </c>
    </row>
    <row r="763" spans="1:30" x14ac:dyDescent="0.35">
      <c r="A763" s="4">
        <v>42543</v>
      </c>
      <c r="B763" t="s">
        <v>30</v>
      </c>
      <c r="C763">
        <v>112</v>
      </c>
      <c r="D763">
        <v>4</v>
      </c>
      <c r="E763">
        <v>1</v>
      </c>
      <c r="F763" t="s">
        <v>42</v>
      </c>
      <c r="G763" t="s">
        <v>32</v>
      </c>
      <c r="H763" t="s">
        <v>33</v>
      </c>
      <c r="I763" t="s">
        <v>81</v>
      </c>
      <c r="O763" s="5"/>
      <c r="P763" s="5"/>
      <c r="Z763" t="s">
        <v>39</v>
      </c>
    </row>
    <row r="764" spans="1:30" x14ac:dyDescent="0.35">
      <c r="A764" s="4">
        <v>42543</v>
      </c>
      <c r="B764" t="s">
        <v>30</v>
      </c>
      <c r="C764">
        <v>112</v>
      </c>
      <c r="D764">
        <v>5</v>
      </c>
      <c r="E764">
        <v>1</v>
      </c>
      <c r="F764" t="s">
        <v>42</v>
      </c>
      <c r="G764" t="s">
        <v>32</v>
      </c>
      <c r="H764" t="s">
        <v>33</v>
      </c>
      <c r="I764" t="s">
        <v>81</v>
      </c>
      <c r="O764" s="5"/>
      <c r="P764" s="5"/>
      <c r="Z764" t="s">
        <v>39</v>
      </c>
    </row>
    <row r="765" spans="1:30" x14ac:dyDescent="0.35">
      <c r="A765" s="4">
        <v>42543</v>
      </c>
      <c r="B765" t="s">
        <v>30</v>
      </c>
      <c r="C765">
        <v>112</v>
      </c>
      <c r="D765">
        <v>6</v>
      </c>
      <c r="E765">
        <v>1</v>
      </c>
      <c r="F765" t="s">
        <v>42</v>
      </c>
      <c r="G765" t="s">
        <v>32</v>
      </c>
      <c r="H765" t="s">
        <v>33</v>
      </c>
      <c r="I765" t="s">
        <v>81</v>
      </c>
      <c r="O765" s="5"/>
      <c r="P765" s="5"/>
      <c r="Z765" t="s">
        <v>39</v>
      </c>
    </row>
    <row r="766" spans="1:30" x14ac:dyDescent="0.35">
      <c r="A766" s="4">
        <v>42543</v>
      </c>
      <c r="B766" t="s">
        <v>30</v>
      </c>
      <c r="C766">
        <v>112</v>
      </c>
      <c r="D766">
        <v>6</v>
      </c>
      <c r="E766">
        <v>2</v>
      </c>
      <c r="F766" t="s">
        <v>42</v>
      </c>
      <c r="G766" t="s">
        <v>32</v>
      </c>
      <c r="H766" t="s">
        <v>33</v>
      </c>
      <c r="I766" t="s">
        <v>81</v>
      </c>
      <c r="O766" s="5"/>
      <c r="P766" s="5"/>
      <c r="Z766" t="s">
        <v>39</v>
      </c>
    </row>
    <row r="767" spans="1:30" x14ac:dyDescent="0.35">
      <c r="A767" s="4">
        <v>42543</v>
      </c>
      <c r="B767" t="s">
        <v>30</v>
      </c>
      <c r="C767">
        <v>112</v>
      </c>
      <c r="D767">
        <v>7</v>
      </c>
      <c r="E767">
        <v>1</v>
      </c>
      <c r="F767" t="s">
        <v>42</v>
      </c>
      <c r="G767" t="s">
        <v>32</v>
      </c>
      <c r="H767" t="s">
        <v>33</v>
      </c>
      <c r="I767" t="s">
        <v>81</v>
      </c>
      <c r="O767" s="5"/>
      <c r="P767" s="5"/>
      <c r="Z767" t="s">
        <v>39</v>
      </c>
    </row>
    <row r="768" spans="1:30" x14ac:dyDescent="0.35">
      <c r="A768" s="4">
        <v>42543</v>
      </c>
      <c r="B768" t="s">
        <v>30</v>
      </c>
      <c r="C768">
        <v>112</v>
      </c>
      <c r="D768">
        <v>7</v>
      </c>
      <c r="E768">
        <v>2</v>
      </c>
      <c r="F768" t="s">
        <v>42</v>
      </c>
      <c r="G768" t="s">
        <v>32</v>
      </c>
      <c r="H768" t="s">
        <v>33</v>
      </c>
      <c r="I768" t="s">
        <v>81</v>
      </c>
      <c r="O768" s="5"/>
      <c r="P768" s="5"/>
      <c r="Z768" t="s">
        <v>39</v>
      </c>
    </row>
    <row r="769" spans="1:26" x14ac:dyDescent="0.35">
      <c r="A769" s="4">
        <v>42543</v>
      </c>
      <c r="B769" t="s">
        <v>30</v>
      </c>
      <c r="C769">
        <v>112</v>
      </c>
      <c r="D769">
        <v>8</v>
      </c>
      <c r="E769">
        <v>1</v>
      </c>
      <c r="F769" t="s">
        <v>42</v>
      </c>
      <c r="G769" t="s">
        <v>32</v>
      </c>
      <c r="H769" t="s">
        <v>33</v>
      </c>
      <c r="I769" t="s">
        <v>81</v>
      </c>
      <c r="O769" s="5"/>
      <c r="P769" s="5"/>
      <c r="Z769" t="s">
        <v>39</v>
      </c>
    </row>
    <row r="770" spans="1:26" x14ac:dyDescent="0.35">
      <c r="A770" s="4">
        <v>42543</v>
      </c>
      <c r="B770" t="s">
        <v>30</v>
      </c>
      <c r="C770">
        <v>112</v>
      </c>
      <c r="D770">
        <v>8</v>
      </c>
      <c r="E770">
        <v>2</v>
      </c>
      <c r="F770" t="s">
        <v>42</v>
      </c>
      <c r="G770" t="s">
        <v>32</v>
      </c>
      <c r="H770" t="s">
        <v>33</v>
      </c>
      <c r="I770" t="s">
        <v>81</v>
      </c>
      <c r="O770" s="5"/>
      <c r="P770" s="5"/>
      <c r="Z770" t="s">
        <v>39</v>
      </c>
    </row>
    <row r="771" spans="1:26" x14ac:dyDescent="0.35">
      <c r="A771" s="4">
        <v>42543</v>
      </c>
      <c r="B771" t="s">
        <v>30</v>
      </c>
      <c r="C771">
        <v>112</v>
      </c>
      <c r="D771">
        <v>10</v>
      </c>
      <c r="E771">
        <v>1</v>
      </c>
      <c r="F771" t="s">
        <v>42</v>
      </c>
      <c r="G771" t="s">
        <v>32</v>
      </c>
      <c r="H771" t="s">
        <v>33</v>
      </c>
      <c r="I771" t="s">
        <v>81</v>
      </c>
      <c r="O771" s="5"/>
      <c r="P771" s="5"/>
      <c r="Z771" t="s">
        <v>39</v>
      </c>
    </row>
    <row r="772" spans="1:26" x14ac:dyDescent="0.35">
      <c r="A772" s="4">
        <v>42543</v>
      </c>
      <c r="B772" t="s">
        <v>30</v>
      </c>
      <c r="C772">
        <v>111</v>
      </c>
      <c r="D772">
        <v>9</v>
      </c>
      <c r="E772">
        <v>1</v>
      </c>
      <c r="F772" t="s">
        <v>42</v>
      </c>
      <c r="G772" t="s">
        <v>32</v>
      </c>
      <c r="H772" t="s">
        <v>33</v>
      </c>
      <c r="I772" t="s">
        <v>59</v>
      </c>
      <c r="O772" s="5"/>
      <c r="P772" s="5"/>
      <c r="Z772" t="s">
        <v>39</v>
      </c>
    </row>
    <row r="773" spans="1:26" x14ac:dyDescent="0.35">
      <c r="A773" s="4">
        <v>42543</v>
      </c>
      <c r="B773" t="s">
        <v>30</v>
      </c>
      <c r="C773">
        <v>112</v>
      </c>
      <c r="D773">
        <v>1</v>
      </c>
      <c r="E773">
        <v>2</v>
      </c>
      <c r="F773" t="s">
        <v>42</v>
      </c>
      <c r="G773" t="s">
        <v>32</v>
      </c>
      <c r="H773" t="s">
        <v>33</v>
      </c>
      <c r="I773" t="s">
        <v>59</v>
      </c>
      <c r="O773" s="5"/>
      <c r="P773" s="5"/>
      <c r="Z773" t="s">
        <v>39</v>
      </c>
    </row>
    <row r="774" spans="1:26" x14ac:dyDescent="0.35">
      <c r="A774" s="4">
        <v>42543</v>
      </c>
      <c r="B774" t="s">
        <v>30</v>
      </c>
      <c r="C774">
        <v>112</v>
      </c>
      <c r="D774">
        <v>4</v>
      </c>
      <c r="E774">
        <v>2</v>
      </c>
      <c r="F774" t="s">
        <v>42</v>
      </c>
      <c r="G774" t="s">
        <v>32</v>
      </c>
      <c r="H774" t="s">
        <v>33</v>
      </c>
      <c r="I774" t="s">
        <v>59</v>
      </c>
      <c r="O774" s="5"/>
      <c r="P774" s="5"/>
      <c r="Z774" t="s">
        <v>39</v>
      </c>
    </row>
    <row r="775" spans="1:26" x14ac:dyDescent="0.35">
      <c r="A775" s="4">
        <v>42543</v>
      </c>
      <c r="B775" t="s">
        <v>30</v>
      </c>
      <c r="C775">
        <v>112</v>
      </c>
      <c r="D775">
        <v>5</v>
      </c>
      <c r="E775">
        <v>2</v>
      </c>
      <c r="F775" t="s">
        <v>42</v>
      </c>
      <c r="G775" t="s">
        <v>32</v>
      </c>
      <c r="H775" t="s">
        <v>33</v>
      </c>
      <c r="I775" t="s">
        <v>59</v>
      </c>
      <c r="O775" s="5"/>
      <c r="P775" s="5"/>
      <c r="Z775" t="s">
        <v>39</v>
      </c>
    </row>
    <row r="776" spans="1:26" x14ac:dyDescent="0.35">
      <c r="A776" s="4">
        <v>42543</v>
      </c>
      <c r="B776" t="s">
        <v>30</v>
      </c>
      <c r="C776">
        <v>112</v>
      </c>
      <c r="D776">
        <v>9</v>
      </c>
      <c r="E776">
        <v>1</v>
      </c>
      <c r="F776" t="s">
        <v>42</v>
      </c>
      <c r="G776" t="s">
        <v>32</v>
      </c>
      <c r="H776" t="s">
        <v>33</v>
      </c>
      <c r="I776" t="s">
        <v>59</v>
      </c>
      <c r="O776" s="5"/>
      <c r="P776" s="5"/>
      <c r="Z776" t="s">
        <v>39</v>
      </c>
    </row>
    <row r="777" spans="1:26" x14ac:dyDescent="0.35">
      <c r="A777" s="4">
        <v>42543</v>
      </c>
      <c r="B777" t="s">
        <v>30</v>
      </c>
      <c r="C777">
        <v>113</v>
      </c>
      <c r="D777">
        <v>1</v>
      </c>
      <c r="E777">
        <v>1</v>
      </c>
      <c r="F777" t="s">
        <v>42</v>
      </c>
      <c r="G777" t="s">
        <v>32</v>
      </c>
      <c r="H777" t="s">
        <v>33</v>
      </c>
      <c r="I777" t="s">
        <v>59</v>
      </c>
      <c r="O777" s="5"/>
      <c r="P777" s="5"/>
      <c r="Z777" t="s">
        <v>39</v>
      </c>
    </row>
    <row r="778" spans="1:26" x14ac:dyDescent="0.35">
      <c r="A778" s="4">
        <v>42543</v>
      </c>
      <c r="B778" t="s">
        <v>30</v>
      </c>
      <c r="C778">
        <v>113</v>
      </c>
      <c r="D778">
        <v>2</v>
      </c>
      <c r="E778">
        <v>1</v>
      </c>
      <c r="F778" t="s">
        <v>42</v>
      </c>
      <c r="G778" t="s">
        <v>32</v>
      </c>
      <c r="H778" t="s">
        <v>33</v>
      </c>
      <c r="I778" t="s">
        <v>59</v>
      </c>
      <c r="O778" s="5"/>
      <c r="P778" s="5"/>
      <c r="Z778" t="s">
        <v>39</v>
      </c>
    </row>
    <row r="779" spans="1:26" x14ac:dyDescent="0.35">
      <c r="A779" s="4">
        <v>42543</v>
      </c>
      <c r="B779" t="s">
        <v>30</v>
      </c>
      <c r="C779">
        <v>113</v>
      </c>
      <c r="D779">
        <v>8</v>
      </c>
      <c r="E779">
        <v>1</v>
      </c>
      <c r="F779" t="s">
        <v>42</v>
      </c>
      <c r="G779" t="s">
        <v>32</v>
      </c>
      <c r="H779" t="s">
        <v>33</v>
      </c>
      <c r="I779" t="s">
        <v>59</v>
      </c>
      <c r="O779" s="5"/>
      <c r="P779" s="5"/>
      <c r="Z779" t="s">
        <v>39</v>
      </c>
    </row>
    <row r="780" spans="1:26" x14ac:dyDescent="0.35">
      <c r="A780" s="4">
        <v>42543</v>
      </c>
      <c r="B780" t="s">
        <v>30</v>
      </c>
      <c r="C780">
        <v>113</v>
      </c>
      <c r="D780">
        <v>8</v>
      </c>
      <c r="E780">
        <v>2</v>
      </c>
      <c r="F780" t="s">
        <v>42</v>
      </c>
      <c r="G780" t="s">
        <v>32</v>
      </c>
      <c r="H780" t="s">
        <v>33</v>
      </c>
      <c r="I780" t="s">
        <v>59</v>
      </c>
      <c r="O780" s="5"/>
      <c r="P780" s="5"/>
      <c r="Z780" t="s">
        <v>39</v>
      </c>
    </row>
    <row r="781" spans="1:26" x14ac:dyDescent="0.35">
      <c r="A781" s="4">
        <v>42543</v>
      </c>
      <c r="B781" t="s">
        <v>30</v>
      </c>
      <c r="C781">
        <v>402</v>
      </c>
      <c r="D781">
        <v>1</v>
      </c>
      <c r="E781">
        <v>1</v>
      </c>
      <c r="F781" t="s">
        <v>42</v>
      </c>
      <c r="G781" t="s">
        <v>32</v>
      </c>
      <c r="H781" t="s">
        <v>33</v>
      </c>
      <c r="I781" t="s">
        <v>59</v>
      </c>
      <c r="O781" s="5"/>
      <c r="P781" s="5"/>
      <c r="Z781" t="s">
        <v>39</v>
      </c>
    </row>
    <row r="782" spans="1:26" x14ac:dyDescent="0.35">
      <c r="A782" s="4">
        <v>42543</v>
      </c>
      <c r="B782" t="s">
        <v>30</v>
      </c>
      <c r="C782">
        <v>402</v>
      </c>
      <c r="D782">
        <v>1</v>
      </c>
      <c r="E782">
        <v>2</v>
      </c>
      <c r="F782" t="s">
        <v>42</v>
      </c>
      <c r="G782" t="s">
        <v>32</v>
      </c>
      <c r="H782" t="s">
        <v>33</v>
      </c>
      <c r="I782" t="s">
        <v>59</v>
      </c>
      <c r="O782" s="5"/>
      <c r="P782" s="5"/>
      <c r="Z782" t="s">
        <v>39</v>
      </c>
    </row>
    <row r="783" spans="1:26" x14ac:dyDescent="0.35">
      <c r="A783" s="4">
        <v>42543</v>
      </c>
      <c r="B783" t="s">
        <v>30</v>
      </c>
      <c r="C783">
        <v>201</v>
      </c>
      <c r="D783">
        <v>1</v>
      </c>
      <c r="E783">
        <v>2</v>
      </c>
      <c r="F783" t="s">
        <v>31</v>
      </c>
      <c r="G783" t="s">
        <v>32</v>
      </c>
      <c r="H783" t="s">
        <v>33</v>
      </c>
      <c r="I783" t="s">
        <v>59</v>
      </c>
      <c r="O783" s="5"/>
      <c r="P783" s="5"/>
      <c r="Z783" t="s">
        <v>39</v>
      </c>
    </row>
    <row r="784" spans="1:26" x14ac:dyDescent="0.35">
      <c r="A784" s="4">
        <v>42543</v>
      </c>
      <c r="B784" t="s">
        <v>30</v>
      </c>
      <c r="C784">
        <v>201</v>
      </c>
      <c r="D784">
        <v>4</v>
      </c>
      <c r="E784">
        <v>1</v>
      </c>
      <c r="F784" t="s">
        <v>31</v>
      </c>
      <c r="G784" t="s">
        <v>32</v>
      </c>
      <c r="H784" t="s">
        <v>33</v>
      </c>
      <c r="I784" t="s">
        <v>59</v>
      </c>
      <c r="O784" s="5"/>
      <c r="P784" s="5"/>
      <c r="Z784" t="s">
        <v>39</v>
      </c>
    </row>
    <row r="785" spans="1:30" x14ac:dyDescent="0.35">
      <c r="A785" s="4">
        <v>42543</v>
      </c>
      <c r="B785" t="s">
        <v>30</v>
      </c>
      <c r="C785">
        <v>201</v>
      </c>
      <c r="D785">
        <v>5</v>
      </c>
      <c r="E785">
        <v>1</v>
      </c>
      <c r="F785" t="s">
        <v>31</v>
      </c>
      <c r="G785" t="s">
        <v>32</v>
      </c>
      <c r="H785" t="s">
        <v>33</v>
      </c>
      <c r="I785" t="s">
        <v>59</v>
      </c>
      <c r="O785" s="5"/>
      <c r="P785" s="5"/>
      <c r="Z785" t="s">
        <v>39</v>
      </c>
    </row>
    <row r="786" spans="1:30" x14ac:dyDescent="0.35">
      <c r="A786" s="4">
        <v>42543</v>
      </c>
      <c r="B786" t="s">
        <v>30</v>
      </c>
      <c r="C786">
        <v>201</v>
      </c>
      <c r="D786">
        <v>5</v>
      </c>
      <c r="E786">
        <v>2</v>
      </c>
      <c r="F786" t="s">
        <v>31</v>
      </c>
      <c r="G786" t="s">
        <v>32</v>
      </c>
      <c r="H786" t="s">
        <v>33</v>
      </c>
      <c r="I786" t="s">
        <v>59</v>
      </c>
      <c r="O786" s="5"/>
      <c r="P786" s="5"/>
      <c r="Z786" t="s">
        <v>39</v>
      </c>
    </row>
    <row r="787" spans="1:30" x14ac:dyDescent="0.35">
      <c r="A787" s="4">
        <v>42543</v>
      </c>
      <c r="B787" t="s">
        <v>30</v>
      </c>
      <c r="C787">
        <v>201</v>
      </c>
      <c r="D787">
        <v>6</v>
      </c>
      <c r="E787">
        <v>1</v>
      </c>
      <c r="F787" t="s">
        <v>31</v>
      </c>
      <c r="G787" t="s">
        <v>32</v>
      </c>
      <c r="H787" t="s">
        <v>33</v>
      </c>
      <c r="I787" t="s">
        <v>59</v>
      </c>
      <c r="O787" s="5"/>
      <c r="P787" s="5"/>
      <c r="Z787" t="s">
        <v>39</v>
      </c>
    </row>
    <row r="788" spans="1:30" x14ac:dyDescent="0.35">
      <c r="A788" s="4">
        <v>42543</v>
      </c>
      <c r="B788" t="s">
        <v>30</v>
      </c>
      <c r="C788">
        <v>201</v>
      </c>
      <c r="D788">
        <v>6</v>
      </c>
      <c r="E788">
        <v>2</v>
      </c>
      <c r="F788" t="s">
        <v>31</v>
      </c>
      <c r="G788" t="s">
        <v>32</v>
      </c>
      <c r="H788" t="s">
        <v>33</v>
      </c>
      <c r="I788" t="s">
        <v>59</v>
      </c>
      <c r="O788" s="5"/>
      <c r="P788" s="5"/>
      <c r="Z788" t="s">
        <v>39</v>
      </c>
    </row>
    <row r="789" spans="1:30" x14ac:dyDescent="0.35">
      <c r="A789" s="4">
        <v>42543</v>
      </c>
      <c r="B789" t="s">
        <v>30</v>
      </c>
      <c r="C789">
        <v>201</v>
      </c>
      <c r="D789">
        <v>7</v>
      </c>
      <c r="E789">
        <v>1</v>
      </c>
      <c r="F789" t="s">
        <v>31</v>
      </c>
      <c r="G789" t="s">
        <v>32</v>
      </c>
      <c r="H789" t="s">
        <v>33</v>
      </c>
      <c r="I789" t="s">
        <v>59</v>
      </c>
      <c r="O789" s="5"/>
      <c r="P789" s="5"/>
      <c r="Z789" t="s">
        <v>39</v>
      </c>
    </row>
    <row r="790" spans="1:30" x14ac:dyDescent="0.35">
      <c r="A790" s="4">
        <v>42543</v>
      </c>
      <c r="B790" t="s">
        <v>30</v>
      </c>
      <c r="C790">
        <v>201</v>
      </c>
      <c r="D790">
        <v>7</v>
      </c>
      <c r="E790">
        <v>2</v>
      </c>
      <c r="F790" t="s">
        <v>31</v>
      </c>
      <c r="G790" t="s">
        <v>32</v>
      </c>
      <c r="H790" t="s">
        <v>33</v>
      </c>
      <c r="I790" t="s">
        <v>59</v>
      </c>
      <c r="O790" s="5"/>
      <c r="P790" s="5"/>
      <c r="Z790" t="s">
        <v>39</v>
      </c>
    </row>
    <row r="791" spans="1:30" x14ac:dyDescent="0.35">
      <c r="A791" s="4">
        <v>42543</v>
      </c>
      <c r="B791" t="s">
        <v>30</v>
      </c>
      <c r="C791">
        <v>201</v>
      </c>
      <c r="D791">
        <v>8</v>
      </c>
      <c r="E791">
        <v>1</v>
      </c>
      <c r="F791" t="s">
        <v>31</v>
      </c>
      <c r="G791" t="s">
        <v>32</v>
      </c>
      <c r="H791" t="s">
        <v>33</v>
      </c>
      <c r="I791" t="s">
        <v>59</v>
      </c>
      <c r="O791" s="5"/>
      <c r="P791" s="5"/>
      <c r="Z791" t="s">
        <v>39</v>
      </c>
    </row>
    <row r="792" spans="1:30" x14ac:dyDescent="0.35">
      <c r="A792" s="4">
        <v>42543</v>
      </c>
      <c r="B792" t="s">
        <v>30</v>
      </c>
      <c r="C792">
        <v>201</v>
      </c>
      <c r="D792">
        <v>10</v>
      </c>
      <c r="E792">
        <v>1</v>
      </c>
      <c r="F792" t="s">
        <v>31</v>
      </c>
      <c r="G792" t="s">
        <v>32</v>
      </c>
      <c r="H792" t="s">
        <v>33</v>
      </c>
      <c r="I792" t="s">
        <v>59</v>
      </c>
      <c r="O792" s="5"/>
      <c r="P792" s="5"/>
      <c r="Z792" t="s">
        <v>39</v>
      </c>
    </row>
    <row r="793" spans="1:30" x14ac:dyDescent="0.35">
      <c r="A793" s="4">
        <v>42543</v>
      </c>
      <c r="B793" t="s">
        <v>30</v>
      </c>
      <c r="C793">
        <v>203</v>
      </c>
      <c r="D793">
        <v>7</v>
      </c>
      <c r="E793">
        <v>1</v>
      </c>
      <c r="F793" t="s">
        <v>31</v>
      </c>
      <c r="G793" t="s">
        <v>32</v>
      </c>
      <c r="H793" t="s">
        <v>33</v>
      </c>
      <c r="I793" t="s">
        <v>59</v>
      </c>
      <c r="O793" s="5"/>
      <c r="P793" s="5"/>
      <c r="Z793" t="s">
        <v>39</v>
      </c>
    </row>
    <row r="794" spans="1:30" x14ac:dyDescent="0.35">
      <c r="A794" s="4">
        <v>42543</v>
      </c>
      <c r="B794" t="s">
        <v>30</v>
      </c>
      <c r="C794">
        <v>203</v>
      </c>
      <c r="D794">
        <v>9</v>
      </c>
      <c r="E794">
        <v>1</v>
      </c>
      <c r="F794" t="s">
        <v>31</v>
      </c>
      <c r="G794" t="s">
        <v>32</v>
      </c>
      <c r="H794" t="s">
        <v>33</v>
      </c>
      <c r="I794" t="s">
        <v>59</v>
      </c>
      <c r="O794" s="5"/>
      <c r="P794" s="5"/>
      <c r="Z794" t="s">
        <v>39</v>
      </c>
    </row>
    <row r="795" spans="1:30" x14ac:dyDescent="0.35">
      <c r="A795" s="4">
        <v>42543</v>
      </c>
      <c r="B795" t="s">
        <v>30</v>
      </c>
      <c r="C795">
        <v>304</v>
      </c>
      <c r="D795">
        <v>8</v>
      </c>
      <c r="E795">
        <v>1</v>
      </c>
      <c r="F795" t="s">
        <v>31</v>
      </c>
      <c r="G795" t="s">
        <v>32</v>
      </c>
      <c r="H795" t="s">
        <v>33</v>
      </c>
      <c r="I795" t="s">
        <v>59</v>
      </c>
      <c r="O795" s="5"/>
      <c r="P795" s="5"/>
      <c r="Z795" t="s">
        <v>39</v>
      </c>
    </row>
    <row r="796" spans="1:30" x14ac:dyDescent="0.35">
      <c r="A796" s="4">
        <v>42543</v>
      </c>
      <c r="B796" t="s">
        <v>30</v>
      </c>
      <c r="C796">
        <v>203</v>
      </c>
      <c r="D796">
        <v>4</v>
      </c>
      <c r="E796">
        <v>1</v>
      </c>
      <c r="F796" t="s">
        <v>31</v>
      </c>
      <c r="G796" t="s">
        <v>32</v>
      </c>
      <c r="H796" t="s">
        <v>33</v>
      </c>
      <c r="I796" t="s">
        <v>94</v>
      </c>
      <c r="J796" t="s">
        <v>127</v>
      </c>
      <c r="O796" s="5"/>
      <c r="P796" s="5">
        <v>50411</v>
      </c>
      <c r="Z796" t="s">
        <v>39</v>
      </c>
      <c r="AD796" t="s">
        <v>158</v>
      </c>
    </row>
    <row r="797" spans="1:30" x14ac:dyDescent="0.35">
      <c r="A797" s="4">
        <v>42549</v>
      </c>
      <c r="B797" t="s">
        <v>30</v>
      </c>
      <c r="C797">
        <v>501</v>
      </c>
      <c r="D797">
        <v>5</v>
      </c>
      <c r="E797">
        <v>1</v>
      </c>
      <c r="F797" t="s">
        <v>31</v>
      </c>
      <c r="G797" t="s">
        <v>32</v>
      </c>
      <c r="H797" t="s">
        <v>33</v>
      </c>
      <c r="I797" t="s">
        <v>43</v>
      </c>
      <c r="J797" t="s">
        <v>44</v>
      </c>
      <c r="K797" t="s">
        <v>36</v>
      </c>
      <c r="L797" t="s">
        <v>37</v>
      </c>
      <c r="M797">
        <v>0</v>
      </c>
      <c r="N797">
        <v>0</v>
      </c>
      <c r="O797" s="5">
        <v>26604</v>
      </c>
      <c r="P797" s="5">
        <v>26603</v>
      </c>
      <c r="Q797">
        <f>32-13</f>
        <v>19</v>
      </c>
      <c r="R797" t="s">
        <v>38</v>
      </c>
      <c r="T797">
        <v>18</v>
      </c>
      <c r="V797">
        <v>14</v>
      </c>
      <c r="W797">
        <v>12</v>
      </c>
      <c r="X797">
        <v>31.5</v>
      </c>
      <c r="Z797" t="s">
        <v>39</v>
      </c>
      <c r="AB797" t="s">
        <v>97</v>
      </c>
      <c r="AC797" t="s">
        <v>87</v>
      </c>
    </row>
    <row r="798" spans="1:30" x14ac:dyDescent="0.35">
      <c r="A798" s="4">
        <v>42549</v>
      </c>
      <c r="B798" t="s">
        <v>30</v>
      </c>
      <c r="C798">
        <v>303</v>
      </c>
      <c r="D798">
        <v>3</v>
      </c>
      <c r="E798">
        <v>1</v>
      </c>
      <c r="F798" t="s">
        <v>31</v>
      </c>
      <c r="G798" t="s">
        <v>32</v>
      </c>
      <c r="H798" t="s">
        <v>33</v>
      </c>
      <c r="I798" t="s">
        <v>43</v>
      </c>
      <c r="J798" t="s">
        <v>44</v>
      </c>
      <c r="K798" t="s">
        <v>36</v>
      </c>
      <c r="L798" t="s">
        <v>37</v>
      </c>
      <c r="M798">
        <v>0</v>
      </c>
      <c r="N798">
        <v>0</v>
      </c>
      <c r="O798" s="5">
        <v>50321</v>
      </c>
      <c r="P798" s="5">
        <v>50320</v>
      </c>
      <c r="Q798">
        <f>33-12</f>
        <v>21</v>
      </c>
      <c r="R798" t="s">
        <v>38</v>
      </c>
      <c r="T798">
        <v>19</v>
      </c>
      <c r="V798">
        <v>14</v>
      </c>
      <c r="W798">
        <v>12.6</v>
      </c>
      <c r="X798">
        <v>30.2</v>
      </c>
      <c r="Y798" t="s">
        <v>159</v>
      </c>
      <c r="Z798" t="s">
        <v>39</v>
      </c>
      <c r="AB798" t="s">
        <v>86</v>
      </c>
      <c r="AC798" t="s">
        <v>87</v>
      </c>
    </row>
    <row r="799" spans="1:30" x14ac:dyDescent="0.35">
      <c r="A799" s="4">
        <v>42549</v>
      </c>
      <c r="B799" t="s">
        <v>30</v>
      </c>
      <c r="C799">
        <v>701</v>
      </c>
      <c r="D799">
        <v>6</v>
      </c>
      <c r="E799">
        <v>2</v>
      </c>
      <c r="F799" t="s">
        <v>42</v>
      </c>
      <c r="G799" t="s">
        <v>32</v>
      </c>
      <c r="H799" t="s">
        <v>33</v>
      </c>
      <c r="I799" t="s">
        <v>43</v>
      </c>
      <c r="J799" t="s">
        <v>44</v>
      </c>
      <c r="K799" t="s">
        <v>36</v>
      </c>
      <c r="L799" t="s">
        <v>37</v>
      </c>
      <c r="M799">
        <v>0</v>
      </c>
      <c r="N799">
        <v>0</v>
      </c>
      <c r="O799" s="5">
        <v>50370</v>
      </c>
      <c r="P799" s="5">
        <v>50369</v>
      </c>
      <c r="Q799">
        <f>34.5-14</f>
        <v>20.5</v>
      </c>
      <c r="R799" t="s">
        <v>38</v>
      </c>
      <c r="T799">
        <v>20</v>
      </c>
      <c r="U799">
        <v>73</v>
      </c>
      <c r="V799">
        <v>16</v>
      </c>
      <c r="Z799" t="s">
        <v>39</v>
      </c>
      <c r="AB799" t="s">
        <v>86</v>
      </c>
      <c r="AC799" t="s">
        <v>87</v>
      </c>
      <c r="AD799" t="s">
        <v>160</v>
      </c>
    </row>
    <row r="800" spans="1:30" x14ac:dyDescent="0.35">
      <c r="A800" s="4">
        <v>42549</v>
      </c>
      <c r="B800" t="s">
        <v>30</v>
      </c>
      <c r="C800">
        <v>701</v>
      </c>
      <c r="D800">
        <v>1</v>
      </c>
      <c r="E800">
        <v>1</v>
      </c>
      <c r="F800" t="s">
        <v>42</v>
      </c>
      <c r="G800" t="s">
        <v>32</v>
      </c>
      <c r="H800" t="s">
        <v>33</v>
      </c>
      <c r="I800" t="s">
        <v>43</v>
      </c>
      <c r="J800" t="s">
        <v>44</v>
      </c>
      <c r="K800" t="s">
        <v>36</v>
      </c>
      <c r="L800" t="s">
        <v>45</v>
      </c>
      <c r="M800">
        <v>0</v>
      </c>
      <c r="N800">
        <v>0</v>
      </c>
      <c r="O800" s="5">
        <v>50395</v>
      </c>
      <c r="P800" s="5">
        <v>50394</v>
      </c>
      <c r="Q800">
        <f>32-12</f>
        <v>20</v>
      </c>
      <c r="R800" t="s">
        <v>46</v>
      </c>
      <c r="S800" t="s">
        <v>39</v>
      </c>
      <c r="T800">
        <v>17</v>
      </c>
      <c r="U800">
        <v>95</v>
      </c>
      <c r="V800">
        <v>14</v>
      </c>
      <c r="Z800" t="s">
        <v>39</v>
      </c>
      <c r="AB800" t="s">
        <v>86</v>
      </c>
      <c r="AC800" t="s">
        <v>87</v>
      </c>
      <c r="AD800" t="s">
        <v>160</v>
      </c>
    </row>
    <row r="801" spans="1:30" x14ac:dyDescent="0.35">
      <c r="A801" s="4">
        <v>42549</v>
      </c>
      <c r="B801" t="s">
        <v>30</v>
      </c>
      <c r="C801">
        <v>701</v>
      </c>
      <c r="D801">
        <v>7</v>
      </c>
      <c r="E801">
        <v>1</v>
      </c>
      <c r="F801" t="s">
        <v>42</v>
      </c>
      <c r="G801" t="s">
        <v>32</v>
      </c>
      <c r="H801" t="s">
        <v>33</v>
      </c>
      <c r="I801" t="s">
        <v>43</v>
      </c>
      <c r="J801" t="s">
        <v>44</v>
      </c>
      <c r="K801" t="s">
        <v>36</v>
      </c>
      <c r="L801" t="s">
        <v>45</v>
      </c>
      <c r="M801">
        <v>0</v>
      </c>
      <c r="N801">
        <v>0</v>
      </c>
      <c r="O801" s="5">
        <v>50395</v>
      </c>
      <c r="P801" s="5">
        <v>50394</v>
      </c>
      <c r="Q801">
        <f>33.5-14</f>
        <v>19.5</v>
      </c>
      <c r="R801" t="s">
        <v>161</v>
      </c>
      <c r="S801" t="s">
        <v>102</v>
      </c>
      <c r="T801">
        <v>19</v>
      </c>
      <c r="U801">
        <v>90.5</v>
      </c>
      <c r="V801">
        <v>16</v>
      </c>
      <c r="Z801" t="s">
        <v>39</v>
      </c>
      <c r="AB801" t="s">
        <v>86</v>
      </c>
      <c r="AC801" t="s">
        <v>87</v>
      </c>
      <c r="AD801" t="s">
        <v>160</v>
      </c>
    </row>
    <row r="802" spans="1:30" x14ac:dyDescent="0.35">
      <c r="A802" s="4">
        <v>42549</v>
      </c>
      <c r="B802" t="s">
        <v>30</v>
      </c>
      <c r="C802">
        <v>503</v>
      </c>
      <c r="D802">
        <v>7</v>
      </c>
      <c r="E802">
        <v>1</v>
      </c>
      <c r="F802" t="s">
        <v>31</v>
      </c>
      <c r="G802" t="s">
        <v>32</v>
      </c>
      <c r="H802" t="s">
        <v>33</v>
      </c>
      <c r="I802" t="s">
        <v>43</v>
      </c>
      <c r="J802" t="s">
        <v>35</v>
      </c>
      <c r="K802" t="s">
        <v>36</v>
      </c>
      <c r="L802" t="s">
        <v>37</v>
      </c>
      <c r="M802">
        <v>0</v>
      </c>
      <c r="N802">
        <v>1</v>
      </c>
      <c r="O802" s="5">
        <v>50436</v>
      </c>
      <c r="P802" s="5">
        <v>50435</v>
      </c>
      <c r="Q802">
        <f>33-14.5</f>
        <v>18.5</v>
      </c>
      <c r="R802" t="s">
        <v>38</v>
      </c>
      <c r="T802">
        <v>20</v>
      </c>
      <c r="V802">
        <v>14</v>
      </c>
      <c r="W802">
        <v>13</v>
      </c>
      <c r="X802">
        <v>29</v>
      </c>
      <c r="Z802" t="s">
        <v>39</v>
      </c>
      <c r="AB802" t="s">
        <v>97</v>
      </c>
      <c r="AC802" t="s">
        <v>87</v>
      </c>
    </row>
    <row r="803" spans="1:30" x14ac:dyDescent="0.35">
      <c r="A803" s="4">
        <v>42549</v>
      </c>
      <c r="B803" t="s">
        <v>30</v>
      </c>
      <c r="C803">
        <v>501</v>
      </c>
      <c r="D803">
        <v>5</v>
      </c>
      <c r="E803">
        <v>2</v>
      </c>
      <c r="F803" t="s">
        <v>31</v>
      </c>
      <c r="G803" t="s">
        <v>32</v>
      </c>
      <c r="H803" t="s">
        <v>33</v>
      </c>
      <c r="I803" t="s">
        <v>43</v>
      </c>
      <c r="J803" t="s">
        <v>35</v>
      </c>
      <c r="K803" t="s">
        <v>88</v>
      </c>
      <c r="L803" t="s">
        <v>45</v>
      </c>
      <c r="M803">
        <v>0</v>
      </c>
      <c r="N803">
        <v>1</v>
      </c>
      <c r="O803" s="5">
        <v>50448</v>
      </c>
      <c r="P803" s="5">
        <v>50447</v>
      </c>
      <c r="Q803">
        <f>28-12</f>
        <v>16</v>
      </c>
      <c r="R803" t="s">
        <v>46</v>
      </c>
      <c r="S803" t="s">
        <v>39</v>
      </c>
      <c r="T803">
        <v>19</v>
      </c>
      <c r="V803">
        <v>13</v>
      </c>
      <c r="W803">
        <v>12.5</v>
      </c>
      <c r="X803">
        <v>27</v>
      </c>
      <c r="Z803" t="s">
        <v>39</v>
      </c>
      <c r="AB803" t="s">
        <v>97</v>
      </c>
      <c r="AC803" t="s">
        <v>87</v>
      </c>
    </row>
    <row r="804" spans="1:30" x14ac:dyDescent="0.35">
      <c r="A804" s="4">
        <v>42549</v>
      </c>
      <c r="B804" t="s">
        <v>30</v>
      </c>
      <c r="C804">
        <v>803</v>
      </c>
      <c r="D804">
        <v>7</v>
      </c>
      <c r="E804">
        <v>1</v>
      </c>
      <c r="F804" t="s">
        <v>42</v>
      </c>
      <c r="G804" t="s">
        <v>32</v>
      </c>
      <c r="H804" t="s">
        <v>33</v>
      </c>
      <c r="I804" t="s">
        <v>43</v>
      </c>
      <c r="J804" t="s">
        <v>44</v>
      </c>
      <c r="K804" t="s">
        <v>36</v>
      </c>
      <c r="L804" t="s">
        <v>37</v>
      </c>
      <c r="M804">
        <v>0</v>
      </c>
      <c r="N804">
        <v>0</v>
      </c>
      <c r="O804" s="5">
        <v>50455</v>
      </c>
      <c r="P804" s="5">
        <v>50454</v>
      </c>
      <c r="Q804">
        <f>35.5-13</f>
        <v>22.5</v>
      </c>
      <c r="R804" t="s">
        <v>38</v>
      </c>
      <c r="S804" t="s">
        <v>39</v>
      </c>
      <c r="T804">
        <v>18.5</v>
      </c>
      <c r="U804">
        <v>89.5</v>
      </c>
      <c r="V804">
        <v>15</v>
      </c>
      <c r="W804">
        <v>13.6</v>
      </c>
      <c r="X804">
        <v>29.4</v>
      </c>
      <c r="Z804" t="s">
        <v>39</v>
      </c>
      <c r="AB804" t="s">
        <v>86</v>
      </c>
      <c r="AC804" t="s">
        <v>87</v>
      </c>
    </row>
    <row r="805" spans="1:30" x14ac:dyDescent="0.35">
      <c r="A805" s="4">
        <v>42549</v>
      </c>
      <c r="B805" t="s">
        <v>30</v>
      </c>
      <c r="C805">
        <v>701</v>
      </c>
      <c r="D805">
        <v>4</v>
      </c>
      <c r="E805">
        <v>2</v>
      </c>
      <c r="F805" t="s">
        <v>42</v>
      </c>
      <c r="G805" t="s">
        <v>32</v>
      </c>
      <c r="H805" t="s">
        <v>33</v>
      </c>
      <c r="I805" t="s">
        <v>43</v>
      </c>
      <c r="J805" t="s">
        <v>44</v>
      </c>
      <c r="K805" t="s">
        <v>36</v>
      </c>
      <c r="L805" t="s">
        <v>45</v>
      </c>
      <c r="M805">
        <v>0</v>
      </c>
      <c r="N805">
        <v>0</v>
      </c>
      <c r="O805" s="5">
        <v>50459</v>
      </c>
      <c r="P805" s="5">
        <v>50458</v>
      </c>
      <c r="Q805">
        <f>33.5-12</f>
        <v>21.5</v>
      </c>
      <c r="R805" t="s">
        <v>74</v>
      </c>
      <c r="S805" t="s">
        <v>102</v>
      </c>
      <c r="T805">
        <v>19.5</v>
      </c>
      <c r="U805">
        <v>81</v>
      </c>
      <c r="V805">
        <v>17</v>
      </c>
      <c r="W805">
        <v>11.5</v>
      </c>
      <c r="X805">
        <v>28.5</v>
      </c>
      <c r="Z805" t="s">
        <v>39</v>
      </c>
      <c r="AB805" t="s">
        <v>97</v>
      </c>
      <c r="AC805" t="s">
        <v>87</v>
      </c>
    </row>
    <row r="806" spans="1:30" x14ac:dyDescent="0.35">
      <c r="A806" s="4">
        <v>42549</v>
      </c>
      <c r="B806" t="s">
        <v>30</v>
      </c>
      <c r="C806">
        <v>703</v>
      </c>
      <c r="D806">
        <v>8</v>
      </c>
      <c r="E806">
        <v>2</v>
      </c>
      <c r="F806" t="s">
        <v>42</v>
      </c>
      <c r="G806" t="s">
        <v>32</v>
      </c>
      <c r="H806" t="s">
        <v>33</v>
      </c>
      <c r="I806" t="s">
        <v>43</v>
      </c>
      <c r="J806" t="s">
        <v>44</v>
      </c>
      <c r="K806" t="s">
        <v>88</v>
      </c>
      <c r="L806" t="s">
        <v>45</v>
      </c>
      <c r="M806">
        <v>0</v>
      </c>
      <c r="N806">
        <v>0</v>
      </c>
      <c r="O806" s="5">
        <v>50466</v>
      </c>
      <c r="P806" s="5">
        <v>50485</v>
      </c>
      <c r="Q806">
        <f>22-12.5</f>
        <v>9.5</v>
      </c>
      <c r="R806" t="s">
        <v>46</v>
      </c>
      <c r="S806" t="s">
        <v>39</v>
      </c>
      <c r="T806">
        <v>18</v>
      </c>
      <c r="U806">
        <v>72.5</v>
      </c>
      <c r="V806">
        <v>10</v>
      </c>
      <c r="W806">
        <v>11.4</v>
      </c>
      <c r="X806">
        <v>23.8</v>
      </c>
      <c r="Z806" t="s">
        <v>39</v>
      </c>
      <c r="AB806" t="s">
        <v>86</v>
      </c>
      <c r="AC806" t="s">
        <v>87</v>
      </c>
    </row>
    <row r="807" spans="1:30" x14ac:dyDescent="0.35">
      <c r="A807" s="4">
        <v>42549</v>
      </c>
      <c r="B807" t="s">
        <v>30</v>
      </c>
      <c r="C807">
        <v>703</v>
      </c>
      <c r="D807">
        <v>1</v>
      </c>
      <c r="E807">
        <v>1</v>
      </c>
      <c r="F807" t="s">
        <v>42</v>
      </c>
      <c r="G807" t="s">
        <v>32</v>
      </c>
      <c r="H807" t="s">
        <v>33</v>
      </c>
      <c r="I807" t="s">
        <v>43</v>
      </c>
      <c r="J807" t="s">
        <v>35</v>
      </c>
      <c r="K807" t="s">
        <v>88</v>
      </c>
      <c r="L807" t="s">
        <v>45</v>
      </c>
      <c r="M807">
        <v>0</v>
      </c>
      <c r="N807">
        <v>1</v>
      </c>
      <c r="O807" s="5">
        <v>50480</v>
      </c>
      <c r="P807" s="5">
        <v>50479</v>
      </c>
      <c r="Q807">
        <f>25-12.5</f>
        <v>12.5</v>
      </c>
      <c r="R807" t="s">
        <v>46</v>
      </c>
      <c r="S807" t="s">
        <v>39</v>
      </c>
      <c r="T807">
        <v>18</v>
      </c>
      <c r="U807">
        <v>75</v>
      </c>
      <c r="V807">
        <v>15</v>
      </c>
      <c r="W807">
        <v>11.6</v>
      </c>
      <c r="X807">
        <v>27</v>
      </c>
      <c r="Z807" t="s">
        <v>39</v>
      </c>
      <c r="AB807" t="s">
        <v>97</v>
      </c>
      <c r="AC807" t="s">
        <v>87</v>
      </c>
    </row>
    <row r="808" spans="1:30" x14ac:dyDescent="0.35">
      <c r="A808" s="4">
        <v>42549</v>
      </c>
      <c r="B808" t="s">
        <v>30</v>
      </c>
      <c r="C808">
        <v>303</v>
      </c>
      <c r="D808">
        <v>6</v>
      </c>
      <c r="E808">
        <v>1</v>
      </c>
      <c r="F808" t="s">
        <v>31</v>
      </c>
      <c r="G808" t="s">
        <v>32</v>
      </c>
      <c r="H808" t="s">
        <v>33</v>
      </c>
      <c r="I808" t="s">
        <v>43</v>
      </c>
      <c r="J808" t="s">
        <v>44</v>
      </c>
      <c r="K808" t="s">
        <v>113</v>
      </c>
      <c r="L808" t="s">
        <v>45</v>
      </c>
      <c r="M808">
        <v>0</v>
      </c>
      <c r="N808">
        <v>0</v>
      </c>
      <c r="O808" s="5">
        <v>50582</v>
      </c>
      <c r="P808" s="5">
        <v>50581</v>
      </c>
      <c r="Q808">
        <f>29-12</f>
        <v>17</v>
      </c>
      <c r="R808" t="s">
        <v>61</v>
      </c>
      <c r="S808" t="s">
        <v>39</v>
      </c>
      <c r="T808">
        <v>20</v>
      </c>
      <c r="V808">
        <v>14</v>
      </c>
      <c r="W808">
        <v>12.6</v>
      </c>
      <c r="X808">
        <v>28.1</v>
      </c>
      <c r="Z808" t="s">
        <v>39</v>
      </c>
      <c r="AB808" t="s">
        <v>86</v>
      </c>
      <c r="AC808" t="s">
        <v>87</v>
      </c>
    </row>
    <row r="809" spans="1:30" x14ac:dyDescent="0.35">
      <c r="A809" s="4">
        <v>42549</v>
      </c>
      <c r="B809" t="s">
        <v>30</v>
      </c>
      <c r="C809">
        <v>401</v>
      </c>
      <c r="D809">
        <v>6</v>
      </c>
      <c r="E809">
        <v>1</v>
      </c>
      <c r="F809" t="s">
        <v>31</v>
      </c>
      <c r="G809" t="s">
        <v>32</v>
      </c>
      <c r="H809" t="s">
        <v>33</v>
      </c>
      <c r="I809" t="s">
        <v>43</v>
      </c>
      <c r="J809" t="s">
        <v>44</v>
      </c>
      <c r="K809" t="s">
        <v>113</v>
      </c>
      <c r="L809" t="s">
        <v>37</v>
      </c>
      <c r="M809">
        <v>0</v>
      </c>
      <c r="N809">
        <v>0</v>
      </c>
      <c r="O809" s="5">
        <v>50590</v>
      </c>
      <c r="P809" s="5">
        <v>50589</v>
      </c>
      <c r="Q809">
        <f>31-13</f>
        <v>18</v>
      </c>
      <c r="R809" t="s">
        <v>38</v>
      </c>
      <c r="T809">
        <v>20</v>
      </c>
      <c r="V809">
        <v>13</v>
      </c>
      <c r="W809">
        <v>12.5</v>
      </c>
      <c r="X809">
        <v>27.1</v>
      </c>
      <c r="Y809" t="s">
        <v>162</v>
      </c>
      <c r="Z809" t="s">
        <v>39</v>
      </c>
      <c r="AB809" t="s">
        <v>86</v>
      </c>
      <c r="AC809" t="s">
        <v>87</v>
      </c>
    </row>
    <row r="810" spans="1:30" x14ac:dyDescent="0.35">
      <c r="A810" s="4">
        <v>42549</v>
      </c>
      <c r="B810" t="s">
        <v>30</v>
      </c>
      <c r="C810">
        <v>703</v>
      </c>
      <c r="D810">
        <v>9</v>
      </c>
      <c r="E810">
        <v>2</v>
      </c>
      <c r="F810" t="s">
        <v>42</v>
      </c>
      <c r="G810" t="s">
        <v>32</v>
      </c>
      <c r="H810" t="s">
        <v>33</v>
      </c>
      <c r="I810" t="s">
        <v>43</v>
      </c>
      <c r="J810" t="s">
        <v>35</v>
      </c>
      <c r="K810" t="s">
        <v>88</v>
      </c>
      <c r="L810" t="s">
        <v>45</v>
      </c>
      <c r="M810">
        <v>0</v>
      </c>
      <c r="N810">
        <v>1</v>
      </c>
      <c r="O810" s="5">
        <v>50610</v>
      </c>
      <c r="P810" s="5">
        <v>50609</v>
      </c>
      <c r="Q810">
        <f>23-12</f>
        <v>11</v>
      </c>
      <c r="R810" t="s">
        <v>46</v>
      </c>
      <c r="S810" t="s">
        <v>39</v>
      </c>
      <c r="T810">
        <v>17.5</v>
      </c>
      <c r="U810">
        <v>68</v>
      </c>
      <c r="V810">
        <v>14</v>
      </c>
      <c r="W810">
        <v>11.7</v>
      </c>
      <c r="X810">
        <v>25.5</v>
      </c>
      <c r="Z810" t="s">
        <v>39</v>
      </c>
      <c r="AB810" t="s">
        <v>86</v>
      </c>
      <c r="AC810" t="s">
        <v>87</v>
      </c>
    </row>
    <row r="811" spans="1:30" x14ac:dyDescent="0.35">
      <c r="A811" s="4">
        <v>42549</v>
      </c>
      <c r="B811" t="s">
        <v>30</v>
      </c>
      <c r="C811">
        <v>703</v>
      </c>
      <c r="D811">
        <v>10</v>
      </c>
      <c r="E811">
        <v>2</v>
      </c>
      <c r="F811" t="s">
        <v>42</v>
      </c>
      <c r="G811" t="s">
        <v>32</v>
      </c>
      <c r="H811" t="s">
        <v>33</v>
      </c>
      <c r="I811" t="s">
        <v>43</v>
      </c>
      <c r="J811" t="s">
        <v>35</v>
      </c>
      <c r="K811" t="s">
        <v>88</v>
      </c>
      <c r="L811" t="s">
        <v>45</v>
      </c>
      <c r="M811">
        <v>0</v>
      </c>
      <c r="N811">
        <v>1</v>
      </c>
      <c r="O811" s="5">
        <v>50612</v>
      </c>
      <c r="P811" s="5">
        <v>50611</v>
      </c>
      <c r="Q811">
        <f>22.5-12</f>
        <v>10.5</v>
      </c>
      <c r="R811" t="s">
        <v>46</v>
      </c>
      <c r="S811" t="s">
        <v>39</v>
      </c>
      <c r="T811">
        <v>19</v>
      </c>
      <c r="U811">
        <v>71</v>
      </c>
      <c r="V811">
        <v>13</v>
      </c>
      <c r="W811">
        <v>11.75</v>
      </c>
      <c r="X811">
        <v>24.2</v>
      </c>
      <c r="Z811" t="s">
        <v>39</v>
      </c>
      <c r="AB811" t="s">
        <v>86</v>
      </c>
      <c r="AC811" t="s">
        <v>87</v>
      </c>
    </row>
    <row r="812" spans="1:30" x14ac:dyDescent="0.35">
      <c r="A812" s="4">
        <v>42549</v>
      </c>
      <c r="B812" t="s">
        <v>30</v>
      </c>
      <c r="C812">
        <v>801</v>
      </c>
      <c r="D812">
        <v>6</v>
      </c>
      <c r="E812">
        <v>1</v>
      </c>
      <c r="F812" t="s">
        <v>42</v>
      </c>
      <c r="G812" t="s">
        <v>32</v>
      </c>
      <c r="H812" t="s">
        <v>33</v>
      </c>
      <c r="I812" t="s">
        <v>43</v>
      </c>
      <c r="J812" t="s">
        <v>35</v>
      </c>
      <c r="K812" t="s">
        <v>88</v>
      </c>
      <c r="L812" t="s">
        <v>45</v>
      </c>
      <c r="M812">
        <v>0</v>
      </c>
      <c r="N812">
        <v>1</v>
      </c>
      <c r="O812" s="5">
        <v>50614</v>
      </c>
      <c r="P812" s="5">
        <v>50613</v>
      </c>
      <c r="Q812">
        <f>26-12</f>
        <v>14</v>
      </c>
      <c r="R812" t="s">
        <v>46</v>
      </c>
      <c r="S812" t="s">
        <v>39</v>
      </c>
      <c r="T812">
        <v>18</v>
      </c>
      <c r="U812">
        <v>81.5</v>
      </c>
      <c r="V812">
        <v>14.5</v>
      </c>
      <c r="W812">
        <v>12.6</v>
      </c>
      <c r="X812">
        <v>28.6</v>
      </c>
      <c r="Z812" t="s">
        <v>39</v>
      </c>
      <c r="AB812" t="s">
        <v>86</v>
      </c>
      <c r="AC812" t="s">
        <v>87</v>
      </c>
    </row>
    <row r="813" spans="1:30" x14ac:dyDescent="0.35">
      <c r="A813" s="4">
        <v>42549</v>
      </c>
      <c r="B813" t="s">
        <v>30</v>
      </c>
      <c r="C813">
        <v>901</v>
      </c>
      <c r="D813">
        <v>6</v>
      </c>
      <c r="E813">
        <v>1</v>
      </c>
      <c r="F813" t="s">
        <v>42</v>
      </c>
      <c r="G813" t="s">
        <v>32</v>
      </c>
      <c r="H813" t="s">
        <v>33</v>
      </c>
      <c r="I813" t="s">
        <v>43</v>
      </c>
      <c r="J813" t="s">
        <v>35</v>
      </c>
      <c r="K813" t="s">
        <v>36</v>
      </c>
      <c r="L813" t="s">
        <v>45</v>
      </c>
      <c r="M813">
        <v>0</v>
      </c>
      <c r="N813">
        <v>1</v>
      </c>
      <c r="O813" s="5">
        <v>50617</v>
      </c>
      <c r="P813" s="5">
        <v>50616</v>
      </c>
      <c r="Q813">
        <f>33.5-13.5</f>
        <v>20</v>
      </c>
      <c r="R813" t="s">
        <v>46</v>
      </c>
      <c r="S813" t="s">
        <v>39</v>
      </c>
      <c r="T813">
        <v>20</v>
      </c>
      <c r="U813">
        <v>92</v>
      </c>
      <c r="V813">
        <v>14.5</v>
      </c>
      <c r="W813">
        <v>13</v>
      </c>
      <c r="X813">
        <v>25.65</v>
      </c>
      <c r="Z813" t="s">
        <v>39</v>
      </c>
      <c r="AB813" t="s">
        <v>86</v>
      </c>
      <c r="AC813" t="s">
        <v>87</v>
      </c>
    </row>
    <row r="814" spans="1:30" x14ac:dyDescent="0.35">
      <c r="A814" s="4">
        <v>42549</v>
      </c>
      <c r="B814" t="s">
        <v>30</v>
      </c>
      <c r="C814">
        <v>703</v>
      </c>
      <c r="D814">
        <v>5</v>
      </c>
      <c r="E814">
        <v>1</v>
      </c>
      <c r="F814" t="s">
        <v>42</v>
      </c>
      <c r="G814" t="s">
        <v>32</v>
      </c>
      <c r="H814" t="s">
        <v>33</v>
      </c>
      <c r="I814" t="s">
        <v>43</v>
      </c>
      <c r="J814" t="s">
        <v>44</v>
      </c>
      <c r="K814" t="s">
        <v>36</v>
      </c>
      <c r="L814" t="s">
        <v>45</v>
      </c>
      <c r="M814">
        <v>0</v>
      </c>
      <c r="N814">
        <v>0</v>
      </c>
      <c r="O814" s="5" t="s">
        <v>70</v>
      </c>
      <c r="P814" s="5" t="s">
        <v>71</v>
      </c>
      <c r="Q814">
        <f>34-12.5</f>
        <v>21.5</v>
      </c>
      <c r="R814" t="s">
        <v>46</v>
      </c>
      <c r="S814" t="s">
        <v>39</v>
      </c>
      <c r="T814">
        <v>19</v>
      </c>
      <c r="U814">
        <v>93</v>
      </c>
      <c r="V814">
        <v>14</v>
      </c>
      <c r="W814">
        <v>12.8</v>
      </c>
      <c r="X814">
        <v>27.4</v>
      </c>
      <c r="Z814" t="s">
        <v>39</v>
      </c>
      <c r="AB814" t="s">
        <v>97</v>
      </c>
      <c r="AC814" t="s">
        <v>87</v>
      </c>
    </row>
    <row r="815" spans="1:30" x14ac:dyDescent="0.35">
      <c r="A815" s="4">
        <v>42549</v>
      </c>
      <c r="B815" t="s">
        <v>30</v>
      </c>
      <c r="C815">
        <v>901</v>
      </c>
      <c r="D815">
        <v>1</v>
      </c>
      <c r="E815">
        <v>1</v>
      </c>
      <c r="F815" t="s">
        <v>42</v>
      </c>
      <c r="G815" t="s">
        <v>32</v>
      </c>
      <c r="H815" t="s">
        <v>33</v>
      </c>
      <c r="I815" t="s">
        <v>43</v>
      </c>
      <c r="J815" t="s">
        <v>44</v>
      </c>
      <c r="K815" t="s">
        <v>36</v>
      </c>
      <c r="L815" t="s">
        <v>45</v>
      </c>
      <c r="M815">
        <v>0</v>
      </c>
      <c r="N815">
        <v>0</v>
      </c>
      <c r="O815" s="5" t="s">
        <v>163</v>
      </c>
      <c r="P815" s="5" t="s">
        <v>164</v>
      </c>
      <c r="Q815">
        <f>34-12</f>
        <v>22</v>
      </c>
      <c r="R815" t="s">
        <v>46</v>
      </c>
      <c r="S815" t="s">
        <v>39</v>
      </c>
      <c r="T815">
        <v>19</v>
      </c>
      <c r="U815">
        <v>87</v>
      </c>
      <c r="V815">
        <v>17.5</v>
      </c>
      <c r="W815">
        <v>12.1</v>
      </c>
      <c r="X815">
        <v>28.7</v>
      </c>
      <c r="Z815" t="s">
        <v>39</v>
      </c>
      <c r="AB815" t="s">
        <v>86</v>
      </c>
      <c r="AC815" t="s">
        <v>87</v>
      </c>
    </row>
    <row r="816" spans="1:30" x14ac:dyDescent="0.35">
      <c r="A816" s="4">
        <v>42549</v>
      </c>
      <c r="B816" t="s">
        <v>30</v>
      </c>
      <c r="C816">
        <v>803</v>
      </c>
      <c r="D816">
        <v>6</v>
      </c>
      <c r="E816">
        <v>1</v>
      </c>
      <c r="F816" t="s">
        <v>42</v>
      </c>
      <c r="G816" t="s">
        <v>32</v>
      </c>
      <c r="H816" t="s">
        <v>33</v>
      </c>
      <c r="I816" t="s">
        <v>34</v>
      </c>
      <c r="J816" t="s">
        <v>44</v>
      </c>
      <c r="K816" t="s">
        <v>36</v>
      </c>
      <c r="L816" t="s">
        <v>37</v>
      </c>
      <c r="M816">
        <v>0</v>
      </c>
      <c r="N816">
        <v>0</v>
      </c>
      <c r="O816" s="5">
        <v>50391</v>
      </c>
      <c r="P816" s="5"/>
      <c r="Q816">
        <v>90</v>
      </c>
      <c r="R816" t="s">
        <v>38</v>
      </c>
      <c r="S816" t="s">
        <v>39</v>
      </c>
      <c r="Z816" t="s">
        <v>39</v>
      </c>
      <c r="AB816" t="s">
        <v>86</v>
      </c>
      <c r="AC816" t="s">
        <v>87</v>
      </c>
    </row>
    <row r="817" spans="1:30" x14ac:dyDescent="0.35">
      <c r="A817" s="4">
        <v>42549</v>
      </c>
      <c r="B817" t="s">
        <v>30</v>
      </c>
      <c r="C817">
        <v>501</v>
      </c>
      <c r="D817">
        <v>1</v>
      </c>
      <c r="E817">
        <v>1</v>
      </c>
      <c r="F817" t="s">
        <v>31</v>
      </c>
      <c r="G817" t="s">
        <v>32</v>
      </c>
      <c r="H817" t="s">
        <v>33</v>
      </c>
      <c r="I817" t="s">
        <v>34</v>
      </c>
      <c r="J817" t="s">
        <v>35</v>
      </c>
      <c r="K817" t="s">
        <v>88</v>
      </c>
      <c r="L817" t="s">
        <v>37</v>
      </c>
      <c r="M817">
        <v>0</v>
      </c>
      <c r="N817">
        <v>1</v>
      </c>
      <c r="O817" s="5">
        <v>50443</v>
      </c>
      <c r="P817" s="5"/>
      <c r="Q817">
        <f>120-49</f>
        <v>71</v>
      </c>
      <c r="R817" t="s">
        <v>64</v>
      </c>
      <c r="Z817" t="s">
        <v>39</v>
      </c>
      <c r="AB817" t="s">
        <v>97</v>
      </c>
      <c r="AC817" t="s">
        <v>87</v>
      </c>
    </row>
    <row r="818" spans="1:30" x14ac:dyDescent="0.35">
      <c r="A818" s="4">
        <v>42549</v>
      </c>
      <c r="B818" t="s">
        <v>30</v>
      </c>
      <c r="C818">
        <v>803</v>
      </c>
      <c r="D818">
        <v>8</v>
      </c>
      <c r="E818">
        <v>2</v>
      </c>
      <c r="F818" t="s">
        <v>42</v>
      </c>
      <c r="G818" t="s">
        <v>32</v>
      </c>
      <c r="H818" t="s">
        <v>33</v>
      </c>
      <c r="I818" t="s">
        <v>34</v>
      </c>
      <c r="J818" t="s">
        <v>44</v>
      </c>
      <c r="K818" t="s">
        <v>36</v>
      </c>
      <c r="L818" t="s">
        <v>37</v>
      </c>
      <c r="M818">
        <v>0</v>
      </c>
      <c r="N818">
        <v>0</v>
      </c>
      <c r="O818" s="5">
        <v>50463</v>
      </c>
      <c r="P818" s="5"/>
      <c r="Q818">
        <f>173-90</f>
        <v>83</v>
      </c>
      <c r="R818" t="s">
        <v>38</v>
      </c>
      <c r="S818" t="s">
        <v>39</v>
      </c>
      <c r="T818">
        <v>33</v>
      </c>
      <c r="W818">
        <v>20.8</v>
      </c>
      <c r="X818">
        <v>45</v>
      </c>
      <c r="Z818" t="s">
        <v>39</v>
      </c>
      <c r="AB818" t="s">
        <v>86</v>
      </c>
      <c r="AC818" t="s">
        <v>87</v>
      </c>
    </row>
    <row r="819" spans="1:30" x14ac:dyDescent="0.35">
      <c r="A819" s="4">
        <v>42549</v>
      </c>
      <c r="B819" t="s">
        <v>30</v>
      </c>
      <c r="C819">
        <v>801</v>
      </c>
      <c r="D819">
        <v>5</v>
      </c>
      <c r="E819">
        <v>1</v>
      </c>
      <c r="F819" t="s">
        <v>42</v>
      </c>
      <c r="G819" t="s">
        <v>32</v>
      </c>
      <c r="H819" t="s">
        <v>33</v>
      </c>
      <c r="I819" t="s">
        <v>34</v>
      </c>
      <c r="J819" t="s">
        <v>35</v>
      </c>
      <c r="K819" t="s">
        <v>88</v>
      </c>
      <c r="L819" t="s">
        <v>45</v>
      </c>
      <c r="M819">
        <v>0</v>
      </c>
      <c r="N819">
        <v>1</v>
      </c>
      <c r="O819" s="5">
        <v>50625</v>
      </c>
      <c r="P819" s="5"/>
      <c r="Q819">
        <f>160-90</f>
        <v>70</v>
      </c>
      <c r="R819" t="s">
        <v>46</v>
      </c>
      <c r="S819" t="s">
        <v>39</v>
      </c>
      <c r="T819">
        <v>32</v>
      </c>
      <c r="W819">
        <v>20</v>
      </c>
      <c r="X819">
        <v>38.5</v>
      </c>
      <c r="Z819" t="s">
        <v>39</v>
      </c>
      <c r="AB819" t="s">
        <v>86</v>
      </c>
      <c r="AC819" t="s">
        <v>87</v>
      </c>
    </row>
    <row r="820" spans="1:30" x14ac:dyDescent="0.35">
      <c r="A820" s="4">
        <v>42549</v>
      </c>
      <c r="B820" t="s">
        <v>30</v>
      </c>
      <c r="C820">
        <v>501</v>
      </c>
      <c r="D820">
        <v>3</v>
      </c>
      <c r="E820">
        <v>1</v>
      </c>
      <c r="F820" t="s">
        <v>31</v>
      </c>
      <c r="G820" t="s">
        <v>32</v>
      </c>
      <c r="H820" t="s">
        <v>33</v>
      </c>
      <c r="I820" t="s">
        <v>34</v>
      </c>
      <c r="J820" t="s">
        <v>44</v>
      </c>
      <c r="K820" t="s">
        <v>36</v>
      </c>
      <c r="L820" t="s">
        <v>45</v>
      </c>
      <c r="M820">
        <v>0</v>
      </c>
      <c r="N820">
        <v>0</v>
      </c>
      <c r="O820" s="5"/>
      <c r="P820" s="5">
        <v>50337</v>
      </c>
      <c r="Q820">
        <f>128-46</f>
        <v>82</v>
      </c>
      <c r="R820" t="s">
        <v>74</v>
      </c>
      <c r="S820" t="s">
        <v>102</v>
      </c>
      <c r="Z820" t="s">
        <v>39</v>
      </c>
      <c r="AB820" t="s">
        <v>97</v>
      </c>
      <c r="AC820" t="s">
        <v>87</v>
      </c>
    </row>
    <row r="821" spans="1:30" x14ac:dyDescent="0.35">
      <c r="A821" s="4">
        <v>42549</v>
      </c>
      <c r="B821" t="s">
        <v>30</v>
      </c>
      <c r="C821">
        <v>701</v>
      </c>
      <c r="D821">
        <v>2</v>
      </c>
      <c r="E821">
        <v>1</v>
      </c>
      <c r="F821" t="s">
        <v>42</v>
      </c>
      <c r="G821" t="s">
        <v>32</v>
      </c>
      <c r="H821" t="s">
        <v>33</v>
      </c>
      <c r="I821" t="s">
        <v>34</v>
      </c>
      <c r="J821" t="s">
        <v>44</v>
      </c>
      <c r="K821" t="s">
        <v>36</v>
      </c>
      <c r="L821" t="s">
        <v>45</v>
      </c>
      <c r="M821">
        <v>0</v>
      </c>
      <c r="N821">
        <v>0</v>
      </c>
      <c r="O821" s="5"/>
      <c r="P821" s="5" t="s">
        <v>93</v>
      </c>
      <c r="Q821">
        <v>90</v>
      </c>
      <c r="R821" t="s">
        <v>46</v>
      </c>
      <c r="S821" t="s">
        <v>39</v>
      </c>
      <c r="T821">
        <v>32</v>
      </c>
      <c r="W821">
        <v>22.2</v>
      </c>
      <c r="X821">
        <v>42.9</v>
      </c>
      <c r="Z821" t="s">
        <v>39</v>
      </c>
      <c r="AB821" t="s">
        <v>86</v>
      </c>
      <c r="AC821" t="s">
        <v>87</v>
      </c>
    </row>
    <row r="822" spans="1:30" x14ac:dyDescent="0.35">
      <c r="A822" s="4">
        <v>42549</v>
      </c>
      <c r="B822" t="s">
        <v>30</v>
      </c>
      <c r="C822">
        <v>801</v>
      </c>
      <c r="D822">
        <v>1</v>
      </c>
      <c r="E822">
        <v>1</v>
      </c>
      <c r="F822" t="s">
        <v>42</v>
      </c>
      <c r="G822" t="s">
        <v>32</v>
      </c>
      <c r="H822" t="s">
        <v>33</v>
      </c>
      <c r="I822" t="s">
        <v>34</v>
      </c>
      <c r="J822" t="s">
        <v>44</v>
      </c>
      <c r="K822" t="s">
        <v>36</v>
      </c>
      <c r="L822" t="s">
        <v>37</v>
      </c>
      <c r="M822">
        <v>0</v>
      </c>
      <c r="N822">
        <v>0</v>
      </c>
      <c r="O822" s="5"/>
      <c r="P822" s="5">
        <v>50392</v>
      </c>
      <c r="Q822">
        <v>107</v>
      </c>
      <c r="R822" t="s">
        <v>38</v>
      </c>
      <c r="S822" t="s">
        <v>39</v>
      </c>
      <c r="T822">
        <v>34</v>
      </c>
      <c r="W822">
        <v>22.3</v>
      </c>
      <c r="X822">
        <v>48</v>
      </c>
      <c r="Z822" t="s">
        <v>39</v>
      </c>
      <c r="AB822" t="s">
        <v>86</v>
      </c>
      <c r="AC822" t="s">
        <v>87</v>
      </c>
    </row>
    <row r="823" spans="1:30" x14ac:dyDescent="0.35">
      <c r="A823" s="4">
        <v>42549</v>
      </c>
      <c r="B823" t="s">
        <v>30</v>
      </c>
      <c r="C823">
        <v>901</v>
      </c>
      <c r="D823">
        <v>9</v>
      </c>
      <c r="E823">
        <v>1</v>
      </c>
      <c r="F823" t="s">
        <v>42</v>
      </c>
      <c r="G823" t="s">
        <v>32</v>
      </c>
      <c r="H823" t="s">
        <v>33</v>
      </c>
      <c r="I823" t="s">
        <v>128</v>
      </c>
      <c r="J823" t="s">
        <v>35</v>
      </c>
      <c r="K823" t="s">
        <v>36</v>
      </c>
      <c r="L823" t="s">
        <v>45</v>
      </c>
      <c r="M823">
        <v>0</v>
      </c>
      <c r="N823">
        <v>1</v>
      </c>
      <c r="O823" s="5">
        <v>50624</v>
      </c>
      <c r="P823" s="5"/>
      <c r="Q823">
        <f>185-90</f>
        <v>95</v>
      </c>
      <c r="R823" t="s">
        <v>46</v>
      </c>
      <c r="S823" t="s">
        <v>39</v>
      </c>
      <c r="T823">
        <v>32</v>
      </c>
      <c r="W823">
        <v>23.1</v>
      </c>
      <c r="X823">
        <v>36.700000000000003</v>
      </c>
      <c r="Z823" t="s">
        <v>39</v>
      </c>
      <c r="AB823" t="s">
        <v>86</v>
      </c>
      <c r="AC823" t="s">
        <v>87</v>
      </c>
    </row>
    <row r="824" spans="1:30" x14ac:dyDescent="0.35">
      <c r="A824" s="4">
        <v>42549</v>
      </c>
      <c r="B824" t="s">
        <v>30</v>
      </c>
      <c r="C824">
        <v>701</v>
      </c>
      <c r="D824">
        <v>4</v>
      </c>
      <c r="E824">
        <v>1</v>
      </c>
      <c r="F824" t="s">
        <v>42</v>
      </c>
      <c r="G824" t="s">
        <v>32</v>
      </c>
      <c r="H824" t="s">
        <v>33</v>
      </c>
      <c r="I824" t="s">
        <v>165</v>
      </c>
      <c r="O824" s="5"/>
      <c r="P824" s="5"/>
      <c r="Z824" t="s">
        <v>39</v>
      </c>
      <c r="AD824" t="s">
        <v>166</v>
      </c>
    </row>
    <row r="825" spans="1:30" x14ac:dyDescent="0.35">
      <c r="A825" s="4">
        <v>42549</v>
      </c>
      <c r="B825" t="s">
        <v>30</v>
      </c>
      <c r="C825">
        <v>303</v>
      </c>
      <c r="D825">
        <v>9</v>
      </c>
      <c r="E825">
        <v>1</v>
      </c>
      <c r="F825" t="s">
        <v>31</v>
      </c>
      <c r="G825" t="s">
        <v>32</v>
      </c>
      <c r="H825" t="s">
        <v>33</v>
      </c>
      <c r="I825" t="s">
        <v>58</v>
      </c>
      <c r="J825" t="s">
        <v>35</v>
      </c>
      <c r="K825" t="s">
        <v>36</v>
      </c>
      <c r="L825" t="s">
        <v>37</v>
      </c>
      <c r="M825">
        <v>0</v>
      </c>
      <c r="N825">
        <v>1</v>
      </c>
      <c r="O825" s="5">
        <v>50444</v>
      </c>
      <c r="P825" s="5"/>
      <c r="Q825">
        <f>32.5-11.5</f>
        <v>21</v>
      </c>
      <c r="R825" t="s">
        <v>38</v>
      </c>
      <c r="T825">
        <v>18</v>
      </c>
      <c r="W825">
        <v>12.6</v>
      </c>
      <c r="X825">
        <v>28</v>
      </c>
      <c r="Z825" t="s">
        <v>39</v>
      </c>
      <c r="AB825" t="s">
        <v>86</v>
      </c>
      <c r="AC825" t="s">
        <v>87</v>
      </c>
    </row>
    <row r="826" spans="1:30" x14ac:dyDescent="0.35">
      <c r="A826" s="4">
        <v>42549</v>
      </c>
      <c r="B826" t="s">
        <v>30</v>
      </c>
      <c r="C826">
        <v>701</v>
      </c>
      <c r="D826">
        <v>1</v>
      </c>
      <c r="E826">
        <v>2</v>
      </c>
      <c r="F826" t="s">
        <v>42</v>
      </c>
      <c r="G826" t="s">
        <v>32</v>
      </c>
      <c r="H826" t="s">
        <v>33</v>
      </c>
      <c r="I826" t="s">
        <v>58</v>
      </c>
      <c r="J826" t="s">
        <v>44</v>
      </c>
      <c r="K826" t="s">
        <v>112</v>
      </c>
      <c r="L826" t="s">
        <v>37</v>
      </c>
      <c r="M826">
        <v>0</v>
      </c>
      <c r="N826">
        <v>0</v>
      </c>
      <c r="O826" s="5">
        <v>50452</v>
      </c>
      <c r="P826" s="5"/>
      <c r="Q826">
        <f>30-12</f>
        <v>18</v>
      </c>
      <c r="R826" t="s">
        <v>64</v>
      </c>
      <c r="S826" t="s">
        <v>39</v>
      </c>
      <c r="T826">
        <v>18</v>
      </c>
      <c r="W826">
        <v>12.8</v>
      </c>
      <c r="X826">
        <v>25.6</v>
      </c>
      <c r="Z826" t="s">
        <v>39</v>
      </c>
      <c r="AB826" t="s">
        <v>86</v>
      </c>
      <c r="AC826" t="s">
        <v>87</v>
      </c>
    </row>
    <row r="827" spans="1:30" x14ac:dyDescent="0.35">
      <c r="A827" s="4">
        <v>42549</v>
      </c>
      <c r="B827" t="s">
        <v>30</v>
      </c>
      <c r="C827">
        <v>703</v>
      </c>
      <c r="D827">
        <v>1</v>
      </c>
      <c r="E827">
        <v>2</v>
      </c>
      <c r="F827" t="s">
        <v>42</v>
      </c>
      <c r="G827" t="s">
        <v>32</v>
      </c>
      <c r="H827" t="s">
        <v>33</v>
      </c>
      <c r="I827" t="s">
        <v>65</v>
      </c>
      <c r="J827" t="s">
        <v>167</v>
      </c>
      <c r="K827" t="s">
        <v>36</v>
      </c>
      <c r="L827" t="s">
        <v>45</v>
      </c>
      <c r="M827">
        <v>0</v>
      </c>
      <c r="N827">
        <v>0</v>
      </c>
      <c r="O827" s="5">
        <v>50390</v>
      </c>
      <c r="P827" s="5"/>
      <c r="Q827">
        <f>250-90</f>
        <v>160</v>
      </c>
      <c r="R827" t="s">
        <v>74</v>
      </c>
      <c r="S827" t="s">
        <v>102</v>
      </c>
      <c r="T827">
        <v>40</v>
      </c>
      <c r="W827">
        <v>26.4</v>
      </c>
      <c r="X827">
        <v>49.8</v>
      </c>
      <c r="Z827" t="s">
        <v>39</v>
      </c>
      <c r="AB827" t="s">
        <v>86</v>
      </c>
      <c r="AC827" t="s">
        <v>87</v>
      </c>
    </row>
    <row r="828" spans="1:30" x14ac:dyDescent="0.35">
      <c r="A828" s="4">
        <v>42549</v>
      </c>
      <c r="B828" t="s">
        <v>30</v>
      </c>
      <c r="C828">
        <v>703</v>
      </c>
      <c r="D828">
        <v>7</v>
      </c>
      <c r="E828">
        <v>1</v>
      </c>
      <c r="F828" t="s">
        <v>42</v>
      </c>
      <c r="G828" t="s">
        <v>32</v>
      </c>
      <c r="H828" t="s">
        <v>33</v>
      </c>
      <c r="I828" t="s">
        <v>55</v>
      </c>
      <c r="J828" t="s">
        <v>66</v>
      </c>
      <c r="O828" s="5"/>
      <c r="P828" s="5"/>
      <c r="Z828" t="s">
        <v>39</v>
      </c>
    </row>
    <row r="829" spans="1:30" x14ac:dyDescent="0.35">
      <c r="A829" s="4">
        <v>42549</v>
      </c>
      <c r="B829" t="s">
        <v>30</v>
      </c>
      <c r="C829">
        <v>801</v>
      </c>
      <c r="D829">
        <v>1</v>
      </c>
      <c r="E829">
        <v>2</v>
      </c>
      <c r="F829" t="s">
        <v>42</v>
      </c>
      <c r="G829" t="s">
        <v>32</v>
      </c>
      <c r="H829" t="s">
        <v>33</v>
      </c>
      <c r="I829" t="s">
        <v>55</v>
      </c>
      <c r="J829" t="s">
        <v>66</v>
      </c>
      <c r="O829" s="5"/>
      <c r="P829" s="5"/>
      <c r="Z829" t="s">
        <v>39</v>
      </c>
    </row>
    <row r="830" spans="1:30" x14ac:dyDescent="0.35">
      <c r="A830" s="4">
        <v>42549</v>
      </c>
      <c r="B830" t="s">
        <v>30</v>
      </c>
      <c r="C830">
        <v>801</v>
      </c>
      <c r="D830">
        <v>2</v>
      </c>
      <c r="E830">
        <v>2</v>
      </c>
      <c r="F830" t="s">
        <v>42</v>
      </c>
      <c r="G830" t="s">
        <v>32</v>
      </c>
      <c r="H830" t="s">
        <v>33</v>
      </c>
      <c r="I830" t="s">
        <v>55</v>
      </c>
      <c r="J830" t="s">
        <v>123</v>
      </c>
      <c r="O830" s="5"/>
      <c r="P830" s="5"/>
      <c r="Z830" t="s">
        <v>39</v>
      </c>
    </row>
    <row r="831" spans="1:30" x14ac:dyDescent="0.35">
      <c r="A831" s="4">
        <v>42549</v>
      </c>
      <c r="B831" t="s">
        <v>30</v>
      </c>
      <c r="C831">
        <v>801</v>
      </c>
      <c r="D831">
        <v>9</v>
      </c>
      <c r="E831">
        <v>1</v>
      </c>
      <c r="F831" t="s">
        <v>42</v>
      </c>
      <c r="G831" t="s">
        <v>32</v>
      </c>
      <c r="H831" t="s">
        <v>33</v>
      </c>
      <c r="I831" t="s">
        <v>55</v>
      </c>
      <c r="J831" t="s">
        <v>66</v>
      </c>
      <c r="O831" s="5"/>
      <c r="P831" s="5"/>
      <c r="Z831" t="s">
        <v>39</v>
      </c>
    </row>
    <row r="832" spans="1:30" x14ac:dyDescent="0.35">
      <c r="A832" s="4">
        <v>42549</v>
      </c>
      <c r="B832" t="s">
        <v>30</v>
      </c>
      <c r="C832">
        <v>501</v>
      </c>
      <c r="D832">
        <v>7</v>
      </c>
      <c r="E832">
        <v>1</v>
      </c>
      <c r="F832" t="s">
        <v>31</v>
      </c>
      <c r="G832" t="s">
        <v>32</v>
      </c>
      <c r="H832" t="s">
        <v>33</v>
      </c>
      <c r="I832" t="s">
        <v>59</v>
      </c>
      <c r="O832" s="5"/>
      <c r="P832" s="5"/>
      <c r="Z832" t="s">
        <v>39</v>
      </c>
    </row>
    <row r="833" spans="1:26" x14ac:dyDescent="0.35">
      <c r="A833" s="4">
        <v>42549</v>
      </c>
      <c r="B833" t="s">
        <v>30</v>
      </c>
      <c r="C833">
        <v>501</v>
      </c>
      <c r="D833">
        <v>7</v>
      </c>
      <c r="E833">
        <v>2</v>
      </c>
      <c r="F833" t="s">
        <v>31</v>
      </c>
      <c r="G833" t="s">
        <v>32</v>
      </c>
      <c r="H833" t="s">
        <v>33</v>
      </c>
      <c r="I833" t="s">
        <v>59</v>
      </c>
      <c r="O833" s="5"/>
      <c r="P833" s="5"/>
      <c r="Z833" t="s">
        <v>39</v>
      </c>
    </row>
    <row r="834" spans="1:26" x14ac:dyDescent="0.35">
      <c r="A834" s="4">
        <v>42549</v>
      </c>
      <c r="B834" t="s">
        <v>30</v>
      </c>
      <c r="C834">
        <v>503</v>
      </c>
      <c r="D834">
        <v>2</v>
      </c>
      <c r="E834">
        <v>1</v>
      </c>
      <c r="F834" t="s">
        <v>31</v>
      </c>
      <c r="G834" t="s">
        <v>32</v>
      </c>
      <c r="H834" t="s">
        <v>33</v>
      </c>
      <c r="I834" t="s">
        <v>59</v>
      </c>
      <c r="O834" s="5"/>
      <c r="P834" s="5"/>
      <c r="Z834" t="s">
        <v>39</v>
      </c>
    </row>
    <row r="835" spans="1:26" x14ac:dyDescent="0.35">
      <c r="A835" s="4">
        <v>42549</v>
      </c>
      <c r="B835" t="s">
        <v>30</v>
      </c>
      <c r="C835">
        <v>503</v>
      </c>
      <c r="D835">
        <v>10</v>
      </c>
      <c r="E835">
        <v>1</v>
      </c>
      <c r="F835" t="s">
        <v>31</v>
      </c>
      <c r="G835" t="s">
        <v>32</v>
      </c>
      <c r="H835" t="s">
        <v>33</v>
      </c>
      <c r="I835" t="s">
        <v>59</v>
      </c>
      <c r="O835" s="5"/>
      <c r="P835" s="5"/>
      <c r="Z835" t="s">
        <v>39</v>
      </c>
    </row>
    <row r="836" spans="1:26" x14ac:dyDescent="0.35">
      <c r="A836" s="4">
        <v>42549</v>
      </c>
      <c r="B836" t="s">
        <v>30</v>
      </c>
      <c r="C836">
        <v>303</v>
      </c>
      <c r="D836">
        <v>1</v>
      </c>
      <c r="E836">
        <v>1</v>
      </c>
      <c r="F836" t="s">
        <v>31</v>
      </c>
      <c r="G836" t="s">
        <v>32</v>
      </c>
      <c r="H836" t="s">
        <v>33</v>
      </c>
      <c r="I836" t="s">
        <v>59</v>
      </c>
      <c r="O836" s="5"/>
      <c r="P836" s="5"/>
      <c r="Z836" t="s">
        <v>39</v>
      </c>
    </row>
    <row r="837" spans="1:26" x14ac:dyDescent="0.35">
      <c r="A837" s="4">
        <v>42549</v>
      </c>
      <c r="B837" t="s">
        <v>30</v>
      </c>
      <c r="C837">
        <v>303</v>
      </c>
      <c r="D837">
        <v>2</v>
      </c>
      <c r="E837">
        <v>1</v>
      </c>
      <c r="F837" t="s">
        <v>31</v>
      </c>
      <c r="G837" t="s">
        <v>32</v>
      </c>
      <c r="H837" t="s">
        <v>33</v>
      </c>
      <c r="I837" t="s">
        <v>59</v>
      </c>
      <c r="O837" s="5"/>
      <c r="P837" s="5"/>
      <c r="Z837" t="s">
        <v>39</v>
      </c>
    </row>
    <row r="838" spans="1:26" x14ac:dyDescent="0.35">
      <c r="A838" s="4">
        <v>42549</v>
      </c>
      <c r="B838" t="s">
        <v>30</v>
      </c>
      <c r="C838">
        <v>303</v>
      </c>
      <c r="D838">
        <v>2</v>
      </c>
      <c r="E838">
        <v>2</v>
      </c>
      <c r="F838" t="s">
        <v>31</v>
      </c>
      <c r="G838" t="s">
        <v>32</v>
      </c>
      <c r="H838" t="s">
        <v>33</v>
      </c>
      <c r="I838" t="s">
        <v>59</v>
      </c>
      <c r="O838" s="5"/>
      <c r="P838" s="5"/>
      <c r="Z838" t="s">
        <v>39</v>
      </c>
    </row>
    <row r="839" spans="1:26" x14ac:dyDescent="0.35">
      <c r="A839" s="4">
        <v>42549</v>
      </c>
      <c r="B839" t="s">
        <v>30</v>
      </c>
      <c r="C839">
        <v>303</v>
      </c>
      <c r="D839">
        <v>7</v>
      </c>
      <c r="E839">
        <v>1</v>
      </c>
      <c r="F839" t="s">
        <v>31</v>
      </c>
      <c r="G839" t="s">
        <v>32</v>
      </c>
      <c r="H839" t="s">
        <v>33</v>
      </c>
      <c r="I839" t="s">
        <v>59</v>
      </c>
      <c r="O839" s="5"/>
      <c r="P839" s="5"/>
      <c r="Z839" t="s">
        <v>39</v>
      </c>
    </row>
    <row r="840" spans="1:26" x14ac:dyDescent="0.35">
      <c r="A840" s="4">
        <v>42549</v>
      </c>
      <c r="B840" t="s">
        <v>30</v>
      </c>
      <c r="C840">
        <v>703</v>
      </c>
      <c r="D840">
        <v>2</v>
      </c>
      <c r="E840">
        <v>1</v>
      </c>
      <c r="F840" t="s">
        <v>42</v>
      </c>
      <c r="G840" t="s">
        <v>32</v>
      </c>
      <c r="H840" t="s">
        <v>33</v>
      </c>
      <c r="I840" t="s">
        <v>59</v>
      </c>
      <c r="O840" s="5"/>
      <c r="P840" s="5"/>
      <c r="Z840" t="s">
        <v>39</v>
      </c>
    </row>
    <row r="841" spans="1:26" x14ac:dyDescent="0.35">
      <c r="A841" s="4">
        <v>42549</v>
      </c>
      <c r="B841" t="s">
        <v>30</v>
      </c>
      <c r="C841">
        <v>703</v>
      </c>
      <c r="D841">
        <v>8</v>
      </c>
      <c r="E841">
        <v>1</v>
      </c>
      <c r="F841" t="s">
        <v>42</v>
      </c>
      <c r="G841" t="s">
        <v>32</v>
      </c>
      <c r="H841" t="s">
        <v>33</v>
      </c>
      <c r="I841" t="s">
        <v>59</v>
      </c>
      <c r="O841" s="5"/>
      <c r="P841" s="5"/>
      <c r="Z841" t="s">
        <v>39</v>
      </c>
    </row>
    <row r="842" spans="1:26" x14ac:dyDescent="0.35">
      <c r="A842" s="4">
        <v>42549</v>
      </c>
      <c r="B842" t="s">
        <v>30</v>
      </c>
      <c r="C842">
        <v>703</v>
      </c>
      <c r="D842">
        <v>9</v>
      </c>
      <c r="E842">
        <v>1</v>
      </c>
      <c r="F842" t="s">
        <v>42</v>
      </c>
      <c r="G842" t="s">
        <v>32</v>
      </c>
      <c r="H842" t="s">
        <v>33</v>
      </c>
      <c r="I842" t="s">
        <v>59</v>
      </c>
      <c r="O842" s="5"/>
      <c r="P842" s="5"/>
      <c r="Z842" t="s">
        <v>39</v>
      </c>
    </row>
    <row r="843" spans="1:26" x14ac:dyDescent="0.35">
      <c r="A843" s="4">
        <v>42549</v>
      </c>
      <c r="B843" t="s">
        <v>30</v>
      </c>
      <c r="C843">
        <v>703</v>
      </c>
      <c r="D843">
        <v>10</v>
      </c>
      <c r="E843">
        <v>1</v>
      </c>
      <c r="F843" t="s">
        <v>42</v>
      </c>
      <c r="G843" t="s">
        <v>32</v>
      </c>
      <c r="H843" t="s">
        <v>33</v>
      </c>
      <c r="I843" t="s">
        <v>59</v>
      </c>
      <c r="O843" s="5"/>
      <c r="P843" s="5"/>
      <c r="Z843" t="s">
        <v>39</v>
      </c>
    </row>
    <row r="844" spans="1:26" x14ac:dyDescent="0.35">
      <c r="A844" s="4">
        <v>42549</v>
      </c>
      <c r="B844" t="s">
        <v>30</v>
      </c>
      <c r="C844">
        <v>701</v>
      </c>
      <c r="D844">
        <v>6</v>
      </c>
      <c r="E844">
        <v>1</v>
      </c>
      <c r="F844" t="s">
        <v>42</v>
      </c>
      <c r="G844" t="s">
        <v>32</v>
      </c>
      <c r="H844" t="s">
        <v>33</v>
      </c>
      <c r="I844" t="s">
        <v>59</v>
      </c>
      <c r="O844" s="5"/>
      <c r="P844" s="5"/>
      <c r="Z844" t="s">
        <v>39</v>
      </c>
    </row>
    <row r="845" spans="1:26" x14ac:dyDescent="0.35">
      <c r="A845" s="4">
        <v>42549</v>
      </c>
      <c r="B845" t="s">
        <v>30</v>
      </c>
      <c r="C845">
        <v>701</v>
      </c>
      <c r="D845">
        <v>8</v>
      </c>
      <c r="E845">
        <v>1</v>
      </c>
      <c r="F845" t="s">
        <v>42</v>
      </c>
      <c r="G845" t="s">
        <v>32</v>
      </c>
      <c r="H845" t="s">
        <v>33</v>
      </c>
      <c r="I845" t="s">
        <v>59</v>
      </c>
      <c r="O845" s="5"/>
      <c r="P845" s="5"/>
      <c r="Z845" t="s">
        <v>39</v>
      </c>
    </row>
    <row r="846" spans="1:26" x14ac:dyDescent="0.35">
      <c r="A846" s="4">
        <v>42549</v>
      </c>
      <c r="B846" t="s">
        <v>30</v>
      </c>
      <c r="C846">
        <v>801</v>
      </c>
      <c r="D846">
        <v>2</v>
      </c>
      <c r="E846">
        <v>1</v>
      </c>
      <c r="F846" t="s">
        <v>42</v>
      </c>
      <c r="G846" t="s">
        <v>32</v>
      </c>
      <c r="H846" t="s">
        <v>33</v>
      </c>
      <c r="I846" t="s">
        <v>59</v>
      </c>
      <c r="O846" s="5"/>
      <c r="P846" s="5"/>
      <c r="Z846" t="s">
        <v>39</v>
      </c>
    </row>
    <row r="847" spans="1:26" x14ac:dyDescent="0.35">
      <c r="A847" s="4">
        <v>42549</v>
      </c>
      <c r="B847" t="s">
        <v>30</v>
      </c>
      <c r="C847">
        <v>801</v>
      </c>
      <c r="D847">
        <v>7</v>
      </c>
      <c r="E847">
        <v>1</v>
      </c>
      <c r="F847" t="s">
        <v>42</v>
      </c>
      <c r="G847" t="s">
        <v>32</v>
      </c>
      <c r="H847" t="s">
        <v>33</v>
      </c>
      <c r="I847" t="s">
        <v>59</v>
      </c>
      <c r="O847" s="5"/>
      <c r="P847" s="5"/>
      <c r="Z847" t="s">
        <v>39</v>
      </c>
    </row>
    <row r="848" spans="1:26" x14ac:dyDescent="0.35">
      <c r="A848" s="4">
        <v>42549</v>
      </c>
      <c r="B848" t="s">
        <v>30</v>
      </c>
      <c r="C848">
        <v>803</v>
      </c>
      <c r="D848">
        <v>8</v>
      </c>
      <c r="E848">
        <v>1</v>
      </c>
      <c r="F848" t="s">
        <v>42</v>
      </c>
      <c r="G848" t="s">
        <v>32</v>
      </c>
      <c r="H848" t="s">
        <v>33</v>
      </c>
      <c r="I848" t="s">
        <v>59</v>
      </c>
      <c r="O848" s="5"/>
      <c r="P848" s="5"/>
      <c r="Z848" t="s">
        <v>39</v>
      </c>
    </row>
    <row r="849" spans="1:30" x14ac:dyDescent="0.35">
      <c r="A849" s="4">
        <v>42549</v>
      </c>
      <c r="B849" t="s">
        <v>30</v>
      </c>
      <c r="C849">
        <v>901</v>
      </c>
      <c r="D849">
        <v>5</v>
      </c>
      <c r="E849">
        <v>1</v>
      </c>
      <c r="F849" t="s">
        <v>42</v>
      </c>
      <c r="G849" t="s">
        <v>32</v>
      </c>
      <c r="H849" t="s">
        <v>33</v>
      </c>
      <c r="I849" t="s">
        <v>59</v>
      </c>
      <c r="O849" s="5"/>
      <c r="P849" s="5"/>
      <c r="Z849" t="s">
        <v>39</v>
      </c>
    </row>
    <row r="850" spans="1:30" x14ac:dyDescent="0.35">
      <c r="A850" s="4">
        <v>42549</v>
      </c>
      <c r="B850" t="s">
        <v>30</v>
      </c>
      <c r="C850">
        <v>401</v>
      </c>
      <c r="D850">
        <v>3</v>
      </c>
      <c r="E850">
        <v>1</v>
      </c>
      <c r="F850" t="s">
        <v>31</v>
      </c>
      <c r="G850" t="s">
        <v>32</v>
      </c>
      <c r="H850" t="s">
        <v>33</v>
      </c>
      <c r="I850" t="s">
        <v>105</v>
      </c>
      <c r="O850" s="5"/>
      <c r="P850" s="5"/>
      <c r="Z850" t="s">
        <v>39</v>
      </c>
    </row>
    <row r="851" spans="1:30" x14ac:dyDescent="0.35">
      <c r="A851" s="4">
        <v>42549</v>
      </c>
      <c r="B851" t="s">
        <v>30</v>
      </c>
      <c r="C851">
        <v>703</v>
      </c>
      <c r="D851">
        <v>2</v>
      </c>
      <c r="E851">
        <v>2</v>
      </c>
      <c r="F851" t="s">
        <v>42</v>
      </c>
      <c r="G851" t="s">
        <v>32</v>
      </c>
      <c r="H851" t="s">
        <v>33</v>
      </c>
      <c r="I851" t="s">
        <v>94</v>
      </c>
      <c r="J851" t="s">
        <v>35</v>
      </c>
      <c r="K851" t="s">
        <v>36</v>
      </c>
      <c r="L851" t="s">
        <v>45</v>
      </c>
      <c r="M851">
        <v>0</v>
      </c>
      <c r="N851">
        <v>1</v>
      </c>
      <c r="O851" s="5">
        <v>50489</v>
      </c>
      <c r="P851" s="5"/>
      <c r="Q851">
        <f>39-12.5</f>
        <v>26.5</v>
      </c>
      <c r="R851" t="s">
        <v>74</v>
      </c>
      <c r="S851" t="s">
        <v>102</v>
      </c>
      <c r="T851">
        <v>29</v>
      </c>
      <c r="W851">
        <v>12.8</v>
      </c>
      <c r="X851">
        <v>27.5</v>
      </c>
      <c r="Z851" t="s">
        <v>39</v>
      </c>
      <c r="AB851" t="s">
        <v>97</v>
      </c>
      <c r="AC851" t="s">
        <v>87</v>
      </c>
    </row>
    <row r="852" spans="1:30" x14ac:dyDescent="0.35">
      <c r="A852" s="4">
        <v>42549</v>
      </c>
      <c r="B852" t="s">
        <v>30</v>
      </c>
      <c r="C852">
        <v>803</v>
      </c>
      <c r="D852">
        <v>3</v>
      </c>
      <c r="E852">
        <v>1</v>
      </c>
      <c r="F852" t="s">
        <v>42</v>
      </c>
      <c r="G852" t="s">
        <v>32</v>
      </c>
      <c r="H852" t="s">
        <v>33</v>
      </c>
      <c r="I852" t="s">
        <v>94</v>
      </c>
      <c r="J852" t="s">
        <v>35</v>
      </c>
      <c r="K852" t="s">
        <v>36</v>
      </c>
      <c r="L852" t="s">
        <v>45</v>
      </c>
      <c r="M852">
        <v>1</v>
      </c>
      <c r="N852">
        <v>0</v>
      </c>
      <c r="O852" s="5" t="s">
        <v>168</v>
      </c>
      <c r="P852" s="5">
        <v>50615</v>
      </c>
      <c r="Q852">
        <f>39-12</f>
        <v>27</v>
      </c>
      <c r="R852" t="s">
        <v>74</v>
      </c>
      <c r="S852" t="s">
        <v>102</v>
      </c>
      <c r="T852">
        <v>26</v>
      </c>
      <c r="W852">
        <v>12.65</v>
      </c>
      <c r="X852">
        <v>28.5</v>
      </c>
      <c r="Z852" t="s">
        <v>39</v>
      </c>
      <c r="AB852" t="s">
        <v>86</v>
      </c>
      <c r="AC852" t="s">
        <v>87</v>
      </c>
    </row>
    <row r="853" spans="1:30" x14ac:dyDescent="0.35">
      <c r="A853" s="4">
        <v>42549</v>
      </c>
      <c r="B853" t="s">
        <v>30</v>
      </c>
      <c r="C853">
        <v>503</v>
      </c>
      <c r="D853">
        <v>2</v>
      </c>
      <c r="E853">
        <v>2</v>
      </c>
      <c r="F853" t="s">
        <v>31</v>
      </c>
      <c r="G853" t="s">
        <v>32</v>
      </c>
      <c r="H853" t="s">
        <v>33</v>
      </c>
      <c r="I853" t="s">
        <v>94</v>
      </c>
      <c r="J853" t="s">
        <v>122</v>
      </c>
      <c r="O853" s="5"/>
      <c r="P853" s="5"/>
      <c r="Z853" t="s">
        <v>39</v>
      </c>
    </row>
    <row r="854" spans="1:30" x14ac:dyDescent="0.35">
      <c r="A854" s="4">
        <v>42549</v>
      </c>
      <c r="B854" t="s">
        <v>30</v>
      </c>
      <c r="C854">
        <v>701</v>
      </c>
      <c r="D854">
        <v>3</v>
      </c>
      <c r="E854">
        <v>1</v>
      </c>
      <c r="F854" t="s">
        <v>42</v>
      </c>
      <c r="G854" t="s">
        <v>32</v>
      </c>
      <c r="H854" t="s">
        <v>33</v>
      </c>
      <c r="I854" t="s">
        <v>94</v>
      </c>
      <c r="J854" t="s">
        <v>48</v>
      </c>
      <c r="K854" t="s">
        <v>36</v>
      </c>
      <c r="L854" t="s">
        <v>45</v>
      </c>
      <c r="M854">
        <v>0</v>
      </c>
      <c r="N854">
        <v>0</v>
      </c>
      <c r="O854" s="5"/>
      <c r="P854" s="5">
        <v>50481</v>
      </c>
      <c r="Q854">
        <f>36.5-11.5</f>
        <v>25</v>
      </c>
      <c r="R854" t="s">
        <v>74</v>
      </c>
      <c r="S854" t="s">
        <v>102</v>
      </c>
      <c r="T854">
        <v>27</v>
      </c>
      <c r="Z854" t="s">
        <v>39</v>
      </c>
      <c r="AB854" t="s">
        <v>86</v>
      </c>
      <c r="AC854" t="s">
        <v>87</v>
      </c>
      <c r="AD854" t="s">
        <v>160</v>
      </c>
    </row>
    <row r="855" spans="1:30" x14ac:dyDescent="0.35">
      <c r="A855" s="4">
        <v>42550</v>
      </c>
      <c r="B855" t="s">
        <v>30</v>
      </c>
      <c r="C855">
        <v>501</v>
      </c>
      <c r="D855">
        <v>6</v>
      </c>
      <c r="E855">
        <v>1</v>
      </c>
      <c r="F855" t="s">
        <v>31</v>
      </c>
      <c r="G855" t="s">
        <v>32</v>
      </c>
      <c r="H855" t="s">
        <v>33</v>
      </c>
      <c r="I855" t="s">
        <v>43</v>
      </c>
      <c r="J855" t="s">
        <v>44</v>
      </c>
      <c r="K855" t="s">
        <v>36</v>
      </c>
      <c r="L855" t="s">
        <v>37</v>
      </c>
      <c r="M855">
        <v>0</v>
      </c>
      <c r="N855">
        <v>0</v>
      </c>
      <c r="O855" s="5">
        <v>26604</v>
      </c>
      <c r="P855" s="5">
        <v>26603</v>
      </c>
      <c r="Q855">
        <f>31-12</f>
        <v>19</v>
      </c>
      <c r="R855" t="s">
        <v>38</v>
      </c>
      <c r="T855">
        <v>18</v>
      </c>
      <c r="U855">
        <v>84</v>
      </c>
      <c r="V855">
        <v>14</v>
      </c>
      <c r="W855">
        <v>12.4</v>
      </c>
      <c r="X855">
        <v>27.9</v>
      </c>
      <c r="Z855" t="s">
        <v>39</v>
      </c>
      <c r="AB855" t="s">
        <v>86</v>
      </c>
      <c r="AC855" t="s">
        <v>41</v>
      </c>
    </row>
    <row r="856" spans="1:30" x14ac:dyDescent="0.35">
      <c r="A856" s="4">
        <v>42550</v>
      </c>
      <c r="B856" t="s">
        <v>30</v>
      </c>
      <c r="C856">
        <v>303</v>
      </c>
      <c r="D856">
        <v>9</v>
      </c>
      <c r="E856">
        <v>1</v>
      </c>
      <c r="F856" t="s">
        <v>31</v>
      </c>
      <c r="G856" t="s">
        <v>32</v>
      </c>
      <c r="H856" t="s">
        <v>33</v>
      </c>
      <c r="I856" t="s">
        <v>43</v>
      </c>
      <c r="J856" t="s">
        <v>44</v>
      </c>
      <c r="K856" t="s">
        <v>36</v>
      </c>
      <c r="L856" t="s">
        <v>37</v>
      </c>
      <c r="M856">
        <v>0</v>
      </c>
      <c r="N856">
        <v>0</v>
      </c>
      <c r="O856" s="5">
        <v>50321</v>
      </c>
      <c r="P856" s="5">
        <v>50320</v>
      </c>
      <c r="Q856">
        <f>33-12</f>
        <v>21</v>
      </c>
      <c r="R856" t="s">
        <v>38</v>
      </c>
      <c r="T856">
        <v>18</v>
      </c>
      <c r="U856">
        <v>80</v>
      </c>
      <c r="V856">
        <v>13</v>
      </c>
      <c r="W856">
        <v>13.1</v>
      </c>
      <c r="X856">
        <v>28.9</v>
      </c>
      <c r="Z856" t="s">
        <v>39</v>
      </c>
      <c r="AB856" t="s">
        <v>86</v>
      </c>
      <c r="AC856" t="s">
        <v>41</v>
      </c>
    </row>
    <row r="857" spans="1:30" x14ac:dyDescent="0.35">
      <c r="A857" s="4">
        <v>42550</v>
      </c>
      <c r="B857" t="s">
        <v>30</v>
      </c>
      <c r="C857">
        <v>701</v>
      </c>
      <c r="D857">
        <v>1</v>
      </c>
      <c r="E857">
        <v>2</v>
      </c>
      <c r="F857" t="s">
        <v>42</v>
      </c>
      <c r="G857" t="s">
        <v>32</v>
      </c>
      <c r="H857" t="s">
        <v>33</v>
      </c>
      <c r="I857" t="s">
        <v>43</v>
      </c>
      <c r="J857" t="s">
        <v>44</v>
      </c>
      <c r="K857" t="s">
        <v>36</v>
      </c>
      <c r="L857" t="s">
        <v>37</v>
      </c>
      <c r="M857">
        <v>0</v>
      </c>
      <c r="N857">
        <v>0</v>
      </c>
      <c r="O857" s="5">
        <v>50370</v>
      </c>
      <c r="P857" s="5">
        <v>50369</v>
      </c>
      <c r="Q857">
        <f>30.5-12</f>
        <v>18.5</v>
      </c>
      <c r="R857" t="s">
        <v>38</v>
      </c>
      <c r="T857">
        <v>20</v>
      </c>
      <c r="U857">
        <v>72.5</v>
      </c>
      <c r="V857">
        <v>16.5</v>
      </c>
      <c r="W857">
        <v>11.65</v>
      </c>
      <c r="X857">
        <v>28.3</v>
      </c>
      <c r="Z857" t="s">
        <v>39</v>
      </c>
      <c r="AB857" t="s">
        <v>60</v>
      </c>
      <c r="AC857" t="s">
        <v>41</v>
      </c>
    </row>
    <row r="858" spans="1:30" x14ac:dyDescent="0.35">
      <c r="A858" s="4">
        <v>42550</v>
      </c>
      <c r="B858" t="s">
        <v>30</v>
      </c>
      <c r="C858">
        <v>703</v>
      </c>
      <c r="D858">
        <v>9</v>
      </c>
      <c r="E858">
        <v>2</v>
      </c>
      <c r="F858" t="s">
        <v>42</v>
      </c>
      <c r="G858" t="s">
        <v>32</v>
      </c>
      <c r="H858" t="s">
        <v>33</v>
      </c>
      <c r="I858" t="s">
        <v>43</v>
      </c>
      <c r="J858" t="s">
        <v>44</v>
      </c>
      <c r="K858" t="s">
        <v>36</v>
      </c>
      <c r="L858" t="s">
        <v>45</v>
      </c>
      <c r="M858">
        <v>0</v>
      </c>
      <c r="N858">
        <v>0</v>
      </c>
      <c r="O858" s="5">
        <v>50395</v>
      </c>
      <c r="P858" s="5">
        <v>50394</v>
      </c>
      <c r="Q858">
        <v>20</v>
      </c>
      <c r="R858" t="s">
        <v>161</v>
      </c>
      <c r="S858" t="s">
        <v>102</v>
      </c>
      <c r="T858">
        <v>19</v>
      </c>
      <c r="U858">
        <v>90</v>
      </c>
      <c r="V858">
        <v>16</v>
      </c>
      <c r="Z858" t="s">
        <v>39</v>
      </c>
      <c r="AB858" t="s">
        <v>60</v>
      </c>
      <c r="AC858" t="s">
        <v>41</v>
      </c>
      <c r="AD858" t="s">
        <v>169</v>
      </c>
    </row>
    <row r="859" spans="1:30" x14ac:dyDescent="0.35">
      <c r="A859" s="4">
        <v>42550</v>
      </c>
      <c r="B859" t="s">
        <v>30</v>
      </c>
      <c r="C859">
        <v>503</v>
      </c>
      <c r="D859">
        <v>5</v>
      </c>
      <c r="E859">
        <v>2</v>
      </c>
      <c r="F859" t="s">
        <v>31</v>
      </c>
      <c r="G859" t="s">
        <v>32</v>
      </c>
      <c r="H859" t="s">
        <v>33</v>
      </c>
      <c r="I859" t="s">
        <v>43</v>
      </c>
      <c r="J859" t="s">
        <v>44</v>
      </c>
      <c r="K859" t="s">
        <v>36</v>
      </c>
      <c r="L859" t="s">
        <v>37</v>
      </c>
      <c r="M859">
        <v>0</v>
      </c>
      <c r="N859">
        <v>0</v>
      </c>
      <c r="O859" s="5">
        <v>50436</v>
      </c>
      <c r="P859" s="5">
        <v>50435</v>
      </c>
      <c r="Q859">
        <f>32-13</f>
        <v>19</v>
      </c>
      <c r="R859" t="s">
        <v>38</v>
      </c>
      <c r="T859">
        <v>21</v>
      </c>
      <c r="U859">
        <v>83</v>
      </c>
      <c r="V859">
        <v>15</v>
      </c>
      <c r="W859">
        <v>12.8</v>
      </c>
      <c r="X859">
        <v>28.9</v>
      </c>
      <c r="Z859" t="s">
        <v>39</v>
      </c>
      <c r="AB859" t="s">
        <v>97</v>
      </c>
      <c r="AC859" t="s">
        <v>41</v>
      </c>
    </row>
    <row r="860" spans="1:30" x14ac:dyDescent="0.35">
      <c r="A860" s="4">
        <v>42550</v>
      </c>
      <c r="B860" t="s">
        <v>30</v>
      </c>
      <c r="C860">
        <v>503</v>
      </c>
      <c r="D860">
        <v>8</v>
      </c>
      <c r="E860">
        <v>2</v>
      </c>
      <c r="F860" t="s">
        <v>31</v>
      </c>
      <c r="G860" t="s">
        <v>32</v>
      </c>
      <c r="H860" t="s">
        <v>33</v>
      </c>
      <c r="I860" t="s">
        <v>43</v>
      </c>
      <c r="J860" t="s">
        <v>35</v>
      </c>
      <c r="K860" t="s">
        <v>88</v>
      </c>
      <c r="L860" t="s">
        <v>45</v>
      </c>
      <c r="M860">
        <v>0</v>
      </c>
      <c r="N860">
        <v>1</v>
      </c>
      <c r="O860" s="5">
        <v>50442</v>
      </c>
      <c r="P860" s="5">
        <v>50441</v>
      </c>
      <c r="Q860">
        <f>26.5-12</f>
        <v>14.5</v>
      </c>
      <c r="R860" t="s">
        <v>46</v>
      </c>
      <c r="S860" t="s">
        <v>39</v>
      </c>
      <c r="T860">
        <v>19</v>
      </c>
      <c r="U860">
        <v>70</v>
      </c>
      <c r="V860">
        <v>13</v>
      </c>
      <c r="W860">
        <v>12.1</v>
      </c>
      <c r="X860">
        <v>26.5</v>
      </c>
      <c r="Z860" t="s">
        <v>39</v>
      </c>
      <c r="AB860" t="s">
        <v>86</v>
      </c>
      <c r="AC860" t="s">
        <v>41</v>
      </c>
    </row>
    <row r="861" spans="1:30" x14ac:dyDescent="0.35">
      <c r="A861" s="4">
        <v>42550</v>
      </c>
      <c r="B861" t="s">
        <v>30</v>
      </c>
      <c r="C861">
        <v>503</v>
      </c>
      <c r="D861">
        <v>6</v>
      </c>
      <c r="E861">
        <v>1</v>
      </c>
      <c r="F861" t="s">
        <v>31</v>
      </c>
      <c r="G861" t="s">
        <v>32</v>
      </c>
      <c r="H861" t="s">
        <v>33</v>
      </c>
      <c r="I861" t="s">
        <v>43</v>
      </c>
      <c r="J861" t="s">
        <v>35</v>
      </c>
      <c r="K861" t="s">
        <v>88</v>
      </c>
      <c r="L861" t="s">
        <v>37</v>
      </c>
      <c r="M861">
        <v>0</v>
      </c>
      <c r="N861">
        <v>1</v>
      </c>
      <c r="O861" s="5">
        <v>50446</v>
      </c>
      <c r="P861" s="5">
        <v>50434</v>
      </c>
      <c r="Q861">
        <f>24-11</f>
        <v>13</v>
      </c>
      <c r="R861" t="s">
        <v>64</v>
      </c>
      <c r="T861">
        <v>19</v>
      </c>
      <c r="U861">
        <v>72</v>
      </c>
      <c r="V861">
        <v>13</v>
      </c>
      <c r="W861">
        <v>12.6</v>
      </c>
      <c r="X861">
        <v>27.7</v>
      </c>
      <c r="Z861" t="s">
        <v>39</v>
      </c>
      <c r="AB861" t="s">
        <v>97</v>
      </c>
      <c r="AC861" t="s">
        <v>41</v>
      </c>
    </row>
    <row r="862" spans="1:30" x14ac:dyDescent="0.35">
      <c r="A862" s="4">
        <v>42550</v>
      </c>
      <c r="B862" t="s">
        <v>30</v>
      </c>
      <c r="C862">
        <v>501</v>
      </c>
      <c r="D862">
        <v>2</v>
      </c>
      <c r="E862">
        <v>1</v>
      </c>
      <c r="F862" t="s">
        <v>31</v>
      </c>
      <c r="G862" t="s">
        <v>32</v>
      </c>
      <c r="H862" t="s">
        <v>33</v>
      </c>
      <c r="I862" t="s">
        <v>43</v>
      </c>
      <c r="J862" t="s">
        <v>44</v>
      </c>
      <c r="K862" t="s">
        <v>88</v>
      </c>
      <c r="L862" t="s">
        <v>45</v>
      </c>
      <c r="M862">
        <v>0</v>
      </c>
      <c r="N862">
        <v>0</v>
      </c>
      <c r="O862" s="5">
        <v>50448</v>
      </c>
      <c r="P862" s="5">
        <v>50447</v>
      </c>
      <c r="Q862">
        <f>28-12</f>
        <v>16</v>
      </c>
      <c r="R862" t="s">
        <v>46</v>
      </c>
      <c r="S862" t="s">
        <v>39</v>
      </c>
      <c r="T862">
        <v>21</v>
      </c>
      <c r="U862">
        <v>88</v>
      </c>
      <c r="V862">
        <v>14</v>
      </c>
      <c r="W862">
        <v>12.7</v>
      </c>
      <c r="X862">
        <v>27.4</v>
      </c>
      <c r="Z862" t="s">
        <v>39</v>
      </c>
      <c r="AB862" t="s">
        <v>86</v>
      </c>
      <c r="AC862" t="s">
        <v>41</v>
      </c>
    </row>
    <row r="863" spans="1:30" x14ac:dyDescent="0.35">
      <c r="A863" s="4">
        <v>42550</v>
      </c>
      <c r="B863" t="s">
        <v>30</v>
      </c>
      <c r="C863">
        <v>803</v>
      </c>
      <c r="D863">
        <v>6</v>
      </c>
      <c r="E863">
        <v>2</v>
      </c>
      <c r="F863" t="s">
        <v>42</v>
      </c>
      <c r="G863" t="s">
        <v>32</v>
      </c>
      <c r="H863" t="s">
        <v>33</v>
      </c>
      <c r="I863" t="s">
        <v>43</v>
      </c>
      <c r="J863" t="s">
        <v>44</v>
      </c>
      <c r="K863" t="s">
        <v>36</v>
      </c>
      <c r="L863" t="s">
        <v>45</v>
      </c>
      <c r="M863">
        <v>0</v>
      </c>
      <c r="N863">
        <v>0</v>
      </c>
      <c r="O863" s="5">
        <v>50457</v>
      </c>
      <c r="P863" s="5">
        <v>50456</v>
      </c>
      <c r="Q863">
        <f>35.5-13.5</f>
        <v>22</v>
      </c>
      <c r="R863" t="s">
        <v>79</v>
      </c>
      <c r="S863" t="s">
        <v>39</v>
      </c>
      <c r="T863">
        <v>19</v>
      </c>
      <c r="U863">
        <v>88</v>
      </c>
      <c r="V863">
        <v>16</v>
      </c>
      <c r="W863">
        <v>13</v>
      </c>
      <c r="X863">
        <v>26.6</v>
      </c>
      <c r="Z863" t="s">
        <v>39</v>
      </c>
      <c r="AB863" t="s">
        <v>60</v>
      </c>
      <c r="AC863" t="s">
        <v>41</v>
      </c>
    </row>
    <row r="864" spans="1:30" x14ac:dyDescent="0.35">
      <c r="A864" s="4">
        <v>42550</v>
      </c>
      <c r="B864" t="s">
        <v>30</v>
      </c>
      <c r="C864">
        <v>703</v>
      </c>
      <c r="D864">
        <v>10</v>
      </c>
      <c r="E864">
        <v>1</v>
      </c>
      <c r="F864" t="s">
        <v>42</v>
      </c>
      <c r="G864" t="s">
        <v>32</v>
      </c>
      <c r="H864" t="s">
        <v>33</v>
      </c>
      <c r="I864" t="s">
        <v>43</v>
      </c>
      <c r="J864" t="s">
        <v>44</v>
      </c>
      <c r="K864" t="s">
        <v>88</v>
      </c>
      <c r="L864" t="s">
        <v>45</v>
      </c>
      <c r="M864">
        <v>0</v>
      </c>
      <c r="N864">
        <v>0</v>
      </c>
      <c r="O864" s="5">
        <v>50466</v>
      </c>
      <c r="P864" s="5">
        <v>50465</v>
      </c>
      <c r="Q864">
        <f>22.5-12</f>
        <v>10.5</v>
      </c>
      <c r="R864" t="s">
        <v>46</v>
      </c>
      <c r="S864" t="s">
        <v>39</v>
      </c>
      <c r="T864">
        <v>18</v>
      </c>
      <c r="U864">
        <v>71.5</v>
      </c>
      <c r="V864">
        <v>14</v>
      </c>
      <c r="W864">
        <v>10.8</v>
      </c>
      <c r="X864">
        <v>23.1</v>
      </c>
      <c r="Z864" t="s">
        <v>39</v>
      </c>
      <c r="AB864" t="s">
        <v>60</v>
      </c>
      <c r="AC864" t="s">
        <v>41</v>
      </c>
    </row>
    <row r="865" spans="1:30" x14ac:dyDescent="0.35">
      <c r="A865" s="4">
        <v>42550</v>
      </c>
      <c r="B865" t="s">
        <v>30</v>
      </c>
      <c r="C865">
        <v>701</v>
      </c>
      <c r="D865">
        <v>8</v>
      </c>
      <c r="E865">
        <v>1</v>
      </c>
      <c r="F865" t="s">
        <v>42</v>
      </c>
      <c r="G865" t="s">
        <v>32</v>
      </c>
      <c r="H865" t="s">
        <v>33</v>
      </c>
      <c r="I865" t="s">
        <v>43</v>
      </c>
      <c r="J865" t="s">
        <v>44</v>
      </c>
      <c r="K865" t="s">
        <v>88</v>
      </c>
      <c r="L865" t="s">
        <v>37</v>
      </c>
      <c r="M865">
        <v>0</v>
      </c>
      <c r="N865">
        <v>0</v>
      </c>
      <c r="O865" s="5">
        <v>50470</v>
      </c>
      <c r="P865" s="5">
        <v>50469</v>
      </c>
      <c r="Q865">
        <f>27-12.5</f>
        <v>14.5</v>
      </c>
      <c r="R865" t="s">
        <v>64</v>
      </c>
      <c r="T865">
        <v>18.5</v>
      </c>
      <c r="U865">
        <v>74.5</v>
      </c>
      <c r="V865">
        <v>14.5</v>
      </c>
      <c r="W865">
        <v>12.4</v>
      </c>
      <c r="X865">
        <v>25.7</v>
      </c>
      <c r="Z865" t="s">
        <v>39</v>
      </c>
      <c r="AB865" t="s">
        <v>136</v>
      </c>
      <c r="AC865" t="s">
        <v>41</v>
      </c>
    </row>
    <row r="866" spans="1:30" x14ac:dyDescent="0.35">
      <c r="A866" s="4">
        <v>42550</v>
      </c>
      <c r="B866" t="s">
        <v>30</v>
      </c>
      <c r="C866">
        <v>703</v>
      </c>
      <c r="D866">
        <v>4</v>
      </c>
      <c r="E866">
        <v>1</v>
      </c>
      <c r="F866" t="s">
        <v>42</v>
      </c>
      <c r="G866" t="s">
        <v>32</v>
      </c>
      <c r="H866" t="s">
        <v>33</v>
      </c>
      <c r="I866" t="s">
        <v>43</v>
      </c>
      <c r="J866" t="s">
        <v>44</v>
      </c>
      <c r="K866" t="s">
        <v>88</v>
      </c>
      <c r="L866" t="s">
        <v>45</v>
      </c>
      <c r="M866">
        <v>0</v>
      </c>
      <c r="N866">
        <v>0</v>
      </c>
      <c r="O866" s="5">
        <v>50480</v>
      </c>
      <c r="P866" s="5">
        <v>50479</v>
      </c>
      <c r="Q866">
        <v>12</v>
      </c>
      <c r="R866" t="s">
        <v>46</v>
      </c>
      <c r="S866" t="s">
        <v>39</v>
      </c>
      <c r="T866">
        <v>18</v>
      </c>
      <c r="U866">
        <v>77</v>
      </c>
      <c r="V866">
        <v>16.5</v>
      </c>
      <c r="W866">
        <v>11.4</v>
      </c>
      <c r="X866">
        <v>25.8</v>
      </c>
      <c r="Z866" t="s">
        <v>39</v>
      </c>
      <c r="AB866" t="s">
        <v>60</v>
      </c>
      <c r="AC866" t="s">
        <v>41</v>
      </c>
    </row>
    <row r="867" spans="1:30" x14ac:dyDescent="0.35">
      <c r="A867" s="4">
        <v>42550</v>
      </c>
      <c r="B867" t="s">
        <v>30</v>
      </c>
      <c r="C867">
        <v>303</v>
      </c>
      <c r="D867">
        <v>2</v>
      </c>
      <c r="E867">
        <v>1</v>
      </c>
      <c r="F867" t="s">
        <v>31</v>
      </c>
      <c r="G867" t="s">
        <v>32</v>
      </c>
      <c r="H867" t="s">
        <v>33</v>
      </c>
      <c r="I867" t="s">
        <v>43</v>
      </c>
      <c r="J867" t="s">
        <v>44</v>
      </c>
      <c r="K867" t="s">
        <v>113</v>
      </c>
      <c r="L867" t="s">
        <v>45</v>
      </c>
      <c r="M867">
        <v>0</v>
      </c>
      <c r="N867">
        <v>0</v>
      </c>
      <c r="O867" s="5">
        <v>50582</v>
      </c>
      <c r="P867" s="5">
        <v>50581</v>
      </c>
      <c r="Q867">
        <f>27-12</f>
        <v>15</v>
      </c>
      <c r="R867" t="s">
        <v>46</v>
      </c>
      <c r="S867" t="s">
        <v>39</v>
      </c>
      <c r="T867">
        <v>20</v>
      </c>
      <c r="U867">
        <v>79</v>
      </c>
      <c r="V867">
        <v>13</v>
      </c>
      <c r="Z867" t="s">
        <v>39</v>
      </c>
      <c r="AB867" t="s">
        <v>86</v>
      </c>
      <c r="AC867" t="s">
        <v>41</v>
      </c>
    </row>
    <row r="868" spans="1:30" x14ac:dyDescent="0.35">
      <c r="A868" s="4">
        <v>42550</v>
      </c>
      <c r="B868" t="s">
        <v>30</v>
      </c>
      <c r="C868">
        <v>401</v>
      </c>
      <c r="D868">
        <v>3</v>
      </c>
      <c r="E868">
        <v>1</v>
      </c>
      <c r="F868" t="s">
        <v>31</v>
      </c>
      <c r="G868" t="s">
        <v>32</v>
      </c>
      <c r="H868" t="s">
        <v>33</v>
      </c>
      <c r="I868" t="s">
        <v>43</v>
      </c>
      <c r="J868" t="s">
        <v>44</v>
      </c>
      <c r="K868" t="s">
        <v>113</v>
      </c>
      <c r="L868" t="s">
        <v>37</v>
      </c>
      <c r="M868">
        <v>0</v>
      </c>
      <c r="N868">
        <v>0</v>
      </c>
      <c r="O868" s="5">
        <v>50590</v>
      </c>
      <c r="P868" s="5">
        <v>50589</v>
      </c>
      <c r="Q868">
        <f>33-16</f>
        <v>17</v>
      </c>
      <c r="R868" t="s">
        <v>38</v>
      </c>
      <c r="T868">
        <v>20</v>
      </c>
      <c r="U868">
        <v>76</v>
      </c>
      <c r="V868">
        <v>16</v>
      </c>
      <c r="W868">
        <v>13.5</v>
      </c>
      <c r="X868">
        <v>27.5</v>
      </c>
      <c r="Z868" t="s">
        <v>39</v>
      </c>
      <c r="AB868" t="s">
        <v>86</v>
      </c>
      <c r="AC868" t="s">
        <v>41</v>
      </c>
    </row>
    <row r="869" spans="1:30" x14ac:dyDescent="0.35">
      <c r="A869" s="4">
        <v>42550</v>
      </c>
      <c r="B869" t="s">
        <v>30</v>
      </c>
      <c r="C869">
        <v>703</v>
      </c>
      <c r="D869">
        <v>10</v>
      </c>
      <c r="E869">
        <v>2</v>
      </c>
      <c r="F869" t="s">
        <v>42</v>
      </c>
      <c r="G869" t="s">
        <v>32</v>
      </c>
      <c r="H869" t="s">
        <v>33</v>
      </c>
      <c r="I869" t="s">
        <v>43</v>
      </c>
      <c r="J869" t="s">
        <v>44</v>
      </c>
      <c r="K869" t="s">
        <v>88</v>
      </c>
      <c r="L869" t="s">
        <v>45</v>
      </c>
      <c r="M869">
        <v>0</v>
      </c>
      <c r="N869">
        <v>0</v>
      </c>
      <c r="O869" s="5">
        <v>50612</v>
      </c>
      <c r="P869" s="5">
        <v>50611</v>
      </c>
      <c r="Q869">
        <f>23.5-12</f>
        <v>11.5</v>
      </c>
      <c r="R869" t="s">
        <v>46</v>
      </c>
      <c r="S869" t="s">
        <v>39</v>
      </c>
      <c r="T869">
        <v>18</v>
      </c>
      <c r="U869">
        <v>72</v>
      </c>
      <c r="V869">
        <v>13.5</v>
      </c>
      <c r="W869">
        <v>11.5</v>
      </c>
      <c r="X869">
        <v>24.1</v>
      </c>
      <c r="Z869" t="s">
        <v>39</v>
      </c>
      <c r="AB869" t="s">
        <v>60</v>
      </c>
      <c r="AC869" t="s">
        <v>41</v>
      </c>
    </row>
    <row r="870" spans="1:30" x14ac:dyDescent="0.35">
      <c r="A870" s="4">
        <v>42550</v>
      </c>
      <c r="B870" t="s">
        <v>30</v>
      </c>
      <c r="C870">
        <v>801</v>
      </c>
      <c r="D870">
        <v>9</v>
      </c>
      <c r="E870">
        <v>1</v>
      </c>
      <c r="F870" t="s">
        <v>42</v>
      </c>
      <c r="G870" t="s">
        <v>32</v>
      </c>
      <c r="H870" t="s">
        <v>33</v>
      </c>
      <c r="I870" t="s">
        <v>43</v>
      </c>
      <c r="J870" t="s">
        <v>44</v>
      </c>
      <c r="K870" t="s">
        <v>88</v>
      </c>
      <c r="L870" t="s">
        <v>45</v>
      </c>
      <c r="M870">
        <v>0</v>
      </c>
      <c r="N870">
        <v>0</v>
      </c>
      <c r="O870" s="5">
        <v>50614</v>
      </c>
      <c r="P870" s="5">
        <v>50613</v>
      </c>
      <c r="Q870">
        <f>27.5-12</f>
        <v>15.5</v>
      </c>
      <c r="R870" t="s">
        <v>46</v>
      </c>
      <c r="S870" t="s">
        <v>39</v>
      </c>
      <c r="T870">
        <v>19</v>
      </c>
      <c r="U870">
        <v>80</v>
      </c>
      <c r="V870">
        <v>14</v>
      </c>
      <c r="W870">
        <v>12.75</v>
      </c>
      <c r="X870">
        <v>25.2</v>
      </c>
      <c r="Z870" t="s">
        <v>39</v>
      </c>
      <c r="AB870" t="s">
        <v>60</v>
      </c>
      <c r="AC870" t="s">
        <v>68</v>
      </c>
    </row>
    <row r="871" spans="1:30" x14ac:dyDescent="0.35">
      <c r="A871" s="4">
        <v>42550</v>
      </c>
      <c r="B871" t="s">
        <v>30</v>
      </c>
      <c r="C871">
        <v>901</v>
      </c>
      <c r="D871">
        <v>5</v>
      </c>
      <c r="E871">
        <v>1</v>
      </c>
      <c r="F871" t="s">
        <v>42</v>
      </c>
      <c r="G871" t="s">
        <v>32</v>
      </c>
      <c r="H871" t="s">
        <v>33</v>
      </c>
      <c r="I871" t="s">
        <v>43</v>
      </c>
      <c r="J871" t="s">
        <v>44</v>
      </c>
      <c r="K871" t="s">
        <v>36</v>
      </c>
      <c r="L871" t="s">
        <v>45</v>
      </c>
      <c r="M871">
        <v>0</v>
      </c>
      <c r="N871">
        <v>0</v>
      </c>
      <c r="O871" s="5">
        <v>50617</v>
      </c>
      <c r="P871" s="5">
        <v>50616</v>
      </c>
      <c r="Q871">
        <f>34.5-12</f>
        <v>22.5</v>
      </c>
      <c r="R871" t="s">
        <v>79</v>
      </c>
      <c r="S871" t="s">
        <v>39</v>
      </c>
      <c r="T871">
        <v>19</v>
      </c>
      <c r="U871">
        <v>90</v>
      </c>
      <c r="V871">
        <v>16</v>
      </c>
      <c r="Z871" t="s">
        <v>39</v>
      </c>
      <c r="AB871" t="s">
        <v>60</v>
      </c>
      <c r="AC871" t="s">
        <v>41</v>
      </c>
      <c r="AD871" t="s">
        <v>170</v>
      </c>
    </row>
    <row r="872" spans="1:30" x14ac:dyDescent="0.35">
      <c r="A872" s="4">
        <v>42550</v>
      </c>
      <c r="B872" t="s">
        <v>30</v>
      </c>
      <c r="C872">
        <v>703</v>
      </c>
      <c r="D872">
        <v>1</v>
      </c>
      <c r="E872">
        <v>2</v>
      </c>
      <c r="F872" t="s">
        <v>42</v>
      </c>
      <c r="G872" t="s">
        <v>32</v>
      </c>
      <c r="H872" t="s">
        <v>33</v>
      </c>
      <c r="I872" t="s">
        <v>43</v>
      </c>
      <c r="J872" t="s">
        <v>35</v>
      </c>
      <c r="K872" t="s">
        <v>88</v>
      </c>
      <c r="L872" t="s">
        <v>37</v>
      </c>
      <c r="M872">
        <v>0</v>
      </c>
      <c r="N872">
        <v>1</v>
      </c>
      <c r="O872" s="5">
        <v>50620</v>
      </c>
      <c r="P872" s="5">
        <v>50619</v>
      </c>
      <c r="Q872">
        <f>25-11.5</f>
        <v>13.5</v>
      </c>
      <c r="R872" t="s">
        <v>64</v>
      </c>
      <c r="T872">
        <v>18</v>
      </c>
      <c r="U872">
        <v>83</v>
      </c>
      <c r="V872">
        <v>16</v>
      </c>
      <c r="W872">
        <v>12.1</v>
      </c>
      <c r="X872">
        <v>26.5</v>
      </c>
      <c r="Z872" t="s">
        <v>39</v>
      </c>
      <c r="AB872" t="s">
        <v>60</v>
      </c>
      <c r="AC872" t="s">
        <v>41</v>
      </c>
    </row>
    <row r="873" spans="1:30" x14ac:dyDescent="0.35">
      <c r="A873" s="4">
        <v>42550</v>
      </c>
      <c r="B873" t="s">
        <v>30</v>
      </c>
      <c r="C873">
        <v>703</v>
      </c>
      <c r="D873">
        <v>2</v>
      </c>
      <c r="E873">
        <v>1</v>
      </c>
      <c r="F873" t="s">
        <v>42</v>
      </c>
      <c r="G873" t="s">
        <v>32</v>
      </c>
      <c r="H873" t="s">
        <v>33</v>
      </c>
      <c r="I873" t="s">
        <v>43</v>
      </c>
      <c r="J873" t="s">
        <v>35</v>
      </c>
      <c r="K873" t="s">
        <v>88</v>
      </c>
      <c r="L873" t="s">
        <v>45</v>
      </c>
      <c r="M873">
        <v>0</v>
      </c>
      <c r="N873">
        <v>1</v>
      </c>
      <c r="O873" s="5">
        <v>50623</v>
      </c>
      <c r="P873" s="5">
        <v>50622</v>
      </c>
      <c r="Q873">
        <f>27.5-15.5</f>
        <v>12</v>
      </c>
      <c r="R873" t="s">
        <v>46</v>
      </c>
      <c r="S873" t="s">
        <v>39</v>
      </c>
      <c r="T873">
        <v>18</v>
      </c>
      <c r="U873">
        <v>74.5</v>
      </c>
      <c r="V873">
        <v>14.5</v>
      </c>
      <c r="W873">
        <v>11.5</v>
      </c>
      <c r="X873">
        <v>26.6</v>
      </c>
      <c r="Z873" t="s">
        <v>39</v>
      </c>
      <c r="AB873" t="s">
        <v>60</v>
      </c>
      <c r="AC873" t="s">
        <v>41</v>
      </c>
    </row>
    <row r="874" spans="1:30" x14ac:dyDescent="0.35">
      <c r="A874" s="4">
        <v>42550</v>
      </c>
      <c r="B874" t="s">
        <v>30</v>
      </c>
      <c r="C874">
        <v>801</v>
      </c>
      <c r="D874">
        <v>10</v>
      </c>
      <c r="E874">
        <v>1</v>
      </c>
      <c r="F874" t="s">
        <v>42</v>
      </c>
      <c r="G874" t="s">
        <v>32</v>
      </c>
      <c r="H874" t="s">
        <v>33</v>
      </c>
      <c r="I874" t="s">
        <v>43</v>
      </c>
      <c r="J874" t="s">
        <v>35</v>
      </c>
      <c r="K874" t="s">
        <v>36</v>
      </c>
      <c r="L874" t="s">
        <v>37</v>
      </c>
      <c r="M874">
        <v>0</v>
      </c>
      <c r="N874">
        <v>1</v>
      </c>
      <c r="O874" s="5">
        <v>50677</v>
      </c>
      <c r="P874" s="5">
        <v>50676</v>
      </c>
      <c r="Q874">
        <f>35-12.5</f>
        <v>22.5</v>
      </c>
      <c r="R874" t="s">
        <v>38</v>
      </c>
      <c r="T874">
        <v>19</v>
      </c>
      <c r="U874">
        <v>90</v>
      </c>
      <c r="V874">
        <v>16</v>
      </c>
      <c r="W874">
        <v>13.6</v>
      </c>
      <c r="X874">
        <v>28.8</v>
      </c>
      <c r="Z874" t="s">
        <v>39</v>
      </c>
      <c r="AB874" t="s">
        <v>60</v>
      </c>
      <c r="AC874" t="s">
        <v>68</v>
      </c>
    </row>
    <row r="875" spans="1:30" x14ac:dyDescent="0.35">
      <c r="A875" s="4">
        <v>42550</v>
      </c>
      <c r="B875" t="s">
        <v>30</v>
      </c>
      <c r="C875">
        <v>801</v>
      </c>
      <c r="D875">
        <v>1</v>
      </c>
      <c r="E875">
        <v>1</v>
      </c>
      <c r="F875" t="s">
        <v>42</v>
      </c>
      <c r="G875" t="s">
        <v>32</v>
      </c>
      <c r="H875" t="s">
        <v>33</v>
      </c>
      <c r="I875" t="s">
        <v>43</v>
      </c>
      <c r="J875" t="s">
        <v>35</v>
      </c>
      <c r="K875" t="s">
        <v>113</v>
      </c>
      <c r="L875" t="s">
        <v>37</v>
      </c>
      <c r="M875">
        <v>0</v>
      </c>
      <c r="N875">
        <v>1</v>
      </c>
      <c r="O875" s="5">
        <v>50697</v>
      </c>
      <c r="P875" s="5">
        <v>50696</v>
      </c>
      <c r="Q875">
        <f>30-14.5</f>
        <v>15.5</v>
      </c>
      <c r="R875" t="s">
        <v>38</v>
      </c>
      <c r="T875">
        <v>18</v>
      </c>
      <c r="U875">
        <v>78</v>
      </c>
      <c r="V875">
        <v>15</v>
      </c>
      <c r="W875">
        <v>12</v>
      </c>
      <c r="X875">
        <v>26.1</v>
      </c>
      <c r="Z875" t="s">
        <v>39</v>
      </c>
      <c r="AB875" t="s">
        <v>60</v>
      </c>
      <c r="AC875" t="s">
        <v>41</v>
      </c>
    </row>
    <row r="876" spans="1:30" x14ac:dyDescent="0.35">
      <c r="A876" s="4">
        <v>42550</v>
      </c>
      <c r="B876" t="s">
        <v>30</v>
      </c>
      <c r="C876">
        <v>701</v>
      </c>
      <c r="D876">
        <v>4</v>
      </c>
      <c r="E876">
        <v>1</v>
      </c>
      <c r="F876" t="s">
        <v>42</v>
      </c>
      <c r="G876" t="s">
        <v>32</v>
      </c>
      <c r="H876" t="s">
        <v>33</v>
      </c>
      <c r="I876" t="s">
        <v>43</v>
      </c>
      <c r="J876" t="s">
        <v>35</v>
      </c>
      <c r="K876" t="s">
        <v>88</v>
      </c>
      <c r="L876" t="s">
        <v>45</v>
      </c>
      <c r="M876">
        <v>0</v>
      </c>
      <c r="N876">
        <v>1</v>
      </c>
      <c r="O876" s="5">
        <v>50700</v>
      </c>
      <c r="P876" s="5">
        <v>50699</v>
      </c>
      <c r="Q876">
        <f>26-14</f>
        <v>12</v>
      </c>
      <c r="R876" t="s">
        <v>46</v>
      </c>
      <c r="S876" t="s">
        <v>39</v>
      </c>
      <c r="T876">
        <v>18</v>
      </c>
      <c r="U876">
        <v>69</v>
      </c>
      <c r="V876">
        <v>14</v>
      </c>
      <c r="W876">
        <v>11.8</v>
      </c>
      <c r="X876">
        <v>25.5</v>
      </c>
      <c r="Z876" t="s">
        <v>39</v>
      </c>
      <c r="AB876" t="s">
        <v>136</v>
      </c>
      <c r="AC876" t="s">
        <v>41</v>
      </c>
    </row>
    <row r="877" spans="1:30" x14ac:dyDescent="0.35">
      <c r="A877" s="4">
        <v>42550</v>
      </c>
      <c r="B877" t="s">
        <v>30</v>
      </c>
      <c r="C877">
        <v>701</v>
      </c>
      <c r="D877">
        <v>9</v>
      </c>
      <c r="E877">
        <v>2</v>
      </c>
      <c r="F877" t="s">
        <v>42</v>
      </c>
      <c r="G877" t="s">
        <v>32</v>
      </c>
      <c r="H877" t="s">
        <v>33</v>
      </c>
      <c r="I877" t="s">
        <v>43</v>
      </c>
      <c r="J877" t="s">
        <v>44</v>
      </c>
      <c r="K877" t="s">
        <v>36</v>
      </c>
      <c r="L877" t="s">
        <v>45</v>
      </c>
      <c r="M877">
        <v>0</v>
      </c>
      <c r="N877">
        <v>0</v>
      </c>
      <c r="O877" s="5" t="s">
        <v>70</v>
      </c>
      <c r="P877" s="5" t="s">
        <v>71</v>
      </c>
      <c r="Q877">
        <f>37-14.5</f>
        <v>22.5</v>
      </c>
      <c r="R877" t="s">
        <v>77</v>
      </c>
      <c r="S877" t="s">
        <v>39</v>
      </c>
      <c r="T877">
        <v>19</v>
      </c>
      <c r="U877">
        <v>92</v>
      </c>
      <c r="V877">
        <v>13</v>
      </c>
      <c r="W877">
        <v>12.3</v>
      </c>
      <c r="X877">
        <v>27.5</v>
      </c>
      <c r="Z877" t="s">
        <v>39</v>
      </c>
      <c r="AB877" t="s">
        <v>60</v>
      </c>
      <c r="AC877" t="s">
        <v>41</v>
      </c>
    </row>
    <row r="878" spans="1:30" x14ac:dyDescent="0.35">
      <c r="A878" s="4">
        <v>42550</v>
      </c>
      <c r="B878" t="s">
        <v>30</v>
      </c>
      <c r="C878">
        <v>901</v>
      </c>
      <c r="D878">
        <v>2</v>
      </c>
      <c r="E878">
        <v>1</v>
      </c>
      <c r="F878" t="s">
        <v>42</v>
      </c>
      <c r="G878" t="s">
        <v>32</v>
      </c>
      <c r="H878" t="s">
        <v>33</v>
      </c>
      <c r="I878" t="s">
        <v>43</v>
      </c>
      <c r="J878" t="s">
        <v>44</v>
      </c>
      <c r="K878" t="s">
        <v>36</v>
      </c>
      <c r="L878" t="s">
        <v>45</v>
      </c>
      <c r="M878">
        <v>0</v>
      </c>
      <c r="N878">
        <v>0</v>
      </c>
      <c r="O878" s="5" t="s">
        <v>99</v>
      </c>
      <c r="P878" s="5" t="s">
        <v>171</v>
      </c>
      <c r="Q878">
        <v>22</v>
      </c>
      <c r="R878" t="s">
        <v>46</v>
      </c>
      <c r="S878" t="s">
        <v>39</v>
      </c>
      <c r="T878">
        <v>18</v>
      </c>
      <c r="U878">
        <v>92</v>
      </c>
      <c r="V878">
        <v>17.5</v>
      </c>
      <c r="W878">
        <v>12.5</v>
      </c>
      <c r="X878">
        <v>24.5</v>
      </c>
      <c r="Z878" t="s">
        <v>39</v>
      </c>
      <c r="AB878" t="s">
        <v>60</v>
      </c>
      <c r="AC878" t="s">
        <v>41</v>
      </c>
    </row>
    <row r="879" spans="1:30" x14ac:dyDescent="0.35">
      <c r="A879" s="4">
        <v>42550</v>
      </c>
      <c r="B879" t="s">
        <v>30</v>
      </c>
      <c r="C879">
        <v>803</v>
      </c>
      <c r="D879">
        <v>7</v>
      </c>
      <c r="E879">
        <v>1</v>
      </c>
      <c r="F879" t="s">
        <v>42</v>
      </c>
      <c r="G879" t="s">
        <v>32</v>
      </c>
      <c r="H879" t="s">
        <v>33</v>
      </c>
      <c r="I879" t="s">
        <v>34</v>
      </c>
      <c r="J879" t="s">
        <v>44</v>
      </c>
      <c r="L879" t="s">
        <v>37</v>
      </c>
      <c r="M879">
        <v>0</v>
      </c>
      <c r="N879">
        <v>0</v>
      </c>
      <c r="O879" s="5">
        <v>50391</v>
      </c>
      <c r="P879" s="5"/>
      <c r="R879" t="s">
        <v>38</v>
      </c>
      <c r="T879">
        <v>33</v>
      </c>
      <c r="W879">
        <v>22</v>
      </c>
      <c r="X879">
        <v>43</v>
      </c>
      <c r="Z879" t="s">
        <v>39</v>
      </c>
      <c r="AB879" t="s">
        <v>60</v>
      </c>
      <c r="AC879" t="s">
        <v>41</v>
      </c>
    </row>
    <row r="880" spans="1:30" x14ac:dyDescent="0.35">
      <c r="A880" s="4">
        <v>42550</v>
      </c>
      <c r="B880" t="s">
        <v>30</v>
      </c>
      <c r="C880">
        <v>803</v>
      </c>
      <c r="D880">
        <v>7</v>
      </c>
      <c r="E880">
        <v>2</v>
      </c>
      <c r="F880" t="s">
        <v>42</v>
      </c>
      <c r="G880" t="s">
        <v>32</v>
      </c>
      <c r="H880" t="s">
        <v>33</v>
      </c>
      <c r="I880" t="s">
        <v>34</v>
      </c>
      <c r="J880" t="s">
        <v>44</v>
      </c>
      <c r="K880" t="s">
        <v>88</v>
      </c>
      <c r="L880" t="s">
        <v>37</v>
      </c>
      <c r="M880">
        <v>0</v>
      </c>
      <c r="N880">
        <v>0</v>
      </c>
      <c r="O880" s="5">
        <v>50463</v>
      </c>
      <c r="P880" s="5"/>
      <c r="R880" t="s">
        <v>64</v>
      </c>
      <c r="T880">
        <v>33</v>
      </c>
      <c r="W880">
        <v>20.7</v>
      </c>
      <c r="X880">
        <v>40.5</v>
      </c>
      <c r="Z880" t="s">
        <v>39</v>
      </c>
      <c r="AB880" t="s">
        <v>60</v>
      </c>
      <c r="AC880" t="s">
        <v>41</v>
      </c>
    </row>
    <row r="881" spans="1:29" x14ac:dyDescent="0.35">
      <c r="A881" s="4">
        <v>42550</v>
      </c>
      <c r="B881" t="s">
        <v>30</v>
      </c>
      <c r="C881">
        <v>801</v>
      </c>
      <c r="D881">
        <v>7</v>
      </c>
      <c r="E881">
        <v>1</v>
      </c>
      <c r="F881" t="s">
        <v>42</v>
      </c>
      <c r="G881" t="s">
        <v>32</v>
      </c>
      <c r="H881" t="s">
        <v>33</v>
      </c>
      <c r="I881" t="s">
        <v>34</v>
      </c>
      <c r="J881" t="s">
        <v>44</v>
      </c>
      <c r="K881" t="s">
        <v>88</v>
      </c>
      <c r="L881" t="s">
        <v>45</v>
      </c>
      <c r="M881">
        <v>0</v>
      </c>
      <c r="N881">
        <v>0</v>
      </c>
      <c r="O881" s="5">
        <v>50625</v>
      </c>
      <c r="P881" s="5"/>
      <c r="Q881">
        <f>160-90</f>
        <v>70</v>
      </c>
      <c r="R881" t="s">
        <v>46</v>
      </c>
      <c r="S881" t="s">
        <v>39</v>
      </c>
      <c r="T881">
        <v>32</v>
      </c>
      <c r="W881">
        <v>19.5</v>
      </c>
      <c r="X881">
        <v>40.5</v>
      </c>
      <c r="Z881" t="s">
        <v>39</v>
      </c>
      <c r="AB881" t="s">
        <v>60</v>
      </c>
      <c r="AC881" t="s">
        <v>41</v>
      </c>
    </row>
    <row r="882" spans="1:29" x14ac:dyDescent="0.35">
      <c r="A882" s="4">
        <v>42550</v>
      </c>
      <c r="B882" t="s">
        <v>30</v>
      </c>
      <c r="C882">
        <v>801</v>
      </c>
      <c r="D882">
        <v>8</v>
      </c>
      <c r="E882">
        <v>1</v>
      </c>
      <c r="F882" t="s">
        <v>42</v>
      </c>
      <c r="G882" t="s">
        <v>32</v>
      </c>
      <c r="H882" t="s">
        <v>33</v>
      </c>
      <c r="I882" t="s">
        <v>34</v>
      </c>
      <c r="J882" t="s">
        <v>35</v>
      </c>
      <c r="K882" t="s">
        <v>36</v>
      </c>
      <c r="L882" t="s">
        <v>37</v>
      </c>
      <c r="M882">
        <v>0</v>
      </c>
      <c r="N882">
        <v>1</v>
      </c>
      <c r="O882" s="5">
        <v>50695</v>
      </c>
      <c r="P882" s="5"/>
      <c r="Q882">
        <f>180-90</f>
        <v>90</v>
      </c>
      <c r="R882" t="s">
        <v>64</v>
      </c>
      <c r="T882">
        <v>30</v>
      </c>
      <c r="W882">
        <v>22.5</v>
      </c>
      <c r="X882">
        <v>42.4</v>
      </c>
      <c r="Z882" t="s">
        <v>39</v>
      </c>
      <c r="AB882" t="s">
        <v>60</v>
      </c>
      <c r="AC882" t="s">
        <v>41</v>
      </c>
    </row>
    <row r="883" spans="1:29" x14ac:dyDescent="0.35">
      <c r="A883" s="4">
        <v>42550</v>
      </c>
      <c r="B883" t="s">
        <v>30</v>
      </c>
      <c r="C883">
        <v>503</v>
      </c>
      <c r="D883">
        <v>1</v>
      </c>
      <c r="E883">
        <v>1</v>
      </c>
      <c r="F883" t="s">
        <v>31</v>
      </c>
      <c r="G883" t="s">
        <v>32</v>
      </c>
      <c r="H883" t="s">
        <v>33</v>
      </c>
      <c r="I883" t="s">
        <v>34</v>
      </c>
      <c r="J883" t="s">
        <v>44</v>
      </c>
      <c r="K883" t="s">
        <v>36</v>
      </c>
      <c r="L883" t="s">
        <v>45</v>
      </c>
      <c r="M883">
        <v>0</v>
      </c>
      <c r="N883">
        <v>0</v>
      </c>
      <c r="O883" s="5"/>
      <c r="P883" s="5">
        <v>50578</v>
      </c>
      <c r="Q883">
        <f>144-46</f>
        <v>98</v>
      </c>
      <c r="R883" t="s">
        <v>143</v>
      </c>
      <c r="S883" t="s">
        <v>102</v>
      </c>
      <c r="Z883" t="s">
        <v>39</v>
      </c>
      <c r="AB883" t="s">
        <v>86</v>
      </c>
      <c r="AC883" t="s">
        <v>41</v>
      </c>
    </row>
    <row r="884" spans="1:29" x14ac:dyDescent="0.35">
      <c r="A884" s="4">
        <v>42550</v>
      </c>
      <c r="B884" t="s">
        <v>30</v>
      </c>
      <c r="C884">
        <v>701</v>
      </c>
      <c r="D884">
        <v>1</v>
      </c>
      <c r="E884">
        <v>1</v>
      </c>
      <c r="F884" t="s">
        <v>42</v>
      </c>
      <c r="G884" t="s">
        <v>32</v>
      </c>
      <c r="H884" t="s">
        <v>33</v>
      </c>
      <c r="I884" t="s">
        <v>34</v>
      </c>
      <c r="J884" t="s">
        <v>44</v>
      </c>
      <c r="K884" t="s">
        <v>36</v>
      </c>
      <c r="L884" t="s">
        <v>45</v>
      </c>
      <c r="M884">
        <v>0</v>
      </c>
      <c r="N884">
        <v>0</v>
      </c>
      <c r="O884" s="5"/>
      <c r="P884" s="5" t="s">
        <v>93</v>
      </c>
      <c r="Q884">
        <v>90</v>
      </c>
      <c r="R884" t="s">
        <v>46</v>
      </c>
      <c r="S884" t="s">
        <v>39</v>
      </c>
      <c r="T884">
        <v>33</v>
      </c>
      <c r="W884">
        <v>21.5</v>
      </c>
      <c r="X884">
        <v>46.5</v>
      </c>
      <c r="Z884" t="s">
        <v>39</v>
      </c>
      <c r="AB884" t="s">
        <v>60</v>
      </c>
      <c r="AC884" t="s">
        <v>41</v>
      </c>
    </row>
    <row r="885" spans="1:29" x14ac:dyDescent="0.35">
      <c r="A885" s="4">
        <v>42550</v>
      </c>
      <c r="B885" t="s">
        <v>30</v>
      </c>
      <c r="C885">
        <v>801</v>
      </c>
      <c r="D885">
        <v>3</v>
      </c>
      <c r="E885">
        <v>1</v>
      </c>
      <c r="F885" t="s">
        <v>42</v>
      </c>
      <c r="G885" t="s">
        <v>32</v>
      </c>
      <c r="H885" t="s">
        <v>33</v>
      </c>
      <c r="I885" t="s">
        <v>34</v>
      </c>
      <c r="J885" t="s">
        <v>44</v>
      </c>
      <c r="K885" t="s">
        <v>36</v>
      </c>
      <c r="L885" t="s">
        <v>37</v>
      </c>
      <c r="M885">
        <v>0</v>
      </c>
      <c r="N885">
        <v>0</v>
      </c>
      <c r="O885" s="5"/>
      <c r="P885" s="5">
        <v>50392</v>
      </c>
      <c r="Q885">
        <f>190-92</f>
        <v>98</v>
      </c>
      <c r="R885" t="s">
        <v>38</v>
      </c>
      <c r="T885">
        <v>34</v>
      </c>
      <c r="W885">
        <v>22</v>
      </c>
      <c r="X885">
        <v>44.5</v>
      </c>
      <c r="Z885" t="s">
        <v>39</v>
      </c>
      <c r="AB885" t="s">
        <v>60</v>
      </c>
      <c r="AC885" t="s">
        <v>41</v>
      </c>
    </row>
    <row r="886" spans="1:29" x14ac:dyDescent="0.35">
      <c r="A886" s="4">
        <v>42550</v>
      </c>
      <c r="B886" t="s">
        <v>30</v>
      </c>
      <c r="C886">
        <v>303</v>
      </c>
      <c r="D886">
        <v>2</v>
      </c>
      <c r="E886">
        <v>2</v>
      </c>
      <c r="F886" t="s">
        <v>31</v>
      </c>
      <c r="G886" t="s">
        <v>32</v>
      </c>
      <c r="H886" t="s">
        <v>33</v>
      </c>
      <c r="I886" t="s">
        <v>58</v>
      </c>
      <c r="J886" t="s">
        <v>35</v>
      </c>
      <c r="K886" t="s">
        <v>36</v>
      </c>
      <c r="L886" t="s">
        <v>37</v>
      </c>
      <c r="M886">
        <v>0</v>
      </c>
      <c r="N886">
        <v>1</v>
      </c>
      <c r="O886" s="5">
        <v>50437</v>
      </c>
      <c r="P886" s="5"/>
      <c r="Q886">
        <f>32-14</f>
        <v>18</v>
      </c>
      <c r="R886" t="s">
        <v>38</v>
      </c>
      <c r="T886">
        <v>17</v>
      </c>
      <c r="W886">
        <v>12.6</v>
      </c>
      <c r="X886">
        <v>27.8</v>
      </c>
      <c r="Z886" t="s">
        <v>39</v>
      </c>
      <c r="AB886" t="s">
        <v>86</v>
      </c>
      <c r="AC886" t="s">
        <v>41</v>
      </c>
    </row>
    <row r="887" spans="1:29" x14ac:dyDescent="0.35">
      <c r="A887" s="4">
        <v>42550</v>
      </c>
      <c r="B887" t="s">
        <v>30</v>
      </c>
      <c r="C887">
        <v>303</v>
      </c>
      <c r="D887">
        <v>1</v>
      </c>
      <c r="E887">
        <v>1</v>
      </c>
      <c r="F887" t="s">
        <v>31</v>
      </c>
      <c r="G887" t="s">
        <v>32</v>
      </c>
      <c r="H887" t="s">
        <v>33</v>
      </c>
      <c r="I887" t="s">
        <v>58</v>
      </c>
      <c r="J887" t="s">
        <v>35</v>
      </c>
      <c r="K887" t="s">
        <v>36</v>
      </c>
      <c r="L887" t="s">
        <v>37</v>
      </c>
      <c r="M887">
        <v>0</v>
      </c>
      <c r="N887">
        <v>1</v>
      </c>
      <c r="O887" s="5">
        <v>50439</v>
      </c>
      <c r="P887" s="5"/>
      <c r="Q887">
        <f>32-13</f>
        <v>19</v>
      </c>
      <c r="R887" t="s">
        <v>38</v>
      </c>
      <c r="T887">
        <v>19</v>
      </c>
      <c r="W887">
        <v>13</v>
      </c>
      <c r="X887">
        <v>28.5</v>
      </c>
      <c r="Z887" t="s">
        <v>39</v>
      </c>
      <c r="AB887" t="s">
        <v>86</v>
      </c>
      <c r="AC887" t="s">
        <v>41</v>
      </c>
    </row>
    <row r="888" spans="1:29" x14ac:dyDescent="0.35">
      <c r="A888" s="4">
        <v>42550</v>
      </c>
      <c r="B888" t="s">
        <v>30</v>
      </c>
      <c r="C888">
        <v>303</v>
      </c>
      <c r="D888">
        <v>10</v>
      </c>
      <c r="E888">
        <v>1</v>
      </c>
      <c r="F888" t="s">
        <v>31</v>
      </c>
      <c r="G888" t="s">
        <v>32</v>
      </c>
      <c r="H888" t="s">
        <v>33</v>
      </c>
      <c r="I888" t="s">
        <v>58</v>
      </c>
      <c r="J888" t="s">
        <v>35</v>
      </c>
      <c r="K888" t="s">
        <v>36</v>
      </c>
      <c r="L888" t="s">
        <v>37</v>
      </c>
      <c r="M888">
        <v>0</v>
      </c>
      <c r="N888">
        <v>1</v>
      </c>
      <c r="O888" s="5">
        <v>50450</v>
      </c>
      <c r="P888" s="5"/>
      <c r="R888" t="s">
        <v>38</v>
      </c>
      <c r="T888">
        <v>20</v>
      </c>
      <c r="W888">
        <v>12.8</v>
      </c>
      <c r="X888">
        <v>27.5</v>
      </c>
      <c r="Z888" t="s">
        <v>39</v>
      </c>
      <c r="AB888" t="s">
        <v>86</v>
      </c>
      <c r="AC888" t="s">
        <v>41</v>
      </c>
    </row>
    <row r="889" spans="1:29" x14ac:dyDescent="0.35">
      <c r="A889" s="4">
        <v>42550</v>
      </c>
      <c r="B889" t="s">
        <v>30</v>
      </c>
      <c r="C889">
        <v>701</v>
      </c>
      <c r="D889">
        <v>7</v>
      </c>
      <c r="E889">
        <v>2</v>
      </c>
      <c r="F889" t="s">
        <v>42</v>
      </c>
      <c r="G889" t="s">
        <v>32</v>
      </c>
      <c r="H889" t="s">
        <v>33</v>
      </c>
      <c r="I889" t="s">
        <v>58</v>
      </c>
      <c r="J889" t="s">
        <v>44</v>
      </c>
      <c r="K889" t="s">
        <v>36</v>
      </c>
      <c r="L889" t="s">
        <v>37</v>
      </c>
      <c r="M889">
        <v>0</v>
      </c>
      <c r="N889">
        <v>0</v>
      </c>
      <c r="O889" s="5">
        <v>50452</v>
      </c>
      <c r="P889" s="5"/>
      <c r="Q889">
        <f>30.5-13.5</f>
        <v>17</v>
      </c>
      <c r="R889" t="s">
        <v>64</v>
      </c>
      <c r="T889">
        <v>16</v>
      </c>
      <c r="W889">
        <v>12.6</v>
      </c>
      <c r="X889">
        <v>25.5</v>
      </c>
      <c r="Z889" t="s">
        <v>39</v>
      </c>
      <c r="AB889" t="s">
        <v>136</v>
      </c>
      <c r="AC889" t="s">
        <v>41</v>
      </c>
    </row>
    <row r="890" spans="1:29" x14ac:dyDescent="0.35">
      <c r="A890" s="4">
        <v>42550</v>
      </c>
      <c r="B890" t="s">
        <v>30</v>
      </c>
      <c r="C890">
        <v>503</v>
      </c>
      <c r="D890">
        <v>7</v>
      </c>
      <c r="E890">
        <v>1</v>
      </c>
      <c r="F890" t="s">
        <v>31</v>
      </c>
      <c r="G890" t="s">
        <v>32</v>
      </c>
      <c r="H890" t="s">
        <v>33</v>
      </c>
      <c r="I890" t="s">
        <v>58</v>
      </c>
      <c r="J890" t="s">
        <v>44</v>
      </c>
      <c r="K890" t="s">
        <v>36</v>
      </c>
      <c r="L890" t="s">
        <v>37</v>
      </c>
      <c r="M890">
        <v>0</v>
      </c>
      <c r="N890">
        <v>0</v>
      </c>
      <c r="O890" s="5">
        <v>50579</v>
      </c>
      <c r="P890" s="5"/>
      <c r="Q890">
        <f>40-12</f>
        <v>28</v>
      </c>
      <c r="R890" t="s">
        <v>38</v>
      </c>
      <c r="T890">
        <v>17</v>
      </c>
      <c r="Z890" t="s">
        <v>39</v>
      </c>
      <c r="AB890" t="s">
        <v>86</v>
      </c>
      <c r="AC890" t="s">
        <v>41</v>
      </c>
    </row>
    <row r="891" spans="1:29" x14ac:dyDescent="0.35">
      <c r="A891" s="4">
        <v>42550</v>
      </c>
      <c r="B891" t="s">
        <v>30</v>
      </c>
      <c r="C891">
        <v>703</v>
      </c>
      <c r="D891">
        <v>6</v>
      </c>
      <c r="E891">
        <v>2</v>
      </c>
      <c r="F891" t="s">
        <v>42</v>
      </c>
      <c r="G891" t="s">
        <v>32</v>
      </c>
      <c r="H891" t="s">
        <v>33</v>
      </c>
      <c r="I891" t="s">
        <v>58</v>
      </c>
      <c r="J891" t="s">
        <v>48</v>
      </c>
      <c r="K891" t="s">
        <v>36</v>
      </c>
      <c r="L891" t="s">
        <v>37</v>
      </c>
      <c r="M891">
        <v>1</v>
      </c>
      <c r="N891">
        <v>0</v>
      </c>
      <c r="O891" s="5">
        <v>50621</v>
      </c>
      <c r="P891" s="5"/>
      <c r="Q891">
        <f>38-13.5</f>
        <v>24.5</v>
      </c>
      <c r="R891" t="s">
        <v>38</v>
      </c>
      <c r="T891">
        <v>16</v>
      </c>
      <c r="W891">
        <v>12.2</v>
      </c>
      <c r="X891">
        <v>25</v>
      </c>
      <c r="Z891" t="s">
        <v>39</v>
      </c>
      <c r="AB891" t="s">
        <v>60</v>
      </c>
      <c r="AC891" t="s">
        <v>68</v>
      </c>
    </row>
    <row r="892" spans="1:29" x14ac:dyDescent="0.35">
      <c r="A892" s="4">
        <v>42550</v>
      </c>
      <c r="B892" t="s">
        <v>30</v>
      </c>
      <c r="C892">
        <v>701</v>
      </c>
      <c r="D892">
        <v>7</v>
      </c>
      <c r="E892">
        <v>1</v>
      </c>
      <c r="F892" t="s">
        <v>42</v>
      </c>
      <c r="G892" t="s">
        <v>32</v>
      </c>
      <c r="H892" t="s">
        <v>33</v>
      </c>
      <c r="I892" t="s">
        <v>58</v>
      </c>
      <c r="J892" t="s">
        <v>35</v>
      </c>
      <c r="K892" t="s">
        <v>36</v>
      </c>
      <c r="L892" t="s">
        <v>37</v>
      </c>
      <c r="M892">
        <v>0</v>
      </c>
      <c r="N892">
        <v>1</v>
      </c>
      <c r="O892" s="5">
        <v>50698</v>
      </c>
      <c r="P892" s="5"/>
      <c r="Q892">
        <f>34-13.5</f>
        <v>20.5</v>
      </c>
      <c r="R892" t="s">
        <v>64</v>
      </c>
      <c r="T892">
        <v>16</v>
      </c>
      <c r="W892">
        <v>12.5</v>
      </c>
      <c r="X892">
        <v>29.5</v>
      </c>
      <c r="Z892" t="s">
        <v>39</v>
      </c>
      <c r="AB892" t="s">
        <v>136</v>
      </c>
      <c r="AC892" t="s">
        <v>41</v>
      </c>
    </row>
    <row r="893" spans="1:29" x14ac:dyDescent="0.35">
      <c r="A893" s="4">
        <v>42550</v>
      </c>
      <c r="B893" t="s">
        <v>30</v>
      </c>
      <c r="C893">
        <v>901</v>
      </c>
      <c r="D893">
        <v>10</v>
      </c>
      <c r="E893">
        <v>1</v>
      </c>
      <c r="F893" t="s">
        <v>42</v>
      </c>
      <c r="G893" t="s">
        <v>32</v>
      </c>
      <c r="H893" t="s">
        <v>33</v>
      </c>
      <c r="I893" t="s">
        <v>65</v>
      </c>
      <c r="J893" t="s">
        <v>35</v>
      </c>
      <c r="K893" t="s">
        <v>36</v>
      </c>
      <c r="M893">
        <v>0</v>
      </c>
      <c r="N893">
        <v>0</v>
      </c>
      <c r="O893" s="5">
        <v>50694</v>
      </c>
      <c r="P893" s="5"/>
      <c r="T893">
        <v>46</v>
      </c>
      <c r="W893">
        <v>26</v>
      </c>
      <c r="X893">
        <v>49.4</v>
      </c>
      <c r="Z893" t="s">
        <v>39</v>
      </c>
      <c r="AB893" t="s">
        <v>60</v>
      </c>
      <c r="AC893" t="s">
        <v>41</v>
      </c>
    </row>
    <row r="894" spans="1:29" x14ac:dyDescent="0.35">
      <c r="A894" s="4">
        <v>42550</v>
      </c>
      <c r="B894" t="s">
        <v>30</v>
      </c>
      <c r="C894">
        <v>501</v>
      </c>
      <c r="D894">
        <v>4</v>
      </c>
      <c r="E894">
        <v>1</v>
      </c>
      <c r="F894" t="s">
        <v>31</v>
      </c>
      <c r="G894" t="s">
        <v>32</v>
      </c>
      <c r="H894" t="s">
        <v>33</v>
      </c>
      <c r="I894" t="s">
        <v>55</v>
      </c>
      <c r="J894" t="s">
        <v>66</v>
      </c>
      <c r="O894" s="5"/>
      <c r="P894" s="5"/>
      <c r="Z894" t="s">
        <v>39</v>
      </c>
    </row>
    <row r="895" spans="1:29" x14ac:dyDescent="0.35">
      <c r="A895" s="4">
        <v>42550</v>
      </c>
      <c r="B895" t="s">
        <v>30</v>
      </c>
      <c r="C895">
        <v>303</v>
      </c>
      <c r="D895">
        <v>7</v>
      </c>
      <c r="E895">
        <v>1</v>
      </c>
      <c r="F895" t="s">
        <v>31</v>
      </c>
      <c r="G895" t="s">
        <v>32</v>
      </c>
      <c r="H895" t="s">
        <v>33</v>
      </c>
      <c r="I895" t="s">
        <v>55</v>
      </c>
      <c r="J895" t="s">
        <v>66</v>
      </c>
      <c r="O895" s="5"/>
      <c r="P895" s="5"/>
      <c r="Z895" t="s">
        <v>39</v>
      </c>
    </row>
    <row r="896" spans="1:29" x14ac:dyDescent="0.35">
      <c r="A896" s="4">
        <v>42550</v>
      </c>
      <c r="B896" t="s">
        <v>30</v>
      </c>
      <c r="C896">
        <v>703</v>
      </c>
      <c r="D896">
        <v>5</v>
      </c>
      <c r="E896">
        <v>2</v>
      </c>
      <c r="F896" t="s">
        <v>42</v>
      </c>
      <c r="G896" t="s">
        <v>32</v>
      </c>
      <c r="H896" t="s">
        <v>33</v>
      </c>
      <c r="I896" t="s">
        <v>55</v>
      </c>
      <c r="J896" t="s">
        <v>66</v>
      </c>
      <c r="O896" s="5"/>
      <c r="P896" s="5"/>
      <c r="Z896" t="s">
        <v>39</v>
      </c>
    </row>
    <row r="897" spans="1:26" x14ac:dyDescent="0.35">
      <c r="A897" s="4">
        <v>42550</v>
      </c>
      <c r="B897" t="s">
        <v>30</v>
      </c>
      <c r="C897">
        <v>701</v>
      </c>
      <c r="D897">
        <v>8</v>
      </c>
      <c r="E897">
        <v>2</v>
      </c>
      <c r="F897" t="s">
        <v>42</v>
      </c>
      <c r="G897" t="s">
        <v>32</v>
      </c>
      <c r="H897" t="s">
        <v>33</v>
      </c>
      <c r="I897" t="s">
        <v>55</v>
      </c>
      <c r="J897" t="s">
        <v>66</v>
      </c>
      <c r="O897" s="5"/>
      <c r="P897" s="5"/>
      <c r="Z897" t="s">
        <v>39</v>
      </c>
    </row>
    <row r="898" spans="1:26" x14ac:dyDescent="0.35">
      <c r="A898" s="4">
        <v>42550</v>
      </c>
      <c r="B898" t="s">
        <v>30</v>
      </c>
      <c r="C898">
        <v>801</v>
      </c>
      <c r="D898">
        <v>5</v>
      </c>
      <c r="E898">
        <v>2</v>
      </c>
      <c r="F898" t="s">
        <v>42</v>
      </c>
      <c r="G898" t="s">
        <v>32</v>
      </c>
      <c r="H898" t="s">
        <v>33</v>
      </c>
      <c r="I898" t="s">
        <v>55</v>
      </c>
      <c r="J898" t="s">
        <v>66</v>
      </c>
      <c r="O898" s="5"/>
      <c r="P898" s="5"/>
      <c r="Z898" t="s">
        <v>39</v>
      </c>
    </row>
    <row r="899" spans="1:26" x14ac:dyDescent="0.35">
      <c r="A899" s="4">
        <v>42550</v>
      </c>
      <c r="B899" t="s">
        <v>30</v>
      </c>
      <c r="C899">
        <v>501</v>
      </c>
      <c r="D899">
        <v>1</v>
      </c>
      <c r="E899">
        <v>1</v>
      </c>
      <c r="F899" t="s">
        <v>31</v>
      </c>
      <c r="G899" t="s">
        <v>32</v>
      </c>
      <c r="H899" t="s">
        <v>33</v>
      </c>
      <c r="I899" t="s">
        <v>84</v>
      </c>
      <c r="O899" s="5"/>
      <c r="P899" s="5"/>
      <c r="Z899" t="s">
        <v>39</v>
      </c>
    </row>
    <row r="900" spans="1:26" x14ac:dyDescent="0.35">
      <c r="A900" s="4">
        <v>42550</v>
      </c>
      <c r="B900" t="s">
        <v>30</v>
      </c>
      <c r="C900">
        <v>501</v>
      </c>
      <c r="D900">
        <v>3</v>
      </c>
      <c r="E900">
        <v>1</v>
      </c>
      <c r="F900" t="s">
        <v>31</v>
      </c>
      <c r="G900" t="s">
        <v>32</v>
      </c>
      <c r="H900" t="s">
        <v>33</v>
      </c>
      <c r="I900" t="s">
        <v>84</v>
      </c>
      <c r="O900" s="5"/>
      <c r="P900" s="5"/>
      <c r="Z900" t="s">
        <v>39</v>
      </c>
    </row>
    <row r="901" spans="1:26" x14ac:dyDescent="0.35">
      <c r="A901" s="4">
        <v>42550</v>
      </c>
      <c r="B901" t="s">
        <v>30</v>
      </c>
      <c r="C901">
        <v>501</v>
      </c>
      <c r="D901">
        <v>4</v>
      </c>
      <c r="E901">
        <v>2</v>
      </c>
      <c r="F901" t="s">
        <v>31</v>
      </c>
      <c r="G901" t="s">
        <v>32</v>
      </c>
      <c r="H901" t="s">
        <v>33</v>
      </c>
      <c r="I901" t="s">
        <v>84</v>
      </c>
      <c r="O901" s="5"/>
      <c r="P901" s="5"/>
      <c r="Z901" t="s">
        <v>39</v>
      </c>
    </row>
    <row r="902" spans="1:26" x14ac:dyDescent="0.35">
      <c r="A902" s="4">
        <v>42550</v>
      </c>
      <c r="B902" t="s">
        <v>30</v>
      </c>
      <c r="C902">
        <v>501</v>
      </c>
      <c r="D902">
        <v>5</v>
      </c>
      <c r="E902">
        <v>1</v>
      </c>
      <c r="F902" t="s">
        <v>31</v>
      </c>
      <c r="G902" t="s">
        <v>32</v>
      </c>
      <c r="H902" t="s">
        <v>33</v>
      </c>
      <c r="I902" t="s">
        <v>84</v>
      </c>
      <c r="O902" s="5"/>
      <c r="P902" s="5"/>
      <c r="Z902" t="s">
        <v>39</v>
      </c>
    </row>
    <row r="903" spans="1:26" x14ac:dyDescent="0.35">
      <c r="A903" s="4">
        <v>42550</v>
      </c>
      <c r="B903" t="s">
        <v>30</v>
      </c>
      <c r="C903">
        <v>501</v>
      </c>
      <c r="D903">
        <v>6</v>
      </c>
      <c r="E903">
        <v>2</v>
      </c>
      <c r="F903" t="s">
        <v>31</v>
      </c>
      <c r="G903" t="s">
        <v>32</v>
      </c>
      <c r="H903" t="s">
        <v>33</v>
      </c>
      <c r="I903" t="s">
        <v>84</v>
      </c>
      <c r="O903" s="5"/>
      <c r="P903" s="5"/>
      <c r="Z903" t="s">
        <v>39</v>
      </c>
    </row>
    <row r="904" spans="1:26" x14ac:dyDescent="0.35">
      <c r="A904" s="4">
        <v>42550</v>
      </c>
      <c r="B904" t="s">
        <v>30</v>
      </c>
      <c r="C904">
        <v>501</v>
      </c>
      <c r="D904">
        <v>7</v>
      </c>
      <c r="E904">
        <v>1</v>
      </c>
      <c r="F904" t="s">
        <v>31</v>
      </c>
      <c r="G904" t="s">
        <v>32</v>
      </c>
      <c r="H904" t="s">
        <v>33</v>
      </c>
      <c r="I904" t="s">
        <v>84</v>
      </c>
      <c r="O904" s="5"/>
      <c r="P904" s="5"/>
      <c r="Z904" t="s">
        <v>39</v>
      </c>
    </row>
    <row r="905" spans="1:26" x14ac:dyDescent="0.35">
      <c r="A905" s="4">
        <v>42550</v>
      </c>
      <c r="B905" t="s">
        <v>30</v>
      </c>
      <c r="C905">
        <v>501</v>
      </c>
      <c r="D905">
        <v>8</v>
      </c>
      <c r="E905">
        <v>1</v>
      </c>
      <c r="F905" t="s">
        <v>31</v>
      </c>
      <c r="G905" t="s">
        <v>32</v>
      </c>
      <c r="H905" t="s">
        <v>33</v>
      </c>
      <c r="I905" t="s">
        <v>84</v>
      </c>
      <c r="O905" s="5"/>
      <c r="P905" s="5"/>
      <c r="Z905" t="s">
        <v>39</v>
      </c>
    </row>
    <row r="906" spans="1:26" x14ac:dyDescent="0.35">
      <c r="A906" s="4">
        <v>42550</v>
      </c>
      <c r="B906" t="s">
        <v>30</v>
      </c>
      <c r="C906">
        <v>501</v>
      </c>
      <c r="D906">
        <v>8</v>
      </c>
      <c r="E906">
        <v>2</v>
      </c>
      <c r="F906" t="s">
        <v>31</v>
      </c>
      <c r="G906" t="s">
        <v>32</v>
      </c>
      <c r="H906" t="s">
        <v>33</v>
      </c>
      <c r="I906" t="s">
        <v>84</v>
      </c>
      <c r="O906" s="5"/>
      <c r="P906" s="5"/>
      <c r="Z906" t="s">
        <v>39</v>
      </c>
    </row>
    <row r="907" spans="1:26" x14ac:dyDescent="0.35">
      <c r="A907" s="4">
        <v>42550</v>
      </c>
      <c r="B907" t="s">
        <v>30</v>
      </c>
      <c r="C907">
        <v>501</v>
      </c>
      <c r="D907">
        <v>9</v>
      </c>
      <c r="E907">
        <v>1</v>
      </c>
      <c r="F907" t="s">
        <v>31</v>
      </c>
      <c r="G907" t="s">
        <v>32</v>
      </c>
      <c r="H907" t="s">
        <v>33</v>
      </c>
      <c r="I907" t="s">
        <v>84</v>
      </c>
      <c r="O907" s="5"/>
      <c r="P907" s="5"/>
      <c r="Z907" t="s">
        <v>39</v>
      </c>
    </row>
    <row r="908" spans="1:26" x14ac:dyDescent="0.35">
      <c r="A908" s="4">
        <v>42550</v>
      </c>
      <c r="B908" t="s">
        <v>30</v>
      </c>
      <c r="C908">
        <v>501</v>
      </c>
      <c r="D908">
        <v>9</v>
      </c>
      <c r="E908">
        <v>2</v>
      </c>
      <c r="F908" t="s">
        <v>31</v>
      </c>
      <c r="G908" t="s">
        <v>32</v>
      </c>
      <c r="H908" t="s">
        <v>33</v>
      </c>
      <c r="I908" t="s">
        <v>84</v>
      </c>
      <c r="O908" s="5"/>
      <c r="P908" s="5"/>
      <c r="Z908" t="s">
        <v>39</v>
      </c>
    </row>
    <row r="909" spans="1:26" x14ac:dyDescent="0.35">
      <c r="A909" s="4">
        <v>42550</v>
      </c>
      <c r="B909" t="s">
        <v>30</v>
      </c>
      <c r="C909">
        <v>501</v>
      </c>
      <c r="D909">
        <v>10</v>
      </c>
      <c r="E909">
        <v>1</v>
      </c>
      <c r="F909" t="s">
        <v>31</v>
      </c>
      <c r="G909" t="s">
        <v>32</v>
      </c>
      <c r="H909" t="s">
        <v>33</v>
      </c>
      <c r="I909" t="s">
        <v>84</v>
      </c>
      <c r="O909" s="5"/>
      <c r="P909" s="5"/>
      <c r="Z909" t="s">
        <v>39</v>
      </c>
    </row>
    <row r="910" spans="1:26" x14ac:dyDescent="0.35">
      <c r="A910" s="4">
        <v>42550</v>
      </c>
      <c r="B910" t="s">
        <v>30</v>
      </c>
      <c r="C910">
        <v>501</v>
      </c>
      <c r="D910">
        <v>10</v>
      </c>
      <c r="E910">
        <v>2</v>
      </c>
      <c r="F910" t="s">
        <v>31</v>
      </c>
      <c r="G910" t="s">
        <v>32</v>
      </c>
      <c r="H910" t="s">
        <v>33</v>
      </c>
      <c r="I910" t="s">
        <v>84</v>
      </c>
      <c r="O910" s="5"/>
      <c r="P910" s="5"/>
      <c r="Z910" t="s">
        <v>39</v>
      </c>
    </row>
    <row r="911" spans="1:26" x14ac:dyDescent="0.35">
      <c r="A911" s="4">
        <v>42550</v>
      </c>
      <c r="B911" t="s">
        <v>30</v>
      </c>
      <c r="C911">
        <v>501</v>
      </c>
      <c r="D911">
        <v>1</v>
      </c>
      <c r="E911">
        <v>2</v>
      </c>
      <c r="F911" t="s">
        <v>31</v>
      </c>
      <c r="G911" t="s">
        <v>32</v>
      </c>
      <c r="H911" t="s">
        <v>33</v>
      </c>
      <c r="I911" t="s">
        <v>59</v>
      </c>
      <c r="O911" s="5"/>
      <c r="P911" s="5"/>
      <c r="Z911" t="s">
        <v>39</v>
      </c>
    </row>
    <row r="912" spans="1:26" x14ac:dyDescent="0.35">
      <c r="A912" s="4">
        <v>42550</v>
      </c>
      <c r="B912" t="s">
        <v>30</v>
      </c>
      <c r="C912">
        <v>503</v>
      </c>
      <c r="D912">
        <v>1</v>
      </c>
      <c r="E912">
        <v>2</v>
      </c>
      <c r="F912" t="s">
        <v>31</v>
      </c>
      <c r="G912" t="s">
        <v>32</v>
      </c>
      <c r="H912" t="s">
        <v>33</v>
      </c>
      <c r="I912" t="s">
        <v>59</v>
      </c>
      <c r="O912" s="5"/>
      <c r="P912" s="5"/>
      <c r="Z912" t="s">
        <v>39</v>
      </c>
    </row>
    <row r="913" spans="1:26" x14ac:dyDescent="0.35">
      <c r="A913" s="4">
        <v>42550</v>
      </c>
      <c r="B913" t="s">
        <v>30</v>
      </c>
      <c r="C913">
        <v>503</v>
      </c>
      <c r="D913">
        <v>2</v>
      </c>
      <c r="E913">
        <v>2</v>
      </c>
      <c r="F913" t="s">
        <v>31</v>
      </c>
      <c r="G913" t="s">
        <v>32</v>
      </c>
      <c r="H913" t="s">
        <v>33</v>
      </c>
      <c r="I913" t="s">
        <v>59</v>
      </c>
      <c r="O913" s="5"/>
      <c r="P913" s="5"/>
      <c r="Z913" t="s">
        <v>39</v>
      </c>
    </row>
    <row r="914" spans="1:26" x14ac:dyDescent="0.35">
      <c r="A914" s="4">
        <v>42550</v>
      </c>
      <c r="B914" t="s">
        <v>30</v>
      </c>
      <c r="C914">
        <v>503</v>
      </c>
      <c r="D914">
        <v>2</v>
      </c>
      <c r="E914">
        <v>2</v>
      </c>
      <c r="F914" t="s">
        <v>31</v>
      </c>
      <c r="G914" t="s">
        <v>32</v>
      </c>
      <c r="H914" t="s">
        <v>33</v>
      </c>
      <c r="I914" t="s">
        <v>59</v>
      </c>
      <c r="O914" s="5"/>
      <c r="P914" s="5"/>
      <c r="Z914" t="s">
        <v>39</v>
      </c>
    </row>
    <row r="915" spans="1:26" x14ac:dyDescent="0.35">
      <c r="A915" s="4">
        <v>42550</v>
      </c>
      <c r="B915" t="s">
        <v>30</v>
      </c>
      <c r="C915">
        <v>503</v>
      </c>
      <c r="D915">
        <v>4</v>
      </c>
      <c r="E915">
        <v>1</v>
      </c>
      <c r="F915" t="s">
        <v>31</v>
      </c>
      <c r="G915" t="s">
        <v>32</v>
      </c>
      <c r="H915" t="s">
        <v>33</v>
      </c>
      <c r="I915" t="s">
        <v>59</v>
      </c>
      <c r="O915" s="5"/>
      <c r="P915" s="5"/>
      <c r="Z915" t="s">
        <v>39</v>
      </c>
    </row>
    <row r="916" spans="1:26" x14ac:dyDescent="0.35">
      <c r="A916" s="4">
        <v>42550</v>
      </c>
      <c r="B916" t="s">
        <v>30</v>
      </c>
      <c r="C916">
        <v>503</v>
      </c>
      <c r="D916">
        <v>6</v>
      </c>
      <c r="E916">
        <v>2</v>
      </c>
      <c r="F916" t="s">
        <v>31</v>
      </c>
      <c r="G916" t="s">
        <v>32</v>
      </c>
      <c r="H916" t="s">
        <v>33</v>
      </c>
      <c r="I916" t="s">
        <v>59</v>
      </c>
      <c r="O916" s="5"/>
      <c r="P916" s="5"/>
      <c r="Z916" t="s">
        <v>39</v>
      </c>
    </row>
    <row r="917" spans="1:26" x14ac:dyDescent="0.35">
      <c r="A917" s="4">
        <v>42550</v>
      </c>
      <c r="B917" t="s">
        <v>30</v>
      </c>
      <c r="C917">
        <v>503</v>
      </c>
      <c r="D917">
        <v>7</v>
      </c>
      <c r="E917">
        <v>2</v>
      </c>
      <c r="F917" t="s">
        <v>31</v>
      </c>
      <c r="G917" t="s">
        <v>32</v>
      </c>
      <c r="H917" t="s">
        <v>33</v>
      </c>
      <c r="I917" t="s">
        <v>59</v>
      </c>
      <c r="O917" s="5"/>
      <c r="P917" s="5"/>
      <c r="Z917" t="s">
        <v>39</v>
      </c>
    </row>
    <row r="918" spans="1:26" x14ac:dyDescent="0.35">
      <c r="A918" s="4">
        <v>42550</v>
      </c>
      <c r="B918" t="s">
        <v>30</v>
      </c>
      <c r="C918">
        <v>503</v>
      </c>
      <c r="D918">
        <v>8</v>
      </c>
      <c r="E918">
        <v>1</v>
      </c>
      <c r="F918" t="s">
        <v>31</v>
      </c>
      <c r="G918" t="s">
        <v>32</v>
      </c>
      <c r="H918" t="s">
        <v>33</v>
      </c>
      <c r="I918" t="s">
        <v>59</v>
      </c>
      <c r="O918" s="5"/>
      <c r="P918" s="5"/>
      <c r="Z918" t="s">
        <v>39</v>
      </c>
    </row>
    <row r="919" spans="1:26" x14ac:dyDescent="0.35">
      <c r="A919" s="4">
        <v>42550</v>
      </c>
      <c r="B919" t="s">
        <v>30</v>
      </c>
      <c r="C919">
        <v>503</v>
      </c>
      <c r="D919">
        <v>10</v>
      </c>
      <c r="E919">
        <v>1</v>
      </c>
      <c r="F919" t="s">
        <v>31</v>
      </c>
      <c r="G919" t="s">
        <v>32</v>
      </c>
      <c r="H919" t="s">
        <v>33</v>
      </c>
      <c r="I919" t="s">
        <v>59</v>
      </c>
      <c r="O919" s="5"/>
      <c r="P919" s="5"/>
      <c r="Z919" t="s">
        <v>39</v>
      </c>
    </row>
    <row r="920" spans="1:26" x14ac:dyDescent="0.35">
      <c r="A920" s="4">
        <v>42550</v>
      </c>
      <c r="B920" t="s">
        <v>30</v>
      </c>
      <c r="C920">
        <v>503</v>
      </c>
      <c r="D920">
        <v>10</v>
      </c>
      <c r="E920">
        <v>2</v>
      </c>
      <c r="F920" t="s">
        <v>31</v>
      </c>
      <c r="G920" t="s">
        <v>32</v>
      </c>
      <c r="H920" t="s">
        <v>33</v>
      </c>
      <c r="I920" t="s">
        <v>59</v>
      </c>
      <c r="O920" s="5"/>
      <c r="P920" s="5"/>
      <c r="Z920" t="s">
        <v>39</v>
      </c>
    </row>
    <row r="921" spans="1:26" x14ac:dyDescent="0.35">
      <c r="A921" s="4">
        <v>42550</v>
      </c>
      <c r="B921" t="s">
        <v>30</v>
      </c>
      <c r="C921">
        <v>303</v>
      </c>
      <c r="D921">
        <v>3</v>
      </c>
      <c r="E921">
        <v>1</v>
      </c>
      <c r="F921" t="s">
        <v>31</v>
      </c>
      <c r="G921" t="s">
        <v>32</v>
      </c>
      <c r="H921" t="s">
        <v>33</v>
      </c>
      <c r="I921" t="s">
        <v>59</v>
      </c>
      <c r="O921" s="5"/>
      <c r="P921" s="5"/>
      <c r="Z921" t="s">
        <v>39</v>
      </c>
    </row>
    <row r="922" spans="1:26" x14ac:dyDescent="0.35">
      <c r="A922" s="4">
        <v>42550</v>
      </c>
      <c r="B922" t="s">
        <v>30</v>
      </c>
      <c r="C922">
        <v>303</v>
      </c>
      <c r="D922">
        <v>6</v>
      </c>
      <c r="E922">
        <v>1</v>
      </c>
      <c r="F922" t="s">
        <v>31</v>
      </c>
      <c r="G922" t="s">
        <v>32</v>
      </c>
      <c r="H922" t="s">
        <v>33</v>
      </c>
      <c r="I922" t="s">
        <v>59</v>
      </c>
      <c r="O922" s="5"/>
      <c r="P922" s="5"/>
      <c r="Z922" t="s">
        <v>39</v>
      </c>
    </row>
    <row r="923" spans="1:26" x14ac:dyDescent="0.35">
      <c r="A923" s="4">
        <v>42550</v>
      </c>
      <c r="B923" t="s">
        <v>30</v>
      </c>
      <c r="C923">
        <v>303</v>
      </c>
      <c r="D923">
        <v>6</v>
      </c>
      <c r="E923">
        <v>2</v>
      </c>
      <c r="F923" t="s">
        <v>31</v>
      </c>
      <c r="G923" t="s">
        <v>32</v>
      </c>
      <c r="H923" t="s">
        <v>33</v>
      </c>
      <c r="I923" t="s">
        <v>59</v>
      </c>
      <c r="O923" s="5"/>
      <c r="P923" s="5"/>
      <c r="Z923" t="s">
        <v>39</v>
      </c>
    </row>
    <row r="924" spans="1:26" x14ac:dyDescent="0.35">
      <c r="A924" s="4">
        <v>42550</v>
      </c>
      <c r="B924" t="s">
        <v>30</v>
      </c>
      <c r="C924">
        <v>303</v>
      </c>
      <c r="D924">
        <v>7</v>
      </c>
      <c r="E924">
        <v>2</v>
      </c>
      <c r="F924" t="s">
        <v>31</v>
      </c>
      <c r="G924" t="s">
        <v>32</v>
      </c>
      <c r="H924" t="s">
        <v>33</v>
      </c>
      <c r="I924" t="s">
        <v>59</v>
      </c>
      <c r="O924" s="5"/>
      <c r="P924" s="5"/>
      <c r="Z924" t="s">
        <v>39</v>
      </c>
    </row>
    <row r="925" spans="1:26" x14ac:dyDescent="0.35">
      <c r="A925" s="4">
        <v>42550</v>
      </c>
      <c r="B925" t="s">
        <v>30</v>
      </c>
      <c r="C925">
        <v>303</v>
      </c>
      <c r="D925">
        <v>9</v>
      </c>
      <c r="E925">
        <v>2</v>
      </c>
      <c r="F925" t="s">
        <v>31</v>
      </c>
      <c r="G925" t="s">
        <v>32</v>
      </c>
      <c r="H925" t="s">
        <v>33</v>
      </c>
      <c r="I925" t="s">
        <v>59</v>
      </c>
      <c r="O925" s="5"/>
      <c r="P925" s="5"/>
      <c r="Z925" t="s">
        <v>39</v>
      </c>
    </row>
    <row r="926" spans="1:26" x14ac:dyDescent="0.35">
      <c r="A926" s="4">
        <v>42550</v>
      </c>
      <c r="B926" t="s">
        <v>30</v>
      </c>
      <c r="C926">
        <v>401</v>
      </c>
      <c r="D926">
        <v>5</v>
      </c>
      <c r="E926">
        <v>1</v>
      </c>
      <c r="F926" t="s">
        <v>31</v>
      </c>
      <c r="G926" t="s">
        <v>32</v>
      </c>
      <c r="H926" t="s">
        <v>33</v>
      </c>
      <c r="I926" t="s">
        <v>59</v>
      </c>
      <c r="O926" s="5"/>
      <c r="P926" s="5"/>
      <c r="Z926" t="s">
        <v>39</v>
      </c>
    </row>
    <row r="927" spans="1:26" x14ac:dyDescent="0.35">
      <c r="A927" s="4">
        <v>42550</v>
      </c>
      <c r="B927" t="s">
        <v>30</v>
      </c>
      <c r="C927">
        <v>401</v>
      </c>
      <c r="D927">
        <v>5</v>
      </c>
      <c r="E927">
        <v>2</v>
      </c>
      <c r="F927" t="s">
        <v>31</v>
      </c>
      <c r="G927" t="s">
        <v>32</v>
      </c>
      <c r="H927" t="s">
        <v>33</v>
      </c>
      <c r="I927" t="s">
        <v>59</v>
      </c>
      <c r="O927" s="5"/>
      <c r="P927" s="5"/>
      <c r="Z927" t="s">
        <v>39</v>
      </c>
    </row>
    <row r="928" spans="1:26" x14ac:dyDescent="0.35">
      <c r="A928" s="4">
        <v>42550</v>
      </c>
      <c r="B928" t="s">
        <v>30</v>
      </c>
      <c r="C928">
        <v>401</v>
      </c>
      <c r="D928">
        <v>10</v>
      </c>
      <c r="E928">
        <v>1</v>
      </c>
      <c r="F928" t="s">
        <v>31</v>
      </c>
      <c r="G928" t="s">
        <v>32</v>
      </c>
      <c r="H928" t="s">
        <v>33</v>
      </c>
      <c r="I928" t="s">
        <v>59</v>
      </c>
      <c r="O928" s="5"/>
      <c r="P928" s="5"/>
      <c r="Z928" t="s">
        <v>39</v>
      </c>
    </row>
    <row r="929" spans="1:26" x14ac:dyDescent="0.35">
      <c r="A929" s="4">
        <v>42550</v>
      </c>
      <c r="B929" t="s">
        <v>30</v>
      </c>
      <c r="C929">
        <v>703</v>
      </c>
      <c r="D929">
        <v>1</v>
      </c>
      <c r="E929">
        <v>1</v>
      </c>
      <c r="F929" t="s">
        <v>42</v>
      </c>
      <c r="G929" t="s">
        <v>32</v>
      </c>
      <c r="H929" t="s">
        <v>33</v>
      </c>
      <c r="I929" t="s">
        <v>59</v>
      </c>
      <c r="O929" s="5"/>
      <c r="P929" s="5"/>
      <c r="Z929" t="s">
        <v>39</v>
      </c>
    </row>
    <row r="930" spans="1:26" x14ac:dyDescent="0.35">
      <c r="A930" s="4">
        <v>42550</v>
      </c>
      <c r="B930" t="s">
        <v>30</v>
      </c>
      <c r="C930">
        <v>703</v>
      </c>
      <c r="D930">
        <v>5</v>
      </c>
      <c r="E930">
        <v>1</v>
      </c>
      <c r="F930" t="s">
        <v>42</v>
      </c>
      <c r="G930" t="s">
        <v>32</v>
      </c>
      <c r="H930" t="s">
        <v>33</v>
      </c>
      <c r="I930" t="s">
        <v>59</v>
      </c>
      <c r="O930" s="5"/>
      <c r="P930" s="5"/>
      <c r="Z930" t="s">
        <v>39</v>
      </c>
    </row>
    <row r="931" spans="1:26" x14ac:dyDescent="0.35">
      <c r="A931" s="4">
        <v>42550</v>
      </c>
      <c r="B931" t="s">
        <v>30</v>
      </c>
      <c r="C931">
        <v>703</v>
      </c>
      <c r="D931">
        <v>6</v>
      </c>
      <c r="E931">
        <v>1</v>
      </c>
      <c r="F931" t="s">
        <v>42</v>
      </c>
      <c r="G931" t="s">
        <v>32</v>
      </c>
      <c r="H931" t="s">
        <v>33</v>
      </c>
      <c r="I931" t="s">
        <v>59</v>
      </c>
      <c r="O931" s="5"/>
      <c r="P931" s="5"/>
      <c r="Z931" t="s">
        <v>39</v>
      </c>
    </row>
    <row r="932" spans="1:26" x14ac:dyDescent="0.35">
      <c r="A932" s="4">
        <v>42550</v>
      </c>
      <c r="B932" t="s">
        <v>30</v>
      </c>
      <c r="C932">
        <v>703</v>
      </c>
      <c r="D932">
        <v>7</v>
      </c>
      <c r="E932">
        <v>1</v>
      </c>
      <c r="F932" t="s">
        <v>42</v>
      </c>
      <c r="G932" t="s">
        <v>32</v>
      </c>
      <c r="H932" t="s">
        <v>33</v>
      </c>
      <c r="I932" t="s">
        <v>59</v>
      </c>
      <c r="O932" s="5"/>
      <c r="P932" s="5"/>
      <c r="Z932" t="s">
        <v>39</v>
      </c>
    </row>
    <row r="933" spans="1:26" x14ac:dyDescent="0.35">
      <c r="A933" s="4">
        <v>42550</v>
      </c>
      <c r="B933" t="s">
        <v>30</v>
      </c>
      <c r="C933">
        <v>703</v>
      </c>
      <c r="D933">
        <v>8</v>
      </c>
      <c r="E933">
        <v>1</v>
      </c>
      <c r="F933" t="s">
        <v>42</v>
      </c>
      <c r="G933" t="s">
        <v>32</v>
      </c>
      <c r="H933" t="s">
        <v>33</v>
      </c>
      <c r="I933" t="s">
        <v>59</v>
      </c>
      <c r="O933" s="5"/>
      <c r="P933" s="5"/>
      <c r="Z933" t="s">
        <v>39</v>
      </c>
    </row>
    <row r="934" spans="1:26" x14ac:dyDescent="0.35">
      <c r="A934" s="4">
        <v>42550</v>
      </c>
      <c r="B934" t="s">
        <v>30</v>
      </c>
      <c r="C934">
        <v>703</v>
      </c>
      <c r="D934">
        <v>8</v>
      </c>
      <c r="E934">
        <v>2</v>
      </c>
      <c r="F934" t="s">
        <v>42</v>
      </c>
      <c r="G934" t="s">
        <v>32</v>
      </c>
      <c r="H934" t="s">
        <v>33</v>
      </c>
      <c r="I934" t="s">
        <v>59</v>
      </c>
      <c r="O934" s="5"/>
      <c r="P934" s="5"/>
      <c r="Z934" t="s">
        <v>39</v>
      </c>
    </row>
    <row r="935" spans="1:26" x14ac:dyDescent="0.35">
      <c r="A935" s="4">
        <v>42550</v>
      </c>
      <c r="B935" t="s">
        <v>30</v>
      </c>
      <c r="C935">
        <v>703</v>
      </c>
      <c r="D935">
        <v>9</v>
      </c>
      <c r="E935">
        <v>1</v>
      </c>
      <c r="F935" t="s">
        <v>42</v>
      </c>
      <c r="G935" t="s">
        <v>32</v>
      </c>
      <c r="H935" t="s">
        <v>33</v>
      </c>
      <c r="I935" t="s">
        <v>59</v>
      </c>
      <c r="O935" s="5"/>
      <c r="P935" s="5"/>
      <c r="Z935" t="s">
        <v>39</v>
      </c>
    </row>
    <row r="936" spans="1:26" x14ac:dyDescent="0.35">
      <c r="A936" s="4">
        <v>42550</v>
      </c>
      <c r="B936" t="s">
        <v>30</v>
      </c>
      <c r="C936">
        <v>701</v>
      </c>
      <c r="D936">
        <v>3</v>
      </c>
      <c r="E936">
        <v>1</v>
      </c>
      <c r="F936" t="s">
        <v>42</v>
      </c>
      <c r="G936" t="s">
        <v>32</v>
      </c>
      <c r="H936" t="s">
        <v>33</v>
      </c>
      <c r="I936" t="s">
        <v>59</v>
      </c>
      <c r="O936" s="5"/>
      <c r="P936" s="5"/>
      <c r="Z936" t="s">
        <v>39</v>
      </c>
    </row>
    <row r="937" spans="1:26" x14ac:dyDescent="0.35">
      <c r="A937" s="4">
        <v>42550</v>
      </c>
      <c r="B937" t="s">
        <v>30</v>
      </c>
      <c r="C937">
        <v>701</v>
      </c>
      <c r="D937">
        <v>9</v>
      </c>
      <c r="E937">
        <v>1</v>
      </c>
      <c r="F937" t="s">
        <v>42</v>
      </c>
      <c r="G937" t="s">
        <v>32</v>
      </c>
      <c r="H937" t="s">
        <v>33</v>
      </c>
      <c r="I937" t="s">
        <v>59</v>
      </c>
      <c r="O937" s="5"/>
      <c r="P937" s="5"/>
      <c r="Z937" t="s">
        <v>39</v>
      </c>
    </row>
    <row r="938" spans="1:26" x14ac:dyDescent="0.35">
      <c r="A938" s="4">
        <v>42550</v>
      </c>
      <c r="B938" t="s">
        <v>30</v>
      </c>
      <c r="C938">
        <v>701</v>
      </c>
      <c r="D938">
        <v>10</v>
      </c>
      <c r="E938">
        <v>1</v>
      </c>
      <c r="F938" t="s">
        <v>42</v>
      </c>
      <c r="G938" t="s">
        <v>32</v>
      </c>
      <c r="H938" t="s">
        <v>33</v>
      </c>
      <c r="I938" t="s">
        <v>59</v>
      </c>
      <c r="O938" s="5"/>
      <c r="P938" s="5"/>
      <c r="Z938" t="s">
        <v>39</v>
      </c>
    </row>
    <row r="939" spans="1:26" x14ac:dyDescent="0.35">
      <c r="A939" s="4">
        <v>42550</v>
      </c>
      <c r="B939" t="s">
        <v>30</v>
      </c>
      <c r="C939">
        <v>801</v>
      </c>
      <c r="D939">
        <v>3</v>
      </c>
      <c r="E939">
        <v>2</v>
      </c>
      <c r="F939" t="s">
        <v>42</v>
      </c>
      <c r="G939" t="s">
        <v>32</v>
      </c>
      <c r="H939" t="s">
        <v>33</v>
      </c>
      <c r="I939" t="s">
        <v>59</v>
      </c>
      <c r="O939" s="5"/>
      <c r="P939" s="5"/>
      <c r="Z939" t="s">
        <v>39</v>
      </c>
    </row>
    <row r="940" spans="1:26" x14ac:dyDescent="0.35">
      <c r="A940" s="4">
        <v>42550</v>
      </c>
      <c r="B940" t="s">
        <v>30</v>
      </c>
      <c r="C940">
        <v>801</v>
      </c>
      <c r="D940">
        <v>4</v>
      </c>
      <c r="E940">
        <v>1</v>
      </c>
      <c r="F940" t="s">
        <v>42</v>
      </c>
      <c r="G940" t="s">
        <v>32</v>
      </c>
      <c r="H940" t="s">
        <v>33</v>
      </c>
      <c r="I940" t="s">
        <v>59</v>
      </c>
      <c r="O940" s="5"/>
      <c r="P940" s="5"/>
      <c r="Z940" t="s">
        <v>39</v>
      </c>
    </row>
    <row r="941" spans="1:26" x14ac:dyDescent="0.35">
      <c r="A941" s="4">
        <v>42550</v>
      </c>
      <c r="B941" t="s">
        <v>30</v>
      </c>
      <c r="C941">
        <v>801</v>
      </c>
      <c r="D941">
        <v>5</v>
      </c>
      <c r="E941">
        <v>1</v>
      </c>
      <c r="F941" t="s">
        <v>42</v>
      </c>
      <c r="G941" t="s">
        <v>32</v>
      </c>
      <c r="H941" t="s">
        <v>33</v>
      </c>
      <c r="I941" t="s">
        <v>59</v>
      </c>
      <c r="O941" s="5"/>
      <c r="P941" s="5"/>
      <c r="Z941" t="s">
        <v>39</v>
      </c>
    </row>
    <row r="942" spans="1:26" x14ac:dyDescent="0.35">
      <c r="A942" s="4">
        <v>42550</v>
      </c>
      <c r="B942" t="s">
        <v>30</v>
      </c>
      <c r="C942">
        <v>803</v>
      </c>
      <c r="D942">
        <v>8</v>
      </c>
      <c r="E942">
        <v>1</v>
      </c>
      <c r="F942" t="s">
        <v>42</v>
      </c>
      <c r="G942" t="s">
        <v>32</v>
      </c>
      <c r="H942" t="s">
        <v>33</v>
      </c>
      <c r="I942" t="s">
        <v>59</v>
      </c>
      <c r="O942" s="5"/>
      <c r="P942" s="5"/>
      <c r="Z942" t="s">
        <v>39</v>
      </c>
    </row>
    <row r="943" spans="1:26" x14ac:dyDescent="0.35">
      <c r="A943" s="4">
        <v>42550</v>
      </c>
      <c r="B943" t="s">
        <v>30</v>
      </c>
      <c r="C943">
        <v>803</v>
      </c>
      <c r="D943">
        <v>8</v>
      </c>
      <c r="E943">
        <v>2</v>
      </c>
      <c r="F943" t="s">
        <v>42</v>
      </c>
      <c r="G943" t="s">
        <v>32</v>
      </c>
      <c r="H943" t="s">
        <v>33</v>
      </c>
      <c r="I943" t="s">
        <v>59</v>
      </c>
      <c r="O943" s="5"/>
      <c r="P943" s="5"/>
      <c r="Z943" t="s">
        <v>39</v>
      </c>
    </row>
    <row r="944" spans="1:26" x14ac:dyDescent="0.35">
      <c r="A944" s="4">
        <v>42550</v>
      </c>
      <c r="B944" t="s">
        <v>30</v>
      </c>
      <c r="C944">
        <v>803</v>
      </c>
      <c r="D944">
        <v>6</v>
      </c>
      <c r="E944">
        <v>1</v>
      </c>
      <c r="F944" t="s">
        <v>42</v>
      </c>
      <c r="G944" t="s">
        <v>32</v>
      </c>
      <c r="H944" t="s">
        <v>33</v>
      </c>
      <c r="I944" t="s">
        <v>59</v>
      </c>
      <c r="O944" s="5"/>
      <c r="P944" s="5"/>
      <c r="Z944" t="s">
        <v>39</v>
      </c>
    </row>
    <row r="945" spans="1:30" x14ac:dyDescent="0.35">
      <c r="A945" s="4">
        <v>42550</v>
      </c>
      <c r="B945" t="s">
        <v>30</v>
      </c>
      <c r="C945">
        <v>803</v>
      </c>
      <c r="D945">
        <v>2</v>
      </c>
      <c r="E945">
        <v>1</v>
      </c>
      <c r="F945" t="s">
        <v>42</v>
      </c>
      <c r="G945" t="s">
        <v>32</v>
      </c>
      <c r="H945" t="s">
        <v>33</v>
      </c>
      <c r="I945" t="s">
        <v>59</v>
      </c>
      <c r="O945" s="5"/>
      <c r="P945" s="5"/>
      <c r="Z945" t="s">
        <v>39</v>
      </c>
    </row>
    <row r="946" spans="1:30" x14ac:dyDescent="0.35">
      <c r="A946" s="4">
        <v>42550</v>
      </c>
      <c r="B946" t="s">
        <v>30</v>
      </c>
      <c r="C946">
        <v>803</v>
      </c>
      <c r="D946">
        <v>2</v>
      </c>
      <c r="E946">
        <v>2</v>
      </c>
      <c r="F946" t="s">
        <v>42</v>
      </c>
      <c r="G946" t="s">
        <v>32</v>
      </c>
      <c r="H946" t="s">
        <v>33</v>
      </c>
      <c r="I946" t="s">
        <v>59</v>
      </c>
      <c r="O946" s="5"/>
      <c r="P946" s="5"/>
      <c r="Z946" t="s">
        <v>39</v>
      </c>
    </row>
    <row r="947" spans="1:30" x14ac:dyDescent="0.35">
      <c r="A947" s="4">
        <v>42550</v>
      </c>
      <c r="B947" t="s">
        <v>30</v>
      </c>
      <c r="C947">
        <v>503</v>
      </c>
      <c r="D947">
        <v>5</v>
      </c>
      <c r="E947">
        <v>1</v>
      </c>
      <c r="F947" t="s">
        <v>31</v>
      </c>
      <c r="G947" t="s">
        <v>32</v>
      </c>
      <c r="H947" t="s">
        <v>33</v>
      </c>
      <c r="I947" t="s">
        <v>94</v>
      </c>
      <c r="J947" t="s">
        <v>35</v>
      </c>
      <c r="K947" t="s">
        <v>36</v>
      </c>
      <c r="L947" t="s">
        <v>45</v>
      </c>
      <c r="M947">
        <v>0</v>
      </c>
      <c r="N947">
        <v>0</v>
      </c>
      <c r="O947" s="5">
        <v>50449</v>
      </c>
      <c r="P947" s="5"/>
      <c r="Q947">
        <f>36-11</f>
        <v>25</v>
      </c>
      <c r="R947" t="s">
        <v>143</v>
      </c>
      <c r="S947" t="s">
        <v>102</v>
      </c>
      <c r="T947">
        <v>30</v>
      </c>
      <c r="W947">
        <v>13</v>
      </c>
      <c r="X947">
        <v>30</v>
      </c>
      <c r="Z947" t="s">
        <v>39</v>
      </c>
      <c r="AB947" t="s">
        <v>97</v>
      </c>
      <c r="AC947" t="s">
        <v>41</v>
      </c>
    </row>
    <row r="948" spans="1:30" x14ac:dyDescent="0.35">
      <c r="A948" s="4">
        <v>42550</v>
      </c>
      <c r="B948" t="s">
        <v>30</v>
      </c>
      <c r="C948">
        <v>303</v>
      </c>
      <c r="D948">
        <v>4</v>
      </c>
      <c r="E948">
        <v>1</v>
      </c>
      <c r="F948" t="s">
        <v>31</v>
      </c>
      <c r="G948" t="s">
        <v>32</v>
      </c>
      <c r="H948" t="s">
        <v>33</v>
      </c>
      <c r="I948" t="s">
        <v>94</v>
      </c>
      <c r="J948" t="s">
        <v>44</v>
      </c>
      <c r="K948" t="s">
        <v>36</v>
      </c>
      <c r="L948" t="s">
        <v>45</v>
      </c>
      <c r="M948">
        <v>0</v>
      </c>
      <c r="N948">
        <v>0</v>
      </c>
      <c r="O948" s="5" t="s">
        <v>135</v>
      </c>
      <c r="P948" s="5"/>
      <c r="Q948">
        <f>32-12</f>
        <v>20</v>
      </c>
      <c r="R948" t="s">
        <v>143</v>
      </c>
      <c r="S948" t="s">
        <v>102</v>
      </c>
      <c r="T948">
        <v>27</v>
      </c>
      <c r="W948">
        <v>13.5</v>
      </c>
      <c r="X948">
        <v>28</v>
      </c>
      <c r="Z948" t="s">
        <v>39</v>
      </c>
      <c r="AB948" t="s">
        <v>86</v>
      </c>
      <c r="AC948" t="s">
        <v>41</v>
      </c>
    </row>
    <row r="949" spans="1:30" x14ac:dyDescent="0.35">
      <c r="A949" s="4">
        <v>42550</v>
      </c>
      <c r="B949" t="s">
        <v>30</v>
      </c>
      <c r="C949">
        <v>501</v>
      </c>
      <c r="D949">
        <v>5</v>
      </c>
      <c r="E949">
        <v>2</v>
      </c>
      <c r="F949" t="s">
        <v>31</v>
      </c>
      <c r="G949" t="s">
        <v>32</v>
      </c>
      <c r="H949" t="s">
        <v>33</v>
      </c>
      <c r="I949" t="s">
        <v>94</v>
      </c>
      <c r="J949" t="s">
        <v>122</v>
      </c>
      <c r="O949" s="5"/>
      <c r="P949" s="5"/>
      <c r="Z949" t="s">
        <v>39</v>
      </c>
    </row>
    <row r="950" spans="1:30" x14ac:dyDescent="0.35">
      <c r="A950" s="4">
        <v>42550</v>
      </c>
      <c r="B950" t="s">
        <v>30</v>
      </c>
      <c r="C950">
        <v>701</v>
      </c>
      <c r="D950">
        <v>3</v>
      </c>
      <c r="E950">
        <v>2</v>
      </c>
      <c r="F950" t="s">
        <v>42</v>
      </c>
      <c r="G950" t="s">
        <v>32</v>
      </c>
      <c r="H950" t="s">
        <v>33</v>
      </c>
      <c r="I950" t="s">
        <v>94</v>
      </c>
      <c r="J950" t="s">
        <v>44</v>
      </c>
      <c r="K950" t="s">
        <v>36</v>
      </c>
      <c r="L950" t="s">
        <v>45</v>
      </c>
      <c r="M950">
        <v>0</v>
      </c>
      <c r="N950">
        <v>0</v>
      </c>
      <c r="O950" s="5"/>
      <c r="P950" s="5">
        <v>50481</v>
      </c>
      <c r="Q950">
        <f>36-12.5</f>
        <v>23.5</v>
      </c>
      <c r="R950" t="s">
        <v>74</v>
      </c>
      <c r="S950" t="s">
        <v>102</v>
      </c>
      <c r="T950">
        <v>28</v>
      </c>
      <c r="W950">
        <v>12.8</v>
      </c>
      <c r="X950">
        <v>25.7</v>
      </c>
      <c r="Z950" t="s">
        <v>39</v>
      </c>
      <c r="AB950" t="s">
        <v>136</v>
      </c>
      <c r="AC950" t="s">
        <v>41</v>
      </c>
    </row>
    <row r="951" spans="1:30" x14ac:dyDescent="0.35">
      <c r="A951" s="4">
        <v>42550</v>
      </c>
      <c r="B951" t="s">
        <v>30</v>
      </c>
      <c r="C951">
        <v>801</v>
      </c>
      <c r="D951">
        <v>2</v>
      </c>
      <c r="E951">
        <v>1</v>
      </c>
      <c r="F951" t="s">
        <v>42</v>
      </c>
      <c r="G951" t="s">
        <v>32</v>
      </c>
      <c r="H951" t="s">
        <v>33</v>
      </c>
      <c r="I951" t="s">
        <v>94</v>
      </c>
      <c r="J951" t="s">
        <v>44</v>
      </c>
      <c r="K951" t="s">
        <v>36</v>
      </c>
      <c r="L951" t="s">
        <v>45</v>
      </c>
      <c r="M951">
        <v>0</v>
      </c>
      <c r="N951">
        <v>0</v>
      </c>
      <c r="O951" s="5"/>
      <c r="P951" s="5" t="s">
        <v>172</v>
      </c>
      <c r="Q951">
        <f>36-12</f>
        <v>24</v>
      </c>
      <c r="R951" t="s">
        <v>74</v>
      </c>
      <c r="S951" t="s">
        <v>102</v>
      </c>
      <c r="T951">
        <v>28</v>
      </c>
      <c r="W951">
        <v>12.5</v>
      </c>
      <c r="X951">
        <v>26.7</v>
      </c>
      <c r="Z951" t="s">
        <v>39</v>
      </c>
      <c r="AB951" t="s">
        <v>60</v>
      </c>
      <c r="AC951" t="s">
        <v>41</v>
      </c>
    </row>
    <row r="952" spans="1:30" x14ac:dyDescent="0.35">
      <c r="A952" s="4">
        <v>42550</v>
      </c>
      <c r="B952" t="s">
        <v>30</v>
      </c>
      <c r="C952">
        <v>803</v>
      </c>
      <c r="D952">
        <v>5</v>
      </c>
      <c r="E952">
        <v>1</v>
      </c>
      <c r="F952" t="s">
        <v>42</v>
      </c>
      <c r="G952" t="s">
        <v>32</v>
      </c>
      <c r="H952" t="s">
        <v>33</v>
      </c>
      <c r="I952" t="s">
        <v>94</v>
      </c>
      <c r="J952" t="s">
        <v>44</v>
      </c>
      <c r="K952" t="s">
        <v>36</v>
      </c>
      <c r="L952" t="s">
        <v>45</v>
      </c>
      <c r="M952">
        <v>0</v>
      </c>
      <c r="N952">
        <v>0</v>
      </c>
      <c r="O952" s="5"/>
      <c r="P952" s="5">
        <v>50615</v>
      </c>
      <c r="Q952">
        <f>37.5-13</f>
        <v>24.5</v>
      </c>
      <c r="R952" t="s">
        <v>74</v>
      </c>
      <c r="S952" t="s">
        <v>102</v>
      </c>
      <c r="T952">
        <v>28</v>
      </c>
      <c r="W952">
        <v>12.8</v>
      </c>
      <c r="X952">
        <v>28.15</v>
      </c>
      <c r="Z952" t="s">
        <v>39</v>
      </c>
      <c r="AB952" t="s">
        <v>60</v>
      </c>
      <c r="AC952" t="s">
        <v>41</v>
      </c>
    </row>
    <row r="953" spans="1:30" x14ac:dyDescent="0.35">
      <c r="A953" s="4">
        <v>42551</v>
      </c>
      <c r="B953" t="s">
        <v>30</v>
      </c>
      <c r="C953">
        <v>501</v>
      </c>
      <c r="D953">
        <v>4</v>
      </c>
      <c r="E953">
        <v>1</v>
      </c>
      <c r="F953" t="s">
        <v>31</v>
      </c>
      <c r="G953" t="s">
        <v>32</v>
      </c>
      <c r="H953" t="s">
        <v>33</v>
      </c>
      <c r="I953" t="s">
        <v>43</v>
      </c>
      <c r="J953" t="s">
        <v>44</v>
      </c>
      <c r="K953" t="s">
        <v>36</v>
      </c>
      <c r="L953" t="s">
        <v>37</v>
      </c>
      <c r="M953">
        <v>0</v>
      </c>
      <c r="N953">
        <v>0</v>
      </c>
      <c r="O953" s="5">
        <v>26604</v>
      </c>
      <c r="P953" s="5">
        <v>26603</v>
      </c>
      <c r="Q953">
        <f>30-11.5</f>
        <v>18.5</v>
      </c>
      <c r="R953" t="s">
        <v>38</v>
      </c>
      <c r="T953">
        <v>18</v>
      </c>
      <c r="U953">
        <v>84</v>
      </c>
      <c r="V953">
        <v>14</v>
      </c>
      <c r="W953">
        <v>12.4</v>
      </c>
      <c r="X953">
        <v>27.9</v>
      </c>
      <c r="Z953" t="s">
        <v>39</v>
      </c>
      <c r="AB953" t="s">
        <v>47</v>
      </c>
      <c r="AC953" t="s">
        <v>41</v>
      </c>
    </row>
    <row r="954" spans="1:30" x14ac:dyDescent="0.35">
      <c r="A954" s="4">
        <v>42551</v>
      </c>
      <c r="B954" t="s">
        <v>30</v>
      </c>
      <c r="C954">
        <v>303</v>
      </c>
      <c r="D954">
        <v>1</v>
      </c>
      <c r="E954">
        <v>2</v>
      </c>
      <c r="F954" t="s">
        <v>31</v>
      </c>
      <c r="G954" t="s">
        <v>32</v>
      </c>
      <c r="H954" t="s">
        <v>33</v>
      </c>
      <c r="I954" t="s">
        <v>43</v>
      </c>
      <c r="J954" t="s">
        <v>44</v>
      </c>
      <c r="K954" t="s">
        <v>36</v>
      </c>
      <c r="L954" t="s">
        <v>37</v>
      </c>
      <c r="M954">
        <v>0</v>
      </c>
      <c r="N954">
        <v>0</v>
      </c>
      <c r="O954" s="5">
        <v>50321</v>
      </c>
      <c r="P954" s="5">
        <v>50520</v>
      </c>
      <c r="Q954">
        <f>35-14.5</f>
        <v>20.5</v>
      </c>
      <c r="R954" t="s">
        <v>38</v>
      </c>
      <c r="T954">
        <v>20</v>
      </c>
      <c r="U954">
        <v>78</v>
      </c>
      <c r="V954">
        <v>14</v>
      </c>
      <c r="W954">
        <v>12.8</v>
      </c>
      <c r="X954">
        <v>29.1</v>
      </c>
      <c r="Z954" t="s">
        <v>39</v>
      </c>
      <c r="AB954" t="s">
        <v>47</v>
      </c>
      <c r="AC954" t="s">
        <v>41</v>
      </c>
    </row>
    <row r="955" spans="1:30" x14ac:dyDescent="0.35">
      <c r="A955" s="4">
        <v>42551</v>
      </c>
      <c r="B955" t="s">
        <v>30</v>
      </c>
      <c r="C955">
        <v>701</v>
      </c>
      <c r="D955">
        <v>7</v>
      </c>
      <c r="E955">
        <v>1</v>
      </c>
      <c r="F955" t="s">
        <v>42</v>
      </c>
      <c r="G955" t="s">
        <v>32</v>
      </c>
      <c r="H955" t="s">
        <v>33</v>
      </c>
      <c r="I955" t="s">
        <v>43</v>
      </c>
      <c r="J955" t="s">
        <v>44</v>
      </c>
      <c r="K955" t="s">
        <v>36</v>
      </c>
      <c r="L955" t="s">
        <v>37</v>
      </c>
      <c r="M955">
        <v>0</v>
      </c>
      <c r="N955">
        <v>0</v>
      </c>
      <c r="O955" s="5">
        <v>50370</v>
      </c>
      <c r="P955" s="5">
        <v>50369</v>
      </c>
      <c r="Q955">
        <f>34-16</f>
        <v>18</v>
      </c>
      <c r="R955" t="s">
        <v>64</v>
      </c>
      <c r="T955">
        <v>19.5</v>
      </c>
      <c r="U955">
        <v>76</v>
      </c>
      <c r="V955">
        <v>16.5</v>
      </c>
      <c r="Z955" t="s">
        <v>39</v>
      </c>
      <c r="AB955" t="s">
        <v>47</v>
      </c>
      <c r="AC955" t="s">
        <v>76</v>
      </c>
      <c r="AD955" t="s">
        <v>169</v>
      </c>
    </row>
    <row r="956" spans="1:30" x14ac:dyDescent="0.35">
      <c r="A956" s="4">
        <v>42551</v>
      </c>
      <c r="B956" t="s">
        <v>30</v>
      </c>
      <c r="C956">
        <v>701</v>
      </c>
      <c r="D956">
        <v>6</v>
      </c>
      <c r="E956">
        <v>1</v>
      </c>
      <c r="F956" t="s">
        <v>42</v>
      </c>
      <c r="G956" t="s">
        <v>32</v>
      </c>
      <c r="H956" t="s">
        <v>33</v>
      </c>
      <c r="I956" t="s">
        <v>43</v>
      </c>
      <c r="J956" t="s">
        <v>44</v>
      </c>
      <c r="K956" t="s">
        <v>36</v>
      </c>
      <c r="L956" t="s">
        <v>37</v>
      </c>
      <c r="M956">
        <v>0</v>
      </c>
      <c r="N956">
        <v>0</v>
      </c>
      <c r="O956" s="5">
        <v>50384</v>
      </c>
      <c r="P956" s="5">
        <v>50383</v>
      </c>
      <c r="Q956">
        <f>31-12</f>
        <v>19</v>
      </c>
      <c r="R956" t="s">
        <v>38</v>
      </c>
      <c r="T956">
        <v>18</v>
      </c>
      <c r="U956">
        <v>87</v>
      </c>
      <c r="V956">
        <v>17</v>
      </c>
      <c r="W956">
        <v>12.7</v>
      </c>
      <c r="X956">
        <v>28.2</v>
      </c>
      <c r="Z956" t="s">
        <v>39</v>
      </c>
      <c r="AB956" t="s">
        <v>47</v>
      </c>
      <c r="AC956" t="s">
        <v>76</v>
      </c>
    </row>
    <row r="957" spans="1:30" x14ac:dyDescent="0.35">
      <c r="A957" s="4">
        <v>42551</v>
      </c>
      <c r="B957" t="s">
        <v>30</v>
      </c>
      <c r="C957">
        <v>703</v>
      </c>
      <c r="D957">
        <v>10</v>
      </c>
      <c r="E957">
        <v>2</v>
      </c>
      <c r="F957" t="s">
        <v>42</v>
      </c>
      <c r="G957" t="s">
        <v>32</v>
      </c>
      <c r="H957" t="s">
        <v>33</v>
      </c>
      <c r="I957" t="s">
        <v>43</v>
      </c>
      <c r="J957" t="s">
        <v>44</v>
      </c>
      <c r="K957" t="s">
        <v>36</v>
      </c>
      <c r="L957" t="s">
        <v>45</v>
      </c>
      <c r="M957">
        <v>0</v>
      </c>
      <c r="N957">
        <v>0</v>
      </c>
      <c r="O957" s="5">
        <v>50395</v>
      </c>
      <c r="P957" s="5">
        <v>50394</v>
      </c>
      <c r="Q957">
        <f>33-12.5</f>
        <v>20.5</v>
      </c>
      <c r="R957" t="s">
        <v>74</v>
      </c>
      <c r="S957" t="s">
        <v>102</v>
      </c>
      <c r="T957">
        <v>18</v>
      </c>
      <c r="U957">
        <v>87</v>
      </c>
      <c r="V957">
        <v>15</v>
      </c>
      <c r="Z957" t="s">
        <v>39</v>
      </c>
      <c r="AB957" t="s">
        <v>40</v>
      </c>
      <c r="AC957" t="s">
        <v>76</v>
      </c>
      <c r="AD957" t="s">
        <v>169</v>
      </c>
    </row>
    <row r="958" spans="1:30" x14ac:dyDescent="0.35">
      <c r="A958" s="4">
        <v>42551</v>
      </c>
      <c r="B958" t="s">
        <v>30</v>
      </c>
      <c r="C958">
        <v>503</v>
      </c>
      <c r="D958">
        <v>6</v>
      </c>
      <c r="E958">
        <v>2</v>
      </c>
      <c r="F958" t="s">
        <v>31</v>
      </c>
      <c r="G958" t="s">
        <v>32</v>
      </c>
      <c r="H958" t="s">
        <v>33</v>
      </c>
      <c r="I958" t="s">
        <v>43</v>
      </c>
      <c r="J958" t="s">
        <v>44</v>
      </c>
      <c r="K958" t="s">
        <v>36</v>
      </c>
      <c r="L958" t="s">
        <v>37</v>
      </c>
      <c r="M958">
        <v>0</v>
      </c>
      <c r="N958">
        <v>0</v>
      </c>
      <c r="O958" s="5">
        <v>50436</v>
      </c>
      <c r="P958" s="5">
        <v>50435</v>
      </c>
      <c r="Q958">
        <f>30-12</f>
        <v>18</v>
      </c>
      <c r="R958" t="s">
        <v>38</v>
      </c>
      <c r="T958">
        <v>21</v>
      </c>
      <c r="U958">
        <v>82</v>
      </c>
      <c r="V958">
        <v>14</v>
      </c>
      <c r="W958">
        <v>13.4</v>
      </c>
      <c r="X958">
        <v>29.2</v>
      </c>
      <c r="Z958" t="s">
        <v>39</v>
      </c>
      <c r="AB958" t="s">
        <v>47</v>
      </c>
      <c r="AC958" t="s">
        <v>41</v>
      </c>
    </row>
    <row r="959" spans="1:30" x14ac:dyDescent="0.35">
      <c r="A959" s="4">
        <v>42551</v>
      </c>
      <c r="B959" t="s">
        <v>30</v>
      </c>
      <c r="C959">
        <v>503</v>
      </c>
      <c r="D959">
        <v>7</v>
      </c>
      <c r="E959">
        <v>2</v>
      </c>
      <c r="F959" t="s">
        <v>31</v>
      </c>
      <c r="G959" t="s">
        <v>32</v>
      </c>
      <c r="H959" t="s">
        <v>33</v>
      </c>
      <c r="I959" t="s">
        <v>43</v>
      </c>
      <c r="J959" t="s">
        <v>44</v>
      </c>
      <c r="K959" t="s">
        <v>88</v>
      </c>
      <c r="L959" t="s">
        <v>45</v>
      </c>
      <c r="M959">
        <v>0</v>
      </c>
      <c r="N959">
        <v>0</v>
      </c>
      <c r="O959" s="5">
        <v>50442</v>
      </c>
      <c r="P959" s="5">
        <v>50441</v>
      </c>
      <c r="Q959">
        <f>25.5-13</f>
        <v>12.5</v>
      </c>
      <c r="R959" t="s">
        <v>46</v>
      </c>
      <c r="S959" t="s">
        <v>39</v>
      </c>
      <c r="T959">
        <v>20</v>
      </c>
      <c r="U959">
        <v>66</v>
      </c>
      <c r="V959">
        <v>16</v>
      </c>
      <c r="W959">
        <v>12.2</v>
      </c>
      <c r="X959">
        <v>26.5</v>
      </c>
      <c r="Z959" t="s">
        <v>39</v>
      </c>
      <c r="AB959" t="s">
        <v>47</v>
      </c>
      <c r="AC959" t="s">
        <v>41</v>
      </c>
    </row>
    <row r="960" spans="1:30" x14ac:dyDescent="0.35">
      <c r="A960" s="4">
        <v>42551</v>
      </c>
      <c r="B960" t="s">
        <v>30</v>
      </c>
      <c r="C960">
        <v>503</v>
      </c>
      <c r="D960">
        <v>2</v>
      </c>
      <c r="E960">
        <v>1</v>
      </c>
      <c r="F960" t="s">
        <v>31</v>
      </c>
      <c r="G960" t="s">
        <v>32</v>
      </c>
      <c r="H960" t="s">
        <v>33</v>
      </c>
      <c r="I960" t="s">
        <v>43</v>
      </c>
      <c r="J960" t="s">
        <v>44</v>
      </c>
      <c r="K960" t="s">
        <v>88</v>
      </c>
      <c r="L960" t="s">
        <v>37</v>
      </c>
      <c r="M960">
        <v>0</v>
      </c>
      <c r="N960">
        <v>0</v>
      </c>
      <c r="O960" s="5">
        <v>50446</v>
      </c>
      <c r="P960" s="5">
        <v>50434</v>
      </c>
      <c r="Q960">
        <f>26-12.5</f>
        <v>13.5</v>
      </c>
      <c r="R960" t="s">
        <v>64</v>
      </c>
      <c r="T960">
        <v>19</v>
      </c>
      <c r="U960">
        <v>73</v>
      </c>
      <c r="V960">
        <v>13</v>
      </c>
      <c r="W960">
        <v>12.4</v>
      </c>
      <c r="X960">
        <v>27.6</v>
      </c>
      <c r="Y960" t="s">
        <v>173</v>
      </c>
      <c r="Z960" t="s">
        <v>39</v>
      </c>
      <c r="AB960" t="s">
        <v>47</v>
      </c>
      <c r="AC960" t="s">
        <v>41</v>
      </c>
    </row>
    <row r="961" spans="1:30" x14ac:dyDescent="0.35">
      <c r="A961" s="4">
        <v>42551</v>
      </c>
      <c r="B961" t="s">
        <v>30</v>
      </c>
      <c r="C961">
        <v>501</v>
      </c>
      <c r="D961">
        <v>7</v>
      </c>
      <c r="E961">
        <v>1</v>
      </c>
      <c r="F961" t="s">
        <v>31</v>
      </c>
      <c r="G961" t="s">
        <v>32</v>
      </c>
      <c r="H961" t="s">
        <v>33</v>
      </c>
      <c r="I961" t="s">
        <v>43</v>
      </c>
      <c r="J961" t="s">
        <v>44</v>
      </c>
      <c r="K961" t="s">
        <v>88</v>
      </c>
      <c r="L961" t="s">
        <v>45</v>
      </c>
      <c r="M961">
        <v>0</v>
      </c>
      <c r="N961">
        <v>0</v>
      </c>
      <c r="O961" s="5">
        <v>50448</v>
      </c>
      <c r="P961" s="5">
        <v>50447</v>
      </c>
      <c r="Q961">
        <f>28-12</f>
        <v>16</v>
      </c>
      <c r="R961" t="s">
        <v>46</v>
      </c>
      <c r="S961" t="s">
        <v>39</v>
      </c>
      <c r="T961">
        <v>20</v>
      </c>
      <c r="U961">
        <v>87</v>
      </c>
      <c r="V961">
        <v>13</v>
      </c>
      <c r="W961">
        <v>12.8</v>
      </c>
      <c r="X961">
        <v>28.8</v>
      </c>
      <c r="Z961" t="s">
        <v>39</v>
      </c>
      <c r="AB961" t="s">
        <v>47</v>
      </c>
      <c r="AC961" t="s">
        <v>41</v>
      </c>
    </row>
    <row r="962" spans="1:30" x14ac:dyDescent="0.35">
      <c r="A962" s="4">
        <v>42551</v>
      </c>
      <c r="B962" t="s">
        <v>30</v>
      </c>
      <c r="C962">
        <v>803</v>
      </c>
      <c r="D962">
        <v>8</v>
      </c>
      <c r="E962">
        <v>1</v>
      </c>
      <c r="F962" t="s">
        <v>42</v>
      </c>
      <c r="G962" t="s">
        <v>32</v>
      </c>
      <c r="H962" t="s">
        <v>33</v>
      </c>
      <c r="I962" t="s">
        <v>43</v>
      </c>
      <c r="J962" t="s">
        <v>44</v>
      </c>
      <c r="K962" t="s">
        <v>36</v>
      </c>
      <c r="L962" t="s">
        <v>37</v>
      </c>
      <c r="M962">
        <v>0</v>
      </c>
      <c r="N962">
        <v>0</v>
      </c>
      <c r="O962" s="5">
        <v>50454</v>
      </c>
      <c r="P962" s="5">
        <v>50455</v>
      </c>
      <c r="Q962">
        <f>36.5-14</f>
        <v>22.5</v>
      </c>
      <c r="R962" t="s">
        <v>38</v>
      </c>
      <c r="T962">
        <v>18</v>
      </c>
      <c r="U962">
        <v>89.5</v>
      </c>
      <c r="V962">
        <v>14.5</v>
      </c>
      <c r="W962">
        <v>13.8</v>
      </c>
      <c r="X962">
        <v>29.5</v>
      </c>
      <c r="Z962" t="s">
        <v>39</v>
      </c>
      <c r="AB962" t="s">
        <v>47</v>
      </c>
      <c r="AC962" t="s">
        <v>76</v>
      </c>
    </row>
    <row r="963" spans="1:30" x14ac:dyDescent="0.35">
      <c r="A963" s="4">
        <v>42551</v>
      </c>
      <c r="B963" t="s">
        <v>30</v>
      </c>
      <c r="C963">
        <v>803</v>
      </c>
      <c r="D963">
        <v>6</v>
      </c>
      <c r="E963">
        <v>1</v>
      </c>
      <c r="F963" t="s">
        <v>42</v>
      </c>
      <c r="G963" t="s">
        <v>32</v>
      </c>
      <c r="H963" t="s">
        <v>33</v>
      </c>
      <c r="I963" t="s">
        <v>43</v>
      </c>
      <c r="J963" t="s">
        <v>44</v>
      </c>
      <c r="K963" t="s">
        <v>112</v>
      </c>
      <c r="L963" t="s">
        <v>45</v>
      </c>
      <c r="M963">
        <v>0</v>
      </c>
      <c r="N963">
        <v>0</v>
      </c>
      <c r="O963" s="5">
        <v>50457</v>
      </c>
      <c r="P963" s="5">
        <v>50456</v>
      </c>
      <c r="Q963">
        <f>36-15</f>
        <v>21</v>
      </c>
      <c r="R963" t="s">
        <v>46</v>
      </c>
      <c r="S963" t="s">
        <v>39</v>
      </c>
      <c r="T963">
        <v>18</v>
      </c>
      <c r="U963">
        <v>88.5</v>
      </c>
      <c r="V963">
        <v>15.5</v>
      </c>
      <c r="W963">
        <v>12.4</v>
      </c>
      <c r="X963">
        <v>25.8</v>
      </c>
      <c r="Z963" t="s">
        <v>39</v>
      </c>
      <c r="AB963" t="s">
        <v>47</v>
      </c>
      <c r="AC963" t="s">
        <v>76</v>
      </c>
    </row>
    <row r="964" spans="1:30" x14ac:dyDescent="0.35">
      <c r="A964" s="4">
        <v>42551</v>
      </c>
      <c r="B964" t="s">
        <v>30</v>
      </c>
      <c r="C964">
        <v>703</v>
      </c>
      <c r="D964">
        <v>8</v>
      </c>
      <c r="E964">
        <v>2</v>
      </c>
      <c r="F964" t="s">
        <v>42</v>
      </c>
      <c r="G964" t="s">
        <v>32</v>
      </c>
      <c r="H964" t="s">
        <v>33</v>
      </c>
      <c r="I964" t="s">
        <v>43</v>
      </c>
      <c r="J964" t="s">
        <v>44</v>
      </c>
      <c r="K964" t="s">
        <v>88</v>
      </c>
      <c r="L964" t="s">
        <v>45</v>
      </c>
      <c r="M964">
        <v>0</v>
      </c>
      <c r="N964">
        <v>0</v>
      </c>
      <c r="O964" s="5">
        <v>50466</v>
      </c>
      <c r="P964" s="5">
        <v>50465</v>
      </c>
      <c r="Q964">
        <f>21-12</f>
        <v>9</v>
      </c>
      <c r="R964" t="s">
        <v>46</v>
      </c>
      <c r="S964" t="s">
        <v>39</v>
      </c>
      <c r="T964">
        <v>19.5</v>
      </c>
      <c r="U964">
        <v>71</v>
      </c>
      <c r="V964">
        <v>14</v>
      </c>
      <c r="W964">
        <v>11.9</v>
      </c>
      <c r="X964">
        <v>22.5</v>
      </c>
      <c r="Z964" t="s">
        <v>39</v>
      </c>
      <c r="AB964" t="s">
        <v>47</v>
      </c>
      <c r="AC964" t="s">
        <v>76</v>
      </c>
      <c r="AD964" t="s">
        <v>174</v>
      </c>
    </row>
    <row r="965" spans="1:30" x14ac:dyDescent="0.35">
      <c r="A965" s="4">
        <v>42551</v>
      </c>
      <c r="B965" t="s">
        <v>30</v>
      </c>
      <c r="C965">
        <v>701</v>
      </c>
      <c r="D965">
        <v>1</v>
      </c>
      <c r="E965">
        <v>2</v>
      </c>
      <c r="F965" t="s">
        <v>42</v>
      </c>
      <c r="G965" t="s">
        <v>32</v>
      </c>
      <c r="H965" t="s">
        <v>33</v>
      </c>
      <c r="I965" t="s">
        <v>43</v>
      </c>
      <c r="J965" t="s">
        <v>44</v>
      </c>
      <c r="K965" t="s">
        <v>36</v>
      </c>
      <c r="L965" t="s">
        <v>37</v>
      </c>
      <c r="M965">
        <v>0</v>
      </c>
      <c r="N965">
        <v>0</v>
      </c>
      <c r="O965" s="5">
        <v>50468</v>
      </c>
      <c r="P965" s="5">
        <v>50467</v>
      </c>
      <c r="Q965">
        <f>40-16.5</f>
        <v>23.5</v>
      </c>
      <c r="R965" t="s">
        <v>38</v>
      </c>
      <c r="T965">
        <v>20</v>
      </c>
      <c r="U965">
        <v>92</v>
      </c>
      <c r="V965">
        <v>17</v>
      </c>
      <c r="W965">
        <v>14</v>
      </c>
      <c r="X965">
        <v>29.6</v>
      </c>
      <c r="Z965" t="s">
        <v>39</v>
      </c>
    </row>
    <row r="966" spans="1:30" x14ac:dyDescent="0.35">
      <c r="A966" s="4">
        <v>42551</v>
      </c>
      <c r="B966" t="s">
        <v>30</v>
      </c>
      <c r="C966">
        <v>701</v>
      </c>
      <c r="D966">
        <v>8</v>
      </c>
      <c r="E966">
        <v>1</v>
      </c>
      <c r="F966" t="s">
        <v>42</v>
      </c>
      <c r="G966" t="s">
        <v>32</v>
      </c>
      <c r="H966" t="s">
        <v>33</v>
      </c>
      <c r="I966" t="s">
        <v>43</v>
      </c>
      <c r="J966" t="s">
        <v>44</v>
      </c>
      <c r="K966" t="s">
        <v>88</v>
      </c>
      <c r="L966" t="s">
        <v>37</v>
      </c>
      <c r="M966">
        <v>0</v>
      </c>
      <c r="N966">
        <v>0</v>
      </c>
      <c r="O966" s="5">
        <v>50470</v>
      </c>
      <c r="P966" s="5">
        <v>50469</v>
      </c>
      <c r="Q966">
        <f>27-13.5</f>
        <v>13.5</v>
      </c>
      <c r="R966" t="s">
        <v>64</v>
      </c>
      <c r="T966">
        <v>18</v>
      </c>
      <c r="U966">
        <v>74</v>
      </c>
      <c r="V966">
        <v>13</v>
      </c>
      <c r="W966">
        <v>12.4</v>
      </c>
      <c r="X966">
        <v>25.8</v>
      </c>
      <c r="Z966" t="s">
        <v>39</v>
      </c>
      <c r="AB966" t="s">
        <v>47</v>
      </c>
      <c r="AC966" t="s">
        <v>76</v>
      </c>
    </row>
    <row r="967" spans="1:30" x14ac:dyDescent="0.35">
      <c r="A967" s="4">
        <v>42551</v>
      </c>
      <c r="B967" t="s">
        <v>30</v>
      </c>
      <c r="C967">
        <v>703</v>
      </c>
      <c r="D967">
        <v>2</v>
      </c>
      <c r="E967">
        <v>1</v>
      </c>
      <c r="F967" t="s">
        <v>42</v>
      </c>
      <c r="G967" t="s">
        <v>32</v>
      </c>
      <c r="H967" t="s">
        <v>33</v>
      </c>
      <c r="I967" t="s">
        <v>43</v>
      </c>
      <c r="J967" t="s">
        <v>44</v>
      </c>
      <c r="K967" t="s">
        <v>88</v>
      </c>
      <c r="L967" t="s">
        <v>45</v>
      </c>
      <c r="M967">
        <v>0</v>
      </c>
      <c r="N967">
        <v>0</v>
      </c>
      <c r="O967" s="5">
        <v>50480</v>
      </c>
      <c r="P967" s="5">
        <v>50479</v>
      </c>
      <c r="Q967">
        <f>24-12</f>
        <v>12</v>
      </c>
      <c r="R967" t="s">
        <v>46</v>
      </c>
      <c r="S967" t="s">
        <v>39</v>
      </c>
      <c r="T967">
        <v>17</v>
      </c>
      <c r="U967">
        <v>72.5</v>
      </c>
      <c r="V967">
        <v>16.3</v>
      </c>
      <c r="W967">
        <v>12.1</v>
      </c>
      <c r="X967">
        <v>26.7</v>
      </c>
      <c r="Z967" t="s">
        <v>39</v>
      </c>
      <c r="AB967" t="s">
        <v>47</v>
      </c>
      <c r="AC967" t="s">
        <v>76</v>
      </c>
    </row>
    <row r="968" spans="1:30" x14ac:dyDescent="0.35">
      <c r="A968" s="4">
        <v>42551</v>
      </c>
      <c r="B968" t="s">
        <v>30</v>
      </c>
      <c r="C968">
        <v>503</v>
      </c>
      <c r="D968">
        <v>5</v>
      </c>
      <c r="E968">
        <v>2</v>
      </c>
      <c r="F968" t="s">
        <v>31</v>
      </c>
      <c r="G968" t="s">
        <v>32</v>
      </c>
      <c r="H968" t="s">
        <v>33</v>
      </c>
      <c r="I968" t="s">
        <v>43</v>
      </c>
      <c r="J968" t="s">
        <v>35</v>
      </c>
      <c r="K968" t="s">
        <v>88</v>
      </c>
      <c r="L968" t="s">
        <v>45</v>
      </c>
      <c r="M968">
        <v>0</v>
      </c>
      <c r="N968">
        <v>1</v>
      </c>
      <c r="O968" s="5">
        <v>50550</v>
      </c>
      <c r="P968" s="5">
        <v>50549</v>
      </c>
      <c r="Q968">
        <f>24-12</f>
        <v>12</v>
      </c>
      <c r="R968" t="s">
        <v>46</v>
      </c>
      <c r="S968" t="s">
        <v>39</v>
      </c>
      <c r="T968">
        <v>18</v>
      </c>
      <c r="U968">
        <v>69</v>
      </c>
      <c r="V968">
        <v>13</v>
      </c>
      <c r="W968">
        <v>12.7</v>
      </c>
      <c r="X968">
        <v>26.9</v>
      </c>
      <c r="Z968" t="s">
        <v>39</v>
      </c>
      <c r="AB968" t="s">
        <v>47</v>
      </c>
      <c r="AC968" t="s">
        <v>41</v>
      </c>
    </row>
    <row r="969" spans="1:30" x14ac:dyDescent="0.35">
      <c r="A969" s="4">
        <v>42551</v>
      </c>
      <c r="B969" t="s">
        <v>30</v>
      </c>
      <c r="C969">
        <v>303</v>
      </c>
      <c r="D969">
        <v>1</v>
      </c>
      <c r="E969">
        <v>1</v>
      </c>
      <c r="F969" t="s">
        <v>31</v>
      </c>
      <c r="G969" t="s">
        <v>32</v>
      </c>
      <c r="H969" t="s">
        <v>33</v>
      </c>
      <c r="I969" t="s">
        <v>43</v>
      </c>
      <c r="J969" t="s">
        <v>44</v>
      </c>
      <c r="K969" t="s">
        <v>113</v>
      </c>
      <c r="L969" t="s">
        <v>45</v>
      </c>
      <c r="M969">
        <v>0</v>
      </c>
      <c r="N969">
        <v>0</v>
      </c>
      <c r="O969" s="5">
        <v>50582</v>
      </c>
      <c r="P969" s="5">
        <v>50581</v>
      </c>
      <c r="Q969">
        <f>26.5-12</f>
        <v>14.5</v>
      </c>
      <c r="R969" t="s">
        <v>61</v>
      </c>
      <c r="S969" t="s">
        <v>39</v>
      </c>
      <c r="T969">
        <v>20</v>
      </c>
      <c r="U969">
        <v>88</v>
      </c>
      <c r="V969">
        <v>14</v>
      </c>
      <c r="W969">
        <v>12.4</v>
      </c>
      <c r="X969">
        <v>27.2</v>
      </c>
      <c r="Z969" t="s">
        <v>39</v>
      </c>
      <c r="AB969" t="s">
        <v>47</v>
      </c>
      <c r="AC969" t="s">
        <v>41</v>
      </c>
    </row>
    <row r="970" spans="1:30" x14ac:dyDescent="0.35">
      <c r="A970" s="4">
        <v>42551</v>
      </c>
      <c r="B970" t="s">
        <v>30</v>
      </c>
      <c r="C970">
        <v>401</v>
      </c>
      <c r="D970">
        <v>3</v>
      </c>
      <c r="E970">
        <v>1</v>
      </c>
      <c r="F970" t="s">
        <v>31</v>
      </c>
      <c r="G970" t="s">
        <v>32</v>
      </c>
      <c r="H970" t="s">
        <v>33</v>
      </c>
      <c r="I970" t="s">
        <v>43</v>
      </c>
      <c r="J970" t="s">
        <v>44</v>
      </c>
      <c r="K970" t="s">
        <v>113</v>
      </c>
      <c r="L970" t="s">
        <v>37</v>
      </c>
      <c r="M970">
        <v>0</v>
      </c>
      <c r="N970">
        <v>0</v>
      </c>
      <c r="O970" s="5">
        <v>50590</v>
      </c>
      <c r="P970" s="5">
        <v>50589</v>
      </c>
      <c r="Q970">
        <f>28-12</f>
        <v>16</v>
      </c>
      <c r="R970" t="s">
        <v>38</v>
      </c>
      <c r="T970">
        <v>19</v>
      </c>
      <c r="U970">
        <v>74</v>
      </c>
      <c r="V970">
        <v>14</v>
      </c>
      <c r="W970">
        <v>12.6</v>
      </c>
      <c r="X970">
        <v>27.8</v>
      </c>
      <c r="Z970" t="s">
        <v>39</v>
      </c>
      <c r="AB970" t="s">
        <v>47</v>
      </c>
      <c r="AC970" t="s">
        <v>41</v>
      </c>
    </row>
    <row r="971" spans="1:30" x14ac:dyDescent="0.35">
      <c r="A971" s="4">
        <v>42551</v>
      </c>
      <c r="B971" t="s">
        <v>30</v>
      </c>
      <c r="C971">
        <v>701</v>
      </c>
      <c r="D971">
        <v>10</v>
      </c>
      <c r="E971">
        <v>2</v>
      </c>
      <c r="F971" t="s">
        <v>42</v>
      </c>
      <c r="G971" t="s">
        <v>32</v>
      </c>
      <c r="H971" t="s">
        <v>33</v>
      </c>
      <c r="I971" t="s">
        <v>43</v>
      </c>
      <c r="J971" t="s">
        <v>44</v>
      </c>
      <c r="K971" t="s">
        <v>88</v>
      </c>
      <c r="L971" t="s">
        <v>45</v>
      </c>
      <c r="M971">
        <v>0</v>
      </c>
      <c r="N971">
        <v>0</v>
      </c>
      <c r="O971" s="5">
        <v>50610</v>
      </c>
      <c r="P971" s="5">
        <v>50609</v>
      </c>
      <c r="Q971">
        <f>26.5-14</f>
        <v>12.5</v>
      </c>
      <c r="R971" t="s">
        <v>46</v>
      </c>
      <c r="S971" t="s">
        <v>39</v>
      </c>
      <c r="T971">
        <v>18</v>
      </c>
      <c r="U971">
        <v>65</v>
      </c>
      <c r="V971">
        <v>15</v>
      </c>
      <c r="W971">
        <v>12.2</v>
      </c>
      <c r="X971">
        <v>25.9</v>
      </c>
      <c r="Z971" t="s">
        <v>39</v>
      </c>
      <c r="AB971" t="s">
        <v>47</v>
      </c>
      <c r="AC971" t="s">
        <v>76</v>
      </c>
    </row>
    <row r="972" spans="1:30" x14ac:dyDescent="0.35">
      <c r="A972" s="4">
        <v>42551</v>
      </c>
      <c r="B972" t="s">
        <v>30</v>
      </c>
      <c r="C972">
        <v>703</v>
      </c>
      <c r="D972">
        <v>10</v>
      </c>
      <c r="E972">
        <v>1</v>
      </c>
      <c r="F972" t="s">
        <v>42</v>
      </c>
      <c r="G972" t="s">
        <v>32</v>
      </c>
      <c r="H972" t="s">
        <v>33</v>
      </c>
      <c r="I972" t="s">
        <v>43</v>
      </c>
      <c r="J972" t="s">
        <v>44</v>
      </c>
      <c r="K972" t="s">
        <v>88</v>
      </c>
      <c r="L972" t="s">
        <v>45</v>
      </c>
      <c r="M972">
        <v>0</v>
      </c>
      <c r="N972">
        <v>0</v>
      </c>
      <c r="O972" s="5">
        <v>50612</v>
      </c>
      <c r="P972" s="5">
        <v>50611</v>
      </c>
      <c r="Q972">
        <f>23-12</f>
        <v>11</v>
      </c>
      <c r="R972" t="s">
        <v>46</v>
      </c>
      <c r="S972" t="s">
        <v>39</v>
      </c>
      <c r="T972">
        <v>18</v>
      </c>
      <c r="U972">
        <v>72.5</v>
      </c>
      <c r="V972">
        <v>13</v>
      </c>
      <c r="W972">
        <v>11.5</v>
      </c>
      <c r="X972">
        <v>24.5</v>
      </c>
      <c r="Z972" t="s">
        <v>39</v>
      </c>
      <c r="AB972" t="s">
        <v>40</v>
      </c>
      <c r="AC972" t="s">
        <v>76</v>
      </c>
    </row>
    <row r="973" spans="1:30" x14ac:dyDescent="0.35">
      <c r="A973" s="4">
        <v>42551</v>
      </c>
      <c r="B973" t="s">
        <v>30</v>
      </c>
      <c r="C973">
        <v>801</v>
      </c>
      <c r="D973">
        <v>6</v>
      </c>
      <c r="E973">
        <v>1</v>
      </c>
      <c r="F973" t="s">
        <v>42</v>
      </c>
      <c r="G973" t="s">
        <v>32</v>
      </c>
      <c r="H973" t="s">
        <v>33</v>
      </c>
      <c r="I973" t="s">
        <v>43</v>
      </c>
      <c r="J973" t="s">
        <v>44</v>
      </c>
      <c r="K973" t="s">
        <v>88</v>
      </c>
      <c r="L973" t="s">
        <v>45</v>
      </c>
      <c r="M973">
        <v>0</v>
      </c>
      <c r="N973">
        <v>0</v>
      </c>
      <c r="O973" s="5">
        <v>50614</v>
      </c>
      <c r="P973" s="5">
        <v>50613</v>
      </c>
      <c r="Q973">
        <f>26.5-12</f>
        <v>14.5</v>
      </c>
      <c r="R973" t="s">
        <v>46</v>
      </c>
      <c r="S973" t="s">
        <v>39</v>
      </c>
      <c r="T973">
        <v>19</v>
      </c>
      <c r="U973">
        <v>80.5</v>
      </c>
      <c r="V973">
        <v>14</v>
      </c>
      <c r="Z973" t="s">
        <v>39</v>
      </c>
      <c r="AB973" t="s">
        <v>47</v>
      </c>
      <c r="AC973" t="s">
        <v>76</v>
      </c>
      <c r="AD973" t="s">
        <v>169</v>
      </c>
    </row>
    <row r="974" spans="1:30" x14ac:dyDescent="0.35">
      <c r="A974" s="4">
        <v>42551</v>
      </c>
      <c r="B974" t="s">
        <v>30</v>
      </c>
      <c r="C974">
        <v>901</v>
      </c>
      <c r="D974">
        <v>5</v>
      </c>
      <c r="E974">
        <v>1</v>
      </c>
      <c r="F974" t="s">
        <v>42</v>
      </c>
      <c r="G974" t="s">
        <v>32</v>
      </c>
      <c r="H974" t="s">
        <v>33</v>
      </c>
      <c r="I974" t="s">
        <v>43</v>
      </c>
      <c r="J974" t="s">
        <v>44</v>
      </c>
      <c r="K974" t="s">
        <v>36</v>
      </c>
      <c r="L974" t="s">
        <v>45</v>
      </c>
      <c r="M974">
        <v>0</v>
      </c>
      <c r="N974">
        <v>0</v>
      </c>
      <c r="O974" s="5">
        <v>50617</v>
      </c>
      <c r="P974" s="5">
        <v>50616</v>
      </c>
      <c r="Q974">
        <f>33-12</f>
        <v>21</v>
      </c>
      <c r="R974" t="s">
        <v>77</v>
      </c>
      <c r="S974" t="s">
        <v>39</v>
      </c>
      <c r="T974">
        <v>19</v>
      </c>
      <c r="U974">
        <v>89</v>
      </c>
      <c r="V974">
        <v>12</v>
      </c>
      <c r="Z974" t="s">
        <v>39</v>
      </c>
      <c r="AB974" t="s">
        <v>47</v>
      </c>
      <c r="AC974" t="s">
        <v>76</v>
      </c>
    </row>
    <row r="975" spans="1:30" x14ac:dyDescent="0.35">
      <c r="A975" s="4">
        <v>42551</v>
      </c>
      <c r="B975" t="s">
        <v>30</v>
      </c>
      <c r="C975">
        <v>701</v>
      </c>
      <c r="D975">
        <v>2</v>
      </c>
      <c r="E975">
        <v>2</v>
      </c>
      <c r="F975" t="s">
        <v>42</v>
      </c>
      <c r="G975" t="s">
        <v>32</v>
      </c>
      <c r="H975" t="s">
        <v>33</v>
      </c>
      <c r="I975" t="s">
        <v>43</v>
      </c>
      <c r="J975" t="s">
        <v>44</v>
      </c>
      <c r="K975" t="s">
        <v>88</v>
      </c>
      <c r="L975" t="s">
        <v>45</v>
      </c>
      <c r="M975">
        <v>0</v>
      </c>
      <c r="N975">
        <v>0</v>
      </c>
      <c r="O975" s="5">
        <v>50619</v>
      </c>
      <c r="P975" s="5">
        <v>50620</v>
      </c>
      <c r="Q975">
        <f>28-14.5</f>
        <v>13.5</v>
      </c>
      <c r="R975" t="s">
        <v>46</v>
      </c>
      <c r="S975" t="s">
        <v>39</v>
      </c>
      <c r="T975">
        <v>18.5</v>
      </c>
      <c r="U975">
        <v>78.5</v>
      </c>
      <c r="V975">
        <v>15.5</v>
      </c>
      <c r="W975">
        <v>12.1</v>
      </c>
      <c r="X975">
        <v>27.5</v>
      </c>
      <c r="Z975" t="s">
        <v>39</v>
      </c>
      <c r="AB975" t="s">
        <v>47</v>
      </c>
      <c r="AC975" t="s">
        <v>76</v>
      </c>
    </row>
    <row r="976" spans="1:30" x14ac:dyDescent="0.35">
      <c r="A976" s="4">
        <v>42551</v>
      </c>
      <c r="B976" t="s">
        <v>30</v>
      </c>
      <c r="C976">
        <v>703</v>
      </c>
      <c r="D976">
        <v>2</v>
      </c>
      <c r="E976">
        <v>2</v>
      </c>
      <c r="F976" t="s">
        <v>42</v>
      </c>
      <c r="G976" t="s">
        <v>32</v>
      </c>
      <c r="H976" t="s">
        <v>33</v>
      </c>
      <c r="I976" t="s">
        <v>43</v>
      </c>
      <c r="J976" t="s">
        <v>44</v>
      </c>
      <c r="K976" t="s">
        <v>88</v>
      </c>
      <c r="L976" t="s">
        <v>45</v>
      </c>
      <c r="M976">
        <v>0</v>
      </c>
      <c r="N976">
        <v>0</v>
      </c>
      <c r="O976" s="5">
        <v>50623</v>
      </c>
      <c r="P976" s="5">
        <v>50622</v>
      </c>
      <c r="Q976">
        <v>12</v>
      </c>
      <c r="R976" t="s">
        <v>46</v>
      </c>
      <c r="S976" t="s">
        <v>39</v>
      </c>
      <c r="T976">
        <v>19</v>
      </c>
      <c r="U976">
        <v>76</v>
      </c>
      <c r="V976">
        <v>15.5</v>
      </c>
      <c r="W976">
        <v>11.9</v>
      </c>
      <c r="X976">
        <v>26</v>
      </c>
      <c r="Y976" t="s">
        <v>175</v>
      </c>
      <c r="Z976" t="s">
        <v>39</v>
      </c>
      <c r="AB976" t="s">
        <v>47</v>
      </c>
      <c r="AC976" t="s">
        <v>76</v>
      </c>
    </row>
    <row r="977" spans="1:30" x14ac:dyDescent="0.35">
      <c r="A977" s="4">
        <v>42551</v>
      </c>
      <c r="B977" t="s">
        <v>30</v>
      </c>
      <c r="C977">
        <v>801</v>
      </c>
      <c r="D977">
        <v>6</v>
      </c>
      <c r="E977">
        <v>2</v>
      </c>
      <c r="F977" t="s">
        <v>42</v>
      </c>
      <c r="G977" t="s">
        <v>32</v>
      </c>
      <c r="H977" t="s">
        <v>33</v>
      </c>
      <c r="I977" t="s">
        <v>43</v>
      </c>
      <c r="J977" t="s">
        <v>44</v>
      </c>
      <c r="K977" t="s">
        <v>36</v>
      </c>
      <c r="L977" t="s">
        <v>37</v>
      </c>
      <c r="M977">
        <v>0</v>
      </c>
      <c r="N977">
        <v>0</v>
      </c>
      <c r="O977" s="5">
        <v>50677</v>
      </c>
      <c r="P977" s="5">
        <v>50676</v>
      </c>
      <c r="Q977">
        <f>35-12.5</f>
        <v>22.5</v>
      </c>
      <c r="R977" t="s">
        <v>38</v>
      </c>
      <c r="T977">
        <v>18</v>
      </c>
      <c r="U977">
        <v>88</v>
      </c>
      <c r="V977">
        <v>17</v>
      </c>
      <c r="W977">
        <v>12.8</v>
      </c>
      <c r="X977">
        <v>28.6</v>
      </c>
      <c r="Z977" t="s">
        <v>39</v>
      </c>
      <c r="AB977" t="s">
        <v>47</v>
      </c>
      <c r="AC977" t="s">
        <v>76</v>
      </c>
    </row>
    <row r="978" spans="1:30" x14ac:dyDescent="0.35">
      <c r="A978" s="4">
        <v>42551</v>
      </c>
      <c r="B978" t="s">
        <v>30</v>
      </c>
      <c r="C978">
        <v>703</v>
      </c>
      <c r="D978">
        <v>4</v>
      </c>
      <c r="E978">
        <v>1</v>
      </c>
      <c r="F978" t="s">
        <v>42</v>
      </c>
      <c r="G978" t="s">
        <v>32</v>
      </c>
      <c r="H978" t="s">
        <v>33</v>
      </c>
      <c r="I978" t="s">
        <v>43</v>
      </c>
      <c r="J978" t="s">
        <v>35</v>
      </c>
      <c r="K978" t="s">
        <v>88</v>
      </c>
      <c r="L978" t="s">
        <v>45</v>
      </c>
      <c r="M978">
        <v>0</v>
      </c>
      <c r="N978">
        <v>1</v>
      </c>
      <c r="O978" s="5">
        <v>50690</v>
      </c>
      <c r="P978" s="5">
        <v>50689</v>
      </c>
      <c r="Q978">
        <f>23.5-11</f>
        <v>12.5</v>
      </c>
      <c r="R978" t="s">
        <v>46</v>
      </c>
      <c r="S978" t="s">
        <v>39</v>
      </c>
      <c r="T978">
        <v>18</v>
      </c>
      <c r="U978">
        <v>70</v>
      </c>
      <c r="V978">
        <v>13</v>
      </c>
      <c r="W978">
        <v>12.4</v>
      </c>
      <c r="X978">
        <v>26.4</v>
      </c>
      <c r="Z978" t="s">
        <v>39</v>
      </c>
      <c r="AB978" t="s">
        <v>47</v>
      </c>
      <c r="AC978" t="s">
        <v>76</v>
      </c>
    </row>
    <row r="979" spans="1:30" x14ac:dyDescent="0.35">
      <c r="A979" s="4">
        <v>42551</v>
      </c>
      <c r="B979" t="s">
        <v>30</v>
      </c>
      <c r="C979">
        <v>703</v>
      </c>
      <c r="D979">
        <v>1</v>
      </c>
      <c r="E979">
        <v>2</v>
      </c>
      <c r="F979" t="s">
        <v>42</v>
      </c>
      <c r="G979" t="s">
        <v>32</v>
      </c>
      <c r="H979" t="s">
        <v>33</v>
      </c>
      <c r="I979" t="s">
        <v>43</v>
      </c>
      <c r="J979" t="s">
        <v>35</v>
      </c>
      <c r="K979" t="s">
        <v>88</v>
      </c>
      <c r="L979" t="s">
        <v>37</v>
      </c>
      <c r="M979">
        <v>0</v>
      </c>
      <c r="N979">
        <v>1</v>
      </c>
      <c r="O979" s="5">
        <v>50692</v>
      </c>
      <c r="P979" s="5">
        <v>50691</v>
      </c>
      <c r="Q979">
        <f>24.5-11.5</f>
        <v>13</v>
      </c>
      <c r="R979" t="s">
        <v>64</v>
      </c>
      <c r="T979">
        <v>18</v>
      </c>
      <c r="U979">
        <v>75</v>
      </c>
      <c r="V979">
        <v>14</v>
      </c>
      <c r="W979">
        <v>12.8</v>
      </c>
      <c r="X979">
        <v>25.7</v>
      </c>
      <c r="Y979" t="s">
        <v>176</v>
      </c>
      <c r="Z979" t="s">
        <v>39</v>
      </c>
      <c r="AB979" t="s">
        <v>47</v>
      </c>
      <c r="AC979" t="s">
        <v>76</v>
      </c>
    </row>
    <row r="980" spans="1:30" x14ac:dyDescent="0.35">
      <c r="A980" s="4">
        <v>42551</v>
      </c>
      <c r="B980" t="s">
        <v>30</v>
      </c>
      <c r="C980">
        <v>701</v>
      </c>
      <c r="D980">
        <v>4</v>
      </c>
      <c r="E980">
        <v>2</v>
      </c>
      <c r="F980" t="s">
        <v>42</v>
      </c>
      <c r="G980" t="s">
        <v>32</v>
      </c>
      <c r="H980" t="s">
        <v>33</v>
      </c>
      <c r="I980" t="s">
        <v>43</v>
      </c>
      <c r="J980" t="s">
        <v>44</v>
      </c>
      <c r="K980" t="s">
        <v>88</v>
      </c>
      <c r="L980" t="s">
        <v>45</v>
      </c>
      <c r="M980">
        <v>0</v>
      </c>
      <c r="N980">
        <v>0</v>
      </c>
      <c r="O980" s="5">
        <v>50700</v>
      </c>
      <c r="P980" s="5">
        <v>50699</v>
      </c>
      <c r="Q980">
        <v>12</v>
      </c>
      <c r="R980" t="s">
        <v>46</v>
      </c>
      <c r="S980" t="s">
        <v>39</v>
      </c>
      <c r="T980">
        <v>18</v>
      </c>
      <c r="U980">
        <v>67.5</v>
      </c>
      <c r="V980">
        <v>13</v>
      </c>
      <c r="W980">
        <v>11.85</v>
      </c>
      <c r="X980">
        <v>24.4</v>
      </c>
      <c r="Z980" t="s">
        <v>39</v>
      </c>
      <c r="AB980" t="s">
        <v>40</v>
      </c>
      <c r="AC980" t="s">
        <v>76</v>
      </c>
    </row>
    <row r="981" spans="1:30" x14ac:dyDescent="0.35">
      <c r="A981" s="4">
        <v>42551</v>
      </c>
      <c r="B981" t="s">
        <v>30</v>
      </c>
      <c r="C981">
        <v>703</v>
      </c>
      <c r="D981">
        <v>7</v>
      </c>
      <c r="E981">
        <v>2</v>
      </c>
      <c r="F981" t="s">
        <v>42</v>
      </c>
      <c r="G981" t="s">
        <v>32</v>
      </c>
      <c r="H981" t="s">
        <v>33</v>
      </c>
      <c r="I981" t="s">
        <v>43</v>
      </c>
      <c r="J981" t="s">
        <v>44</v>
      </c>
      <c r="K981" t="s">
        <v>36</v>
      </c>
      <c r="L981" t="s">
        <v>45</v>
      </c>
      <c r="M981">
        <v>0</v>
      </c>
      <c r="N981">
        <v>0</v>
      </c>
      <c r="O981" s="5" t="s">
        <v>70</v>
      </c>
      <c r="P981" s="5" t="s">
        <v>71</v>
      </c>
      <c r="Q981">
        <f>31-12</f>
        <v>19</v>
      </c>
      <c r="R981" t="s">
        <v>77</v>
      </c>
      <c r="S981" t="s">
        <v>39</v>
      </c>
      <c r="T981">
        <v>20</v>
      </c>
      <c r="U981">
        <v>89.5</v>
      </c>
      <c r="V981">
        <v>14.5</v>
      </c>
      <c r="Z981" t="s">
        <v>39</v>
      </c>
      <c r="AB981" t="s">
        <v>47</v>
      </c>
      <c r="AC981" t="s">
        <v>76</v>
      </c>
      <c r="AD981" t="s">
        <v>169</v>
      </c>
    </row>
    <row r="982" spans="1:30" x14ac:dyDescent="0.35">
      <c r="A982" s="4">
        <v>42551</v>
      </c>
      <c r="B982" t="s">
        <v>30</v>
      </c>
      <c r="C982">
        <v>901</v>
      </c>
      <c r="D982">
        <v>2</v>
      </c>
      <c r="E982">
        <v>1</v>
      </c>
      <c r="F982" t="s">
        <v>42</v>
      </c>
      <c r="G982" t="s">
        <v>32</v>
      </c>
      <c r="H982" t="s">
        <v>33</v>
      </c>
      <c r="I982" t="s">
        <v>43</v>
      </c>
      <c r="J982" t="s">
        <v>44</v>
      </c>
      <c r="K982" t="s">
        <v>36</v>
      </c>
      <c r="L982" t="s">
        <v>45</v>
      </c>
      <c r="M982">
        <v>0</v>
      </c>
      <c r="N982">
        <v>0</v>
      </c>
      <c r="O982" s="5" t="s">
        <v>99</v>
      </c>
      <c r="P982" s="5" t="s">
        <v>171</v>
      </c>
      <c r="Q982">
        <f>34.5-12</f>
        <v>22.5</v>
      </c>
      <c r="R982" t="s">
        <v>46</v>
      </c>
      <c r="S982" t="s">
        <v>39</v>
      </c>
      <c r="T982">
        <v>17</v>
      </c>
      <c r="U982">
        <v>88</v>
      </c>
      <c r="V982">
        <v>15</v>
      </c>
      <c r="W982">
        <v>12.8</v>
      </c>
      <c r="X982">
        <v>27.3</v>
      </c>
      <c r="Z982" t="s">
        <v>39</v>
      </c>
      <c r="AB982" t="s">
        <v>47</v>
      </c>
      <c r="AC982" t="s">
        <v>76</v>
      </c>
    </row>
    <row r="983" spans="1:30" x14ac:dyDescent="0.35">
      <c r="A983" s="4">
        <v>42551</v>
      </c>
      <c r="B983" t="s">
        <v>30</v>
      </c>
      <c r="C983">
        <v>803</v>
      </c>
      <c r="D983">
        <v>10</v>
      </c>
      <c r="E983">
        <v>2</v>
      </c>
      <c r="F983" t="s">
        <v>42</v>
      </c>
      <c r="G983" t="s">
        <v>32</v>
      </c>
      <c r="H983" t="s">
        <v>33</v>
      </c>
      <c r="I983" t="s">
        <v>34</v>
      </c>
      <c r="J983" t="s">
        <v>44</v>
      </c>
      <c r="K983" t="s">
        <v>36</v>
      </c>
      <c r="L983" t="s">
        <v>37</v>
      </c>
      <c r="M983">
        <v>0</v>
      </c>
      <c r="N983">
        <v>0</v>
      </c>
      <c r="O983" s="5">
        <v>50391</v>
      </c>
      <c r="P983" s="5"/>
      <c r="Q983">
        <f>183-90</f>
        <v>93</v>
      </c>
      <c r="R983" t="s">
        <v>64</v>
      </c>
      <c r="T983">
        <v>29</v>
      </c>
      <c r="W983">
        <v>22</v>
      </c>
      <c r="X983">
        <v>42</v>
      </c>
      <c r="Z983" t="s">
        <v>39</v>
      </c>
      <c r="AB983" t="s">
        <v>47</v>
      </c>
      <c r="AC983" t="s">
        <v>76</v>
      </c>
    </row>
    <row r="984" spans="1:30" x14ac:dyDescent="0.35">
      <c r="A984" s="4">
        <v>42551</v>
      </c>
      <c r="B984" t="s">
        <v>30</v>
      </c>
      <c r="C984">
        <v>803</v>
      </c>
      <c r="D984">
        <v>9</v>
      </c>
      <c r="E984">
        <v>1</v>
      </c>
      <c r="F984" t="s">
        <v>42</v>
      </c>
      <c r="G984" t="s">
        <v>32</v>
      </c>
      <c r="H984" t="s">
        <v>33</v>
      </c>
      <c r="I984" t="s">
        <v>34</v>
      </c>
      <c r="J984" t="s">
        <v>44</v>
      </c>
      <c r="K984" t="s">
        <v>88</v>
      </c>
      <c r="L984" t="s">
        <v>37</v>
      </c>
      <c r="M984">
        <v>0</v>
      </c>
      <c r="N984">
        <v>0</v>
      </c>
      <c r="O984" s="5">
        <v>50463</v>
      </c>
      <c r="P984" s="5"/>
      <c r="Q984">
        <f>165-90</f>
        <v>75</v>
      </c>
      <c r="R984" t="s">
        <v>64</v>
      </c>
      <c r="T984">
        <v>32</v>
      </c>
      <c r="W984">
        <v>20.3</v>
      </c>
      <c r="X984">
        <v>41.75</v>
      </c>
      <c r="Z984" t="s">
        <v>39</v>
      </c>
      <c r="AB984" t="s">
        <v>47</v>
      </c>
      <c r="AC984" t="s">
        <v>76</v>
      </c>
    </row>
    <row r="985" spans="1:30" x14ac:dyDescent="0.35">
      <c r="A985" s="4">
        <v>42551</v>
      </c>
      <c r="B985" t="s">
        <v>30</v>
      </c>
      <c r="C985">
        <v>801</v>
      </c>
      <c r="D985">
        <v>8</v>
      </c>
      <c r="E985">
        <v>1</v>
      </c>
      <c r="F985" t="s">
        <v>42</v>
      </c>
      <c r="G985" t="s">
        <v>32</v>
      </c>
      <c r="H985" t="s">
        <v>33</v>
      </c>
      <c r="I985" t="s">
        <v>34</v>
      </c>
      <c r="J985" t="s">
        <v>44</v>
      </c>
      <c r="K985" t="s">
        <v>88</v>
      </c>
      <c r="L985" t="s">
        <v>45</v>
      </c>
      <c r="M985">
        <v>0</v>
      </c>
      <c r="N985">
        <v>0</v>
      </c>
      <c r="O985" s="5">
        <v>50625</v>
      </c>
      <c r="P985" s="5"/>
      <c r="Q985">
        <f>160-90</f>
        <v>70</v>
      </c>
      <c r="R985" t="s">
        <v>46</v>
      </c>
      <c r="S985" t="s">
        <v>39</v>
      </c>
      <c r="T985">
        <v>34</v>
      </c>
      <c r="W985">
        <v>19.8</v>
      </c>
      <c r="X985">
        <v>41</v>
      </c>
      <c r="Z985" t="s">
        <v>39</v>
      </c>
      <c r="AB985" t="s">
        <v>47</v>
      </c>
      <c r="AC985" t="s">
        <v>76</v>
      </c>
      <c r="AD985" t="s">
        <v>177</v>
      </c>
    </row>
    <row r="986" spans="1:30" x14ac:dyDescent="0.35">
      <c r="A986" s="4">
        <v>42551</v>
      </c>
      <c r="B986" t="s">
        <v>30</v>
      </c>
      <c r="C986">
        <v>501</v>
      </c>
      <c r="D986">
        <v>2</v>
      </c>
      <c r="E986">
        <v>1</v>
      </c>
      <c r="F986" t="s">
        <v>31</v>
      </c>
      <c r="G986" t="s">
        <v>32</v>
      </c>
      <c r="H986" t="s">
        <v>33</v>
      </c>
      <c r="I986" t="s">
        <v>34</v>
      </c>
      <c r="J986" t="s">
        <v>122</v>
      </c>
      <c r="O986" s="5"/>
      <c r="P986" s="5"/>
      <c r="Z986" t="s">
        <v>39</v>
      </c>
    </row>
    <row r="987" spans="1:30" x14ac:dyDescent="0.35">
      <c r="A987" s="4">
        <v>42551</v>
      </c>
      <c r="B987" t="s">
        <v>30</v>
      </c>
      <c r="C987">
        <v>501</v>
      </c>
      <c r="D987">
        <v>10</v>
      </c>
      <c r="E987">
        <v>1</v>
      </c>
      <c r="F987" t="s">
        <v>31</v>
      </c>
      <c r="G987" t="s">
        <v>32</v>
      </c>
      <c r="H987" t="s">
        <v>33</v>
      </c>
      <c r="I987" t="s">
        <v>34</v>
      </c>
      <c r="J987" t="s">
        <v>44</v>
      </c>
      <c r="K987" t="s">
        <v>36</v>
      </c>
      <c r="L987" t="s">
        <v>45</v>
      </c>
      <c r="M987">
        <v>0</v>
      </c>
      <c r="N987">
        <v>0</v>
      </c>
      <c r="O987" s="5"/>
      <c r="P987" s="5">
        <v>50337</v>
      </c>
      <c r="Q987">
        <f>129-50</f>
        <v>79</v>
      </c>
      <c r="R987" t="s">
        <v>161</v>
      </c>
      <c r="S987" t="s">
        <v>102</v>
      </c>
      <c r="Z987" t="s">
        <v>39</v>
      </c>
      <c r="AB987" t="s">
        <v>47</v>
      </c>
      <c r="AC987" t="s">
        <v>41</v>
      </c>
    </row>
    <row r="988" spans="1:30" x14ac:dyDescent="0.35">
      <c r="A988" s="4">
        <v>42551</v>
      </c>
      <c r="B988" t="s">
        <v>30</v>
      </c>
      <c r="C988">
        <v>701</v>
      </c>
      <c r="D988">
        <v>5</v>
      </c>
      <c r="E988">
        <v>2</v>
      </c>
      <c r="F988" t="s">
        <v>42</v>
      </c>
      <c r="G988" t="s">
        <v>32</v>
      </c>
      <c r="H988" t="s">
        <v>33</v>
      </c>
      <c r="I988" t="s">
        <v>34</v>
      </c>
      <c r="J988" t="s">
        <v>44</v>
      </c>
      <c r="K988" t="s">
        <v>36</v>
      </c>
      <c r="L988" t="s">
        <v>45</v>
      </c>
      <c r="M988">
        <v>0</v>
      </c>
      <c r="N988">
        <v>0</v>
      </c>
      <c r="O988" s="5"/>
      <c r="P988" s="5" t="s">
        <v>93</v>
      </c>
      <c r="Q988">
        <v>90</v>
      </c>
      <c r="R988" t="s">
        <v>46</v>
      </c>
      <c r="S988" t="s">
        <v>39</v>
      </c>
      <c r="T988">
        <v>33.5</v>
      </c>
      <c r="W988">
        <v>22.75</v>
      </c>
      <c r="X988">
        <v>42</v>
      </c>
      <c r="Z988" t="s">
        <v>39</v>
      </c>
      <c r="AB988" t="s">
        <v>47</v>
      </c>
      <c r="AC988" t="s">
        <v>76</v>
      </c>
    </row>
    <row r="989" spans="1:30" x14ac:dyDescent="0.35">
      <c r="A989" s="4">
        <v>42551</v>
      </c>
      <c r="B989" t="s">
        <v>30</v>
      </c>
      <c r="C989">
        <v>801</v>
      </c>
      <c r="D989">
        <v>1</v>
      </c>
      <c r="E989">
        <v>1</v>
      </c>
      <c r="F989" t="s">
        <v>42</v>
      </c>
      <c r="G989" t="s">
        <v>32</v>
      </c>
      <c r="H989" t="s">
        <v>33</v>
      </c>
      <c r="I989" t="s">
        <v>34</v>
      </c>
      <c r="J989" t="s">
        <v>122</v>
      </c>
      <c r="O989" s="5"/>
      <c r="P989" s="5"/>
      <c r="Z989" t="s">
        <v>39</v>
      </c>
    </row>
    <row r="990" spans="1:30" x14ac:dyDescent="0.35">
      <c r="A990" s="4">
        <v>42551</v>
      </c>
      <c r="B990" t="s">
        <v>30</v>
      </c>
      <c r="C990">
        <v>801</v>
      </c>
      <c r="D990">
        <v>7</v>
      </c>
      <c r="E990">
        <v>1</v>
      </c>
      <c r="F990" t="s">
        <v>42</v>
      </c>
      <c r="G990" t="s">
        <v>32</v>
      </c>
      <c r="H990" t="s">
        <v>33</v>
      </c>
      <c r="I990" t="s">
        <v>34</v>
      </c>
      <c r="J990" t="s">
        <v>122</v>
      </c>
      <c r="O990" s="5"/>
      <c r="P990" s="5"/>
      <c r="Z990" t="s">
        <v>39</v>
      </c>
    </row>
    <row r="991" spans="1:30" x14ac:dyDescent="0.35">
      <c r="A991" s="4">
        <v>42551</v>
      </c>
      <c r="B991" t="s">
        <v>30</v>
      </c>
      <c r="C991">
        <v>801</v>
      </c>
      <c r="D991">
        <v>10</v>
      </c>
      <c r="E991">
        <v>1</v>
      </c>
      <c r="F991" t="s">
        <v>42</v>
      </c>
      <c r="G991" t="s">
        <v>32</v>
      </c>
      <c r="H991" t="s">
        <v>33</v>
      </c>
      <c r="I991" t="s">
        <v>34</v>
      </c>
      <c r="J991" t="s">
        <v>44</v>
      </c>
      <c r="K991" t="s">
        <v>36</v>
      </c>
      <c r="L991" t="s">
        <v>37</v>
      </c>
      <c r="M991">
        <v>0</v>
      </c>
      <c r="N991">
        <v>0</v>
      </c>
      <c r="O991" s="5"/>
      <c r="P991" s="5">
        <v>50392</v>
      </c>
      <c r="Q991">
        <f>185-90</f>
        <v>95</v>
      </c>
      <c r="R991" t="s">
        <v>38</v>
      </c>
      <c r="T991">
        <v>32</v>
      </c>
      <c r="W991">
        <v>21.4</v>
      </c>
      <c r="X991">
        <v>44.1</v>
      </c>
      <c r="Z991" t="s">
        <v>39</v>
      </c>
      <c r="AB991" t="s">
        <v>47</v>
      </c>
      <c r="AC991" t="s">
        <v>76</v>
      </c>
      <c r="AD991" t="s">
        <v>178</v>
      </c>
    </row>
    <row r="992" spans="1:30" x14ac:dyDescent="0.35">
      <c r="A992" s="4">
        <v>42551</v>
      </c>
      <c r="B992" t="s">
        <v>30</v>
      </c>
      <c r="C992">
        <v>303</v>
      </c>
      <c r="D992">
        <v>10</v>
      </c>
      <c r="E992">
        <v>1</v>
      </c>
      <c r="F992" t="s">
        <v>31</v>
      </c>
      <c r="G992" t="s">
        <v>32</v>
      </c>
      <c r="H992" t="s">
        <v>33</v>
      </c>
      <c r="I992" t="s">
        <v>58</v>
      </c>
      <c r="J992" t="s">
        <v>44</v>
      </c>
      <c r="K992" t="s">
        <v>36</v>
      </c>
      <c r="L992" t="s">
        <v>37</v>
      </c>
      <c r="M992">
        <v>0</v>
      </c>
      <c r="N992">
        <v>0</v>
      </c>
      <c r="O992" s="5">
        <v>50444</v>
      </c>
      <c r="P992" s="5"/>
      <c r="Q992">
        <f>37-15.5</f>
        <v>21.5</v>
      </c>
      <c r="R992" t="s">
        <v>38</v>
      </c>
      <c r="T992">
        <v>18</v>
      </c>
      <c r="Z992" t="s">
        <v>39</v>
      </c>
      <c r="AB992" t="s">
        <v>47</v>
      </c>
      <c r="AC992" t="s">
        <v>41</v>
      </c>
    </row>
    <row r="993" spans="1:29" x14ac:dyDescent="0.35">
      <c r="A993" s="4">
        <v>42551</v>
      </c>
      <c r="B993" t="s">
        <v>30</v>
      </c>
      <c r="C993">
        <v>303</v>
      </c>
      <c r="D993">
        <v>6</v>
      </c>
      <c r="E993">
        <v>1</v>
      </c>
      <c r="F993" t="s">
        <v>31</v>
      </c>
      <c r="G993" t="s">
        <v>32</v>
      </c>
      <c r="H993" t="s">
        <v>33</v>
      </c>
      <c r="I993" t="s">
        <v>58</v>
      </c>
      <c r="J993" t="s">
        <v>44</v>
      </c>
      <c r="K993" t="s">
        <v>36</v>
      </c>
      <c r="L993" t="s">
        <v>37</v>
      </c>
      <c r="M993">
        <v>0</v>
      </c>
      <c r="N993">
        <v>0</v>
      </c>
      <c r="O993" s="5">
        <v>50450</v>
      </c>
      <c r="P993" s="5"/>
      <c r="Q993">
        <f>29-11.5</f>
        <v>17.5</v>
      </c>
      <c r="R993" t="s">
        <v>38</v>
      </c>
      <c r="T993">
        <v>18</v>
      </c>
      <c r="Z993" t="s">
        <v>39</v>
      </c>
      <c r="AB993" t="s">
        <v>47</v>
      </c>
      <c r="AC993" t="s">
        <v>41</v>
      </c>
    </row>
    <row r="994" spans="1:29" x14ac:dyDescent="0.35">
      <c r="A994" s="4">
        <v>42551</v>
      </c>
      <c r="B994" t="s">
        <v>30</v>
      </c>
      <c r="C994">
        <v>701</v>
      </c>
      <c r="D994">
        <v>3</v>
      </c>
      <c r="E994">
        <v>2</v>
      </c>
      <c r="F994" t="s">
        <v>42</v>
      </c>
      <c r="G994" t="s">
        <v>32</v>
      </c>
      <c r="H994" t="s">
        <v>33</v>
      </c>
      <c r="I994" t="s">
        <v>58</v>
      </c>
      <c r="K994" t="s">
        <v>36</v>
      </c>
      <c r="L994" t="s">
        <v>37</v>
      </c>
      <c r="M994">
        <v>0</v>
      </c>
      <c r="N994">
        <v>0</v>
      </c>
      <c r="O994" s="5">
        <v>50452</v>
      </c>
      <c r="P994" s="5"/>
      <c r="Q994">
        <f>36-17.5</f>
        <v>18.5</v>
      </c>
      <c r="R994" t="s">
        <v>64</v>
      </c>
      <c r="T994">
        <v>18</v>
      </c>
      <c r="W994">
        <v>12</v>
      </c>
      <c r="X994">
        <v>24.8</v>
      </c>
      <c r="Z994" t="s">
        <v>39</v>
      </c>
      <c r="AB994" t="s">
        <v>47</v>
      </c>
      <c r="AC994" t="s">
        <v>76</v>
      </c>
    </row>
    <row r="995" spans="1:29" x14ac:dyDescent="0.35">
      <c r="A995" s="4">
        <v>42551</v>
      </c>
      <c r="B995" t="s">
        <v>30</v>
      </c>
      <c r="C995">
        <v>303</v>
      </c>
      <c r="D995">
        <v>5</v>
      </c>
      <c r="E995">
        <v>2</v>
      </c>
      <c r="F995" t="s">
        <v>31</v>
      </c>
      <c r="G995" t="s">
        <v>32</v>
      </c>
      <c r="H995" t="s">
        <v>33</v>
      </c>
      <c r="I995" t="s">
        <v>58</v>
      </c>
      <c r="J995" t="s">
        <v>35</v>
      </c>
      <c r="K995" t="s">
        <v>36</v>
      </c>
      <c r="L995" t="s">
        <v>37</v>
      </c>
      <c r="M995">
        <v>0</v>
      </c>
      <c r="N995">
        <v>1</v>
      </c>
      <c r="O995" s="5">
        <v>50548</v>
      </c>
      <c r="P995" s="5"/>
      <c r="Q995">
        <f>39-11.5</f>
        <v>27.5</v>
      </c>
      <c r="R995" t="s">
        <v>38</v>
      </c>
      <c r="T995">
        <v>19</v>
      </c>
      <c r="Z995" t="s">
        <v>39</v>
      </c>
      <c r="AB995" t="s">
        <v>47</v>
      </c>
      <c r="AC995" t="s">
        <v>41</v>
      </c>
    </row>
    <row r="996" spans="1:29" x14ac:dyDescent="0.35">
      <c r="A996" s="4">
        <v>42551</v>
      </c>
      <c r="B996" t="s">
        <v>30</v>
      </c>
      <c r="C996">
        <v>503</v>
      </c>
      <c r="D996">
        <v>10</v>
      </c>
      <c r="E996">
        <v>2</v>
      </c>
      <c r="F996" t="s">
        <v>31</v>
      </c>
      <c r="G996" t="s">
        <v>32</v>
      </c>
      <c r="H996" t="s">
        <v>33</v>
      </c>
      <c r="I996" t="s">
        <v>58</v>
      </c>
      <c r="J996" t="s">
        <v>44</v>
      </c>
      <c r="K996" t="s">
        <v>36</v>
      </c>
      <c r="L996" t="s">
        <v>37</v>
      </c>
      <c r="M996">
        <v>0</v>
      </c>
      <c r="N996">
        <v>0</v>
      </c>
      <c r="O996" s="5">
        <v>50579</v>
      </c>
      <c r="P996" s="5"/>
      <c r="Q996">
        <f>37-12</f>
        <v>25</v>
      </c>
      <c r="R996" t="s">
        <v>38</v>
      </c>
      <c r="T996">
        <v>17</v>
      </c>
      <c r="X996">
        <v>27.2</v>
      </c>
      <c r="Z996" t="s">
        <v>39</v>
      </c>
      <c r="AB996" t="s">
        <v>47</v>
      </c>
      <c r="AC996" t="s">
        <v>41</v>
      </c>
    </row>
    <row r="997" spans="1:29" x14ac:dyDescent="0.35">
      <c r="A997" s="4">
        <v>42551</v>
      </c>
      <c r="B997" t="s">
        <v>30</v>
      </c>
      <c r="C997">
        <v>703</v>
      </c>
      <c r="D997">
        <v>6</v>
      </c>
      <c r="E997">
        <v>1</v>
      </c>
      <c r="F997" t="s">
        <v>42</v>
      </c>
      <c r="G997" t="s">
        <v>32</v>
      </c>
      <c r="H997" t="s">
        <v>33</v>
      </c>
      <c r="I997" t="s">
        <v>58</v>
      </c>
      <c r="J997" t="s">
        <v>44</v>
      </c>
      <c r="K997" t="s">
        <v>36</v>
      </c>
      <c r="L997" t="s">
        <v>37</v>
      </c>
      <c r="M997">
        <v>0</v>
      </c>
      <c r="N997">
        <v>0</v>
      </c>
      <c r="O997" s="5">
        <v>50618</v>
      </c>
      <c r="P997" s="5"/>
      <c r="Q997">
        <f>32.5-12</f>
        <v>20.5</v>
      </c>
      <c r="R997" t="s">
        <v>38</v>
      </c>
      <c r="T997">
        <v>16</v>
      </c>
      <c r="W997">
        <v>12.1</v>
      </c>
      <c r="X997">
        <v>27.7</v>
      </c>
      <c r="Z997" t="s">
        <v>39</v>
      </c>
      <c r="AB997" t="s">
        <v>47</v>
      </c>
      <c r="AC997" t="s">
        <v>76</v>
      </c>
    </row>
    <row r="998" spans="1:29" x14ac:dyDescent="0.35">
      <c r="A998" s="4">
        <v>42551</v>
      </c>
      <c r="B998" t="s">
        <v>30</v>
      </c>
      <c r="C998">
        <v>701</v>
      </c>
      <c r="D998">
        <v>10</v>
      </c>
      <c r="E998">
        <v>1</v>
      </c>
      <c r="F998" t="s">
        <v>42</v>
      </c>
      <c r="G998" t="s">
        <v>32</v>
      </c>
      <c r="H998" t="s">
        <v>33</v>
      </c>
      <c r="I998" t="s">
        <v>58</v>
      </c>
      <c r="J998" t="s">
        <v>35</v>
      </c>
      <c r="K998" t="s">
        <v>113</v>
      </c>
      <c r="L998" t="s">
        <v>37</v>
      </c>
      <c r="M998">
        <v>0</v>
      </c>
      <c r="N998">
        <v>1</v>
      </c>
      <c r="O998" s="5">
        <v>50687</v>
      </c>
      <c r="P998" s="5"/>
      <c r="Q998">
        <f>31-13</f>
        <v>18</v>
      </c>
      <c r="R998" t="s">
        <v>64</v>
      </c>
      <c r="T998">
        <v>18</v>
      </c>
      <c r="W998">
        <v>12.05</v>
      </c>
      <c r="X998">
        <v>25.7</v>
      </c>
      <c r="Z998" t="s">
        <v>39</v>
      </c>
      <c r="AB998" t="s">
        <v>47</v>
      </c>
      <c r="AC998" t="s">
        <v>76</v>
      </c>
    </row>
    <row r="999" spans="1:29" x14ac:dyDescent="0.35">
      <c r="A999" s="4">
        <v>42551</v>
      </c>
      <c r="B999" t="s">
        <v>30</v>
      </c>
      <c r="C999">
        <v>701</v>
      </c>
      <c r="D999">
        <v>1</v>
      </c>
      <c r="E999">
        <v>1</v>
      </c>
      <c r="F999" t="s">
        <v>42</v>
      </c>
      <c r="G999" t="s">
        <v>32</v>
      </c>
      <c r="H999" t="s">
        <v>33</v>
      </c>
      <c r="I999" t="s">
        <v>58</v>
      </c>
      <c r="J999" t="s">
        <v>35</v>
      </c>
      <c r="K999" t="s">
        <v>36</v>
      </c>
      <c r="L999" t="s">
        <v>45</v>
      </c>
      <c r="M999">
        <v>0</v>
      </c>
      <c r="N999">
        <v>1</v>
      </c>
      <c r="O999" s="5">
        <v>50688</v>
      </c>
      <c r="P999" s="5"/>
      <c r="Q999">
        <f>34-12.5</f>
        <v>21.5</v>
      </c>
      <c r="R999" t="s">
        <v>79</v>
      </c>
      <c r="S999" t="s">
        <v>39</v>
      </c>
      <c r="T999">
        <v>16</v>
      </c>
      <c r="W999">
        <v>12.7</v>
      </c>
      <c r="X999">
        <v>26.5</v>
      </c>
      <c r="Z999" t="s">
        <v>39</v>
      </c>
      <c r="AB999" t="s">
        <v>40</v>
      </c>
      <c r="AC999" t="s">
        <v>76</v>
      </c>
    </row>
    <row r="1000" spans="1:29" x14ac:dyDescent="0.35">
      <c r="A1000" s="4">
        <v>42551</v>
      </c>
      <c r="B1000" t="s">
        <v>30</v>
      </c>
      <c r="C1000">
        <v>701</v>
      </c>
      <c r="D1000">
        <v>2</v>
      </c>
      <c r="E1000">
        <v>1</v>
      </c>
      <c r="F1000" t="s">
        <v>42</v>
      </c>
      <c r="G1000" t="s">
        <v>32</v>
      </c>
      <c r="H1000" t="s">
        <v>33</v>
      </c>
      <c r="I1000" t="s">
        <v>58</v>
      </c>
      <c r="J1000" t="s">
        <v>44</v>
      </c>
      <c r="K1000" t="s">
        <v>36</v>
      </c>
      <c r="L1000" t="s">
        <v>37</v>
      </c>
      <c r="M1000">
        <v>0</v>
      </c>
      <c r="N1000">
        <v>0</v>
      </c>
      <c r="O1000" s="5">
        <v>50698</v>
      </c>
      <c r="P1000" s="5"/>
      <c r="Q1000">
        <f>35-13</f>
        <v>22</v>
      </c>
      <c r="R1000" t="s">
        <v>64</v>
      </c>
      <c r="T1000">
        <v>18</v>
      </c>
      <c r="W1000">
        <v>12.6</v>
      </c>
      <c r="X1000">
        <v>26.7</v>
      </c>
      <c r="Z1000" t="s">
        <v>39</v>
      </c>
      <c r="AB1000" t="s">
        <v>47</v>
      </c>
      <c r="AC1000" t="s">
        <v>76</v>
      </c>
    </row>
    <row r="1001" spans="1:29" x14ac:dyDescent="0.35">
      <c r="A1001" s="4">
        <v>42551</v>
      </c>
      <c r="B1001" t="s">
        <v>30</v>
      </c>
      <c r="C1001">
        <v>303</v>
      </c>
      <c r="D1001">
        <v>10</v>
      </c>
      <c r="E1001">
        <v>2</v>
      </c>
      <c r="F1001" t="s">
        <v>31</v>
      </c>
      <c r="G1001" t="s">
        <v>32</v>
      </c>
      <c r="H1001" t="s">
        <v>33</v>
      </c>
      <c r="I1001" t="s">
        <v>65</v>
      </c>
      <c r="J1001" t="s">
        <v>44</v>
      </c>
      <c r="K1001" t="s">
        <v>36</v>
      </c>
      <c r="L1001" t="s">
        <v>37</v>
      </c>
      <c r="M1001">
        <v>0</v>
      </c>
      <c r="N1001">
        <v>0</v>
      </c>
      <c r="O1001" s="5">
        <v>2618</v>
      </c>
      <c r="P1001" s="5">
        <v>509</v>
      </c>
      <c r="Q1001">
        <f>210-48</f>
        <v>162</v>
      </c>
      <c r="R1001" t="s">
        <v>38</v>
      </c>
      <c r="Z1001" t="s">
        <v>39</v>
      </c>
      <c r="AB1001" t="s">
        <v>47</v>
      </c>
      <c r="AC1001" t="s">
        <v>41</v>
      </c>
    </row>
    <row r="1002" spans="1:29" x14ac:dyDescent="0.35">
      <c r="A1002" s="4">
        <v>42551</v>
      </c>
      <c r="B1002" t="s">
        <v>30</v>
      </c>
      <c r="C1002">
        <v>401</v>
      </c>
      <c r="D1002">
        <v>7</v>
      </c>
      <c r="E1002">
        <v>2</v>
      </c>
      <c r="F1002" t="s">
        <v>31</v>
      </c>
      <c r="G1002" t="s">
        <v>32</v>
      </c>
      <c r="H1002" t="s">
        <v>33</v>
      </c>
      <c r="I1002" t="s">
        <v>65</v>
      </c>
      <c r="J1002" t="s">
        <v>35</v>
      </c>
      <c r="K1002" t="s">
        <v>36</v>
      </c>
      <c r="L1002" t="s">
        <v>37</v>
      </c>
      <c r="M1002">
        <v>0</v>
      </c>
      <c r="N1002">
        <v>1</v>
      </c>
      <c r="O1002" s="5">
        <v>50543</v>
      </c>
      <c r="P1002" s="5"/>
      <c r="Q1002">
        <f>213-46</f>
        <v>167</v>
      </c>
      <c r="R1002" t="s">
        <v>38</v>
      </c>
      <c r="T1002">
        <v>40</v>
      </c>
      <c r="W1002">
        <v>26.5</v>
      </c>
      <c r="X1002">
        <v>49.5</v>
      </c>
      <c r="Z1002" t="s">
        <v>39</v>
      </c>
      <c r="AB1002" t="s">
        <v>47</v>
      </c>
      <c r="AC1002" t="s">
        <v>41</v>
      </c>
    </row>
    <row r="1003" spans="1:29" x14ac:dyDescent="0.35">
      <c r="A1003" s="4">
        <v>42551</v>
      </c>
      <c r="B1003" t="s">
        <v>30</v>
      </c>
      <c r="C1003">
        <v>401</v>
      </c>
      <c r="D1003">
        <v>4</v>
      </c>
      <c r="E1003">
        <v>1</v>
      </c>
      <c r="F1003" t="s">
        <v>31</v>
      </c>
      <c r="G1003" t="s">
        <v>32</v>
      </c>
      <c r="H1003" t="s">
        <v>33</v>
      </c>
      <c r="I1003" t="s">
        <v>65</v>
      </c>
      <c r="J1003" t="s">
        <v>35</v>
      </c>
      <c r="K1003" t="s">
        <v>36</v>
      </c>
      <c r="L1003" t="s">
        <v>37</v>
      </c>
      <c r="M1003">
        <v>0</v>
      </c>
      <c r="N1003">
        <v>1</v>
      </c>
      <c r="O1003" s="5">
        <v>50545</v>
      </c>
      <c r="P1003" s="5">
        <v>50544</v>
      </c>
      <c r="Q1003">
        <f>180-45</f>
        <v>135</v>
      </c>
      <c r="R1003" t="s">
        <v>38</v>
      </c>
      <c r="Z1003" t="s">
        <v>39</v>
      </c>
      <c r="AB1003" t="s">
        <v>47</v>
      </c>
      <c r="AC1003" t="s">
        <v>41</v>
      </c>
    </row>
    <row r="1004" spans="1:29" x14ac:dyDescent="0.35">
      <c r="A1004" s="4">
        <v>42551</v>
      </c>
      <c r="B1004" t="s">
        <v>30</v>
      </c>
      <c r="C1004">
        <v>401</v>
      </c>
      <c r="D1004">
        <v>2</v>
      </c>
      <c r="E1004">
        <v>1</v>
      </c>
      <c r="F1004" t="s">
        <v>31</v>
      </c>
      <c r="G1004" t="s">
        <v>32</v>
      </c>
      <c r="H1004" t="s">
        <v>33</v>
      </c>
      <c r="I1004" t="s">
        <v>65</v>
      </c>
      <c r="J1004" t="s">
        <v>35</v>
      </c>
      <c r="K1004" t="s">
        <v>36</v>
      </c>
      <c r="L1004" t="s">
        <v>37</v>
      </c>
      <c r="M1004">
        <v>0</v>
      </c>
      <c r="N1004">
        <v>1</v>
      </c>
      <c r="O1004" s="5">
        <v>50546</v>
      </c>
      <c r="P1004" s="5"/>
      <c r="Q1004">
        <f>204-47</f>
        <v>157</v>
      </c>
      <c r="R1004" t="s">
        <v>38</v>
      </c>
      <c r="T1004">
        <v>40</v>
      </c>
      <c r="Z1004" t="s">
        <v>39</v>
      </c>
      <c r="AB1004" t="s">
        <v>47</v>
      </c>
      <c r="AC1004" t="s">
        <v>41</v>
      </c>
    </row>
    <row r="1005" spans="1:29" x14ac:dyDescent="0.35">
      <c r="A1005" s="4">
        <v>42551</v>
      </c>
      <c r="B1005" t="s">
        <v>30</v>
      </c>
      <c r="C1005">
        <v>303</v>
      </c>
      <c r="D1005">
        <v>8</v>
      </c>
      <c r="E1005">
        <v>1</v>
      </c>
      <c r="F1005" t="s">
        <v>31</v>
      </c>
      <c r="G1005" t="s">
        <v>32</v>
      </c>
      <c r="H1005" t="s">
        <v>33</v>
      </c>
      <c r="I1005" t="s">
        <v>65</v>
      </c>
      <c r="J1005" t="s">
        <v>35</v>
      </c>
      <c r="K1005" t="s">
        <v>36</v>
      </c>
      <c r="M1005">
        <v>0</v>
      </c>
      <c r="N1005">
        <v>1</v>
      </c>
      <c r="O1005" s="5">
        <v>50547</v>
      </c>
      <c r="P1005" s="5"/>
      <c r="Q1005">
        <f>158-47</f>
        <v>111</v>
      </c>
      <c r="W1005">
        <v>24.9</v>
      </c>
      <c r="X1005">
        <v>46.6</v>
      </c>
      <c r="Z1005" t="s">
        <v>39</v>
      </c>
      <c r="AB1005" t="s">
        <v>47</v>
      </c>
      <c r="AC1005" t="s">
        <v>41</v>
      </c>
    </row>
    <row r="1006" spans="1:29" x14ac:dyDescent="0.35">
      <c r="A1006" s="4">
        <v>42551</v>
      </c>
      <c r="B1006" t="s">
        <v>30</v>
      </c>
      <c r="C1006">
        <v>401</v>
      </c>
      <c r="D1006">
        <v>6</v>
      </c>
      <c r="E1006">
        <v>1</v>
      </c>
      <c r="F1006" t="s">
        <v>31</v>
      </c>
      <c r="G1006" t="s">
        <v>32</v>
      </c>
      <c r="H1006" t="s">
        <v>33</v>
      </c>
      <c r="I1006" t="s">
        <v>65</v>
      </c>
      <c r="J1006" t="s">
        <v>122</v>
      </c>
      <c r="K1006" t="s">
        <v>36</v>
      </c>
      <c r="L1006" t="s">
        <v>37</v>
      </c>
      <c r="O1006" s="5"/>
      <c r="P1006" s="5"/>
      <c r="R1006" t="s">
        <v>38</v>
      </c>
      <c r="Z1006" t="s">
        <v>39</v>
      </c>
    </row>
    <row r="1007" spans="1:29" x14ac:dyDescent="0.35">
      <c r="A1007" s="4">
        <v>42551</v>
      </c>
      <c r="B1007" t="s">
        <v>30</v>
      </c>
      <c r="C1007">
        <v>503</v>
      </c>
      <c r="D1007">
        <v>1</v>
      </c>
      <c r="E1007">
        <v>1</v>
      </c>
      <c r="F1007" t="s">
        <v>31</v>
      </c>
      <c r="G1007" t="s">
        <v>32</v>
      </c>
      <c r="H1007" t="s">
        <v>33</v>
      </c>
      <c r="I1007" t="s">
        <v>55</v>
      </c>
      <c r="J1007" t="s">
        <v>66</v>
      </c>
      <c r="O1007" s="5"/>
      <c r="P1007" s="5"/>
      <c r="Z1007" t="s">
        <v>39</v>
      </c>
    </row>
    <row r="1008" spans="1:29" x14ac:dyDescent="0.35">
      <c r="A1008" s="4">
        <v>42551</v>
      </c>
      <c r="B1008" t="s">
        <v>30</v>
      </c>
      <c r="C1008">
        <v>503</v>
      </c>
      <c r="D1008">
        <v>1</v>
      </c>
      <c r="E1008">
        <v>2</v>
      </c>
      <c r="F1008" t="s">
        <v>31</v>
      </c>
      <c r="G1008" t="s">
        <v>32</v>
      </c>
      <c r="H1008" t="s">
        <v>33</v>
      </c>
      <c r="I1008" t="s">
        <v>55</v>
      </c>
      <c r="J1008" t="s">
        <v>66</v>
      </c>
      <c r="O1008" s="5"/>
      <c r="P1008" s="5"/>
      <c r="Z1008" t="s">
        <v>39</v>
      </c>
    </row>
    <row r="1009" spans="1:26" x14ac:dyDescent="0.35">
      <c r="A1009" s="4">
        <v>42551</v>
      </c>
      <c r="B1009" t="s">
        <v>30</v>
      </c>
      <c r="C1009">
        <v>503</v>
      </c>
      <c r="D1009">
        <v>8</v>
      </c>
      <c r="E1009">
        <v>2</v>
      </c>
      <c r="F1009" t="s">
        <v>31</v>
      </c>
      <c r="G1009" t="s">
        <v>32</v>
      </c>
      <c r="H1009" t="s">
        <v>33</v>
      </c>
      <c r="I1009" t="s">
        <v>55</v>
      </c>
      <c r="J1009" t="s">
        <v>66</v>
      </c>
      <c r="O1009" s="5"/>
      <c r="P1009" s="5"/>
      <c r="Z1009" t="s">
        <v>39</v>
      </c>
    </row>
    <row r="1010" spans="1:26" x14ac:dyDescent="0.35">
      <c r="A1010" s="4">
        <v>42551</v>
      </c>
      <c r="B1010" t="s">
        <v>30</v>
      </c>
      <c r="C1010">
        <v>303</v>
      </c>
      <c r="D1010">
        <v>9</v>
      </c>
      <c r="E1010">
        <v>1</v>
      </c>
      <c r="F1010" t="s">
        <v>31</v>
      </c>
      <c r="G1010" t="s">
        <v>32</v>
      </c>
      <c r="H1010" t="s">
        <v>33</v>
      </c>
      <c r="I1010" t="s">
        <v>55</v>
      </c>
      <c r="J1010" t="s">
        <v>66</v>
      </c>
      <c r="O1010" s="5"/>
      <c r="P1010" s="5"/>
      <c r="Z1010" t="s">
        <v>39</v>
      </c>
    </row>
    <row r="1011" spans="1:26" x14ac:dyDescent="0.35">
      <c r="A1011" s="4">
        <v>42551</v>
      </c>
      <c r="B1011" t="s">
        <v>30</v>
      </c>
      <c r="C1011">
        <v>703</v>
      </c>
      <c r="D1011">
        <v>3</v>
      </c>
      <c r="E1011">
        <v>1</v>
      </c>
      <c r="F1011" t="s">
        <v>42</v>
      </c>
      <c r="G1011" t="s">
        <v>32</v>
      </c>
      <c r="H1011" t="s">
        <v>33</v>
      </c>
      <c r="I1011" t="s">
        <v>55</v>
      </c>
      <c r="J1011" t="s">
        <v>66</v>
      </c>
      <c r="O1011" s="5"/>
      <c r="P1011" s="5"/>
      <c r="Z1011" t="s">
        <v>39</v>
      </c>
    </row>
    <row r="1012" spans="1:26" x14ac:dyDescent="0.35">
      <c r="A1012" s="4">
        <v>42551</v>
      </c>
      <c r="B1012" t="s">
        <v>30</v>
      </c>
      <c r="C1012">
        <v>801</v>
      </c>
      <c r="D1012">
        <v>4</v>
      </c>
      <c r="E1012">
        <v>1</v>
      </c>
      <c r="F1012" t="s">
        <v>42</v>
      </c>
      <c r="G1012" t="s">
        <v>32</v>
      </c>
      <c r="H1012" t="s">
        <v>33</v>
      </c>
      <c r="I1012" t="s">
        <v>55</v>
      </c>
      <c r="J1012" t="s">
        <v>66</v>
      </c>
      <c r="O1012" s="5"/>
      <c r="P1012" s="5"/>
      <c r="Z1012" t="s">
        <v>39</v>
      </c>
    </row>
    <row r="1013" spans="1:26" x14ac:dyDescent="0.35">
      <c r="A1013" s="4">
        <v>42551</v>
      </c>
      <c r="B1013" t="s">
        <v>30</v>
      </c>
      <c r="C1013">
        <v>503</v>
      </c>
      <c r="D1013">
        <v>6</v>
      </c>
      <c r="E1013">
        <v>1</v>
      </c>
      <c r="F1013" t="s">
        <v>31</v>
      </c>
      <c r="G1013" t="s">
        <v>32</v>
      </c>
      <c r="H1013" t="s">
        <v>33</v>
      </c>
      <c r="I1013" t="s">
        <v>72</v>
      </c>
      <c r="J1013" t="s">
        <v>123</v>
      </c>
      <c r="O1013" s="5"/>
      <c r="P1013" s="5"/>
      <c r="Z1013" t="s">
        <v>39</v>
      </c>
    </row>
    <row r="1014" spans="1:26" x14ac:dyDescent="0.35">
      <c r="A1014" s="4">
        <v>42551</v>
      </c>
      <c r="B1014" t="s">
        <v>30</v>
      </c>
      <c r="C1014">
        <v>801</v>
      </c>
      <c r="D1014">
        <v>9</v>
      </c>
      <c r="E1014">
        <v>1</v>
      </c>
      <c r="F1014" t="s">
        <v>42</v>
      </c>
      <c r="G1014" t="s">
        <v>32</v>
      </c>
      <c r="H1014" t="s">
        <v>33</v>
      </c>
      <c r="I1014" t="s">
        <v>72</v>
      </c>
      <c r="J1014" t="s">
        <v>66</v>
      </c>
      <c r="O1014" s="5"/>
      <c r="P1014" s="5"/>
      <c r="Z1014" t="s">
        <v>39</v>
      </c>
    </row>
    <row r="1015" spans="1:26" x14ac:dyDescent="0.35">
      <c r="A1015" s="4">
        <v>42551</v>
      </c>
      <c r="B1015" t="s">
        <v>30</v>
      </c>
      <c r="C1015">
        <v>501</v>
      </c>
      <c r="D1015">
        <v>5</v>
      </c>
      <c r="E1015">
        <v>1</v>
      </c>
      <c r="F1015" t="s">
        <v>31</v>
      </c>
      <c r="G1015" t="s">
        <v>32</v>
      </c>
      <c r="H1015" t="s">
        <v>33</v>
      </c>
      <c r="I1015" t="s">
        <v>59</v>
      </c>
      <c r="O1015" s="5"/>
      <c r="P1015" s="5"/>
      <c r="Z1015" t="s">
        <v>39</v>
      </c>
    </row>
    <row r="1016" spans="1:26" x14ac:dyDescent="0.35">
      <c r="A1016" s="4">
        <v>42551</v>
      </c>
      <c r="B1016" t="s">
        <v>30</v>
      </c>
      <c r="C1016">
        <v>501</v>
      </c>
      <c r="D1016">
        <v>6</v>
      </c>
      <c r="E1016">
        <v>1</v>
      </c>
      <c r="F1016" t="s">
        <v>31</v>
      </c>
      <c r="G1016" t="s">
        <v>32</v>
      </c>
      <c r="H1016" t="s">
        <v>33</v>
      </c>
      <c r="I1016" t="s">
        <v>59</v>
      </c>
      <c r="O1016" s="5"/>
      <c r="P1016" s="5"/>
      <c r="Z1016" t="s">
        <v>39</v>
      </c>
    </row>
    <row r="1017" spans="1:26" x14ac:dyDescent="0.35">
      <c r="A1017" s="4">
        <v>42551</v>
      </c>
      <c r="B1017" t="s">
        <v>30</v>
      </c>
      <c r="C1017">
        <v>501</v>
      </c>
      <c r="D1017">
        <v>9</v>
      </c>
      <c r="E1017">
        <v>1</v>
      </c>
      <c r="F1017" t="s">
        <v>31</v>
      </c>
      <c r="G1017" t="s">
        <v>32</v>
      </c>
      <c r="H1017" t="s">
        <v>33</v>
      </c>
      <c r="I1017" t="s">
        <v>59</v>
      </c>
      <c r="O1017" s="5"/>
      <c r="P1017" s="5"/>
      <c r="Z1017" t="s">
        <v>39</v>
      </c>
    </row>
    <row r="1018" spans="1:26" x14ac:dyDescent="0.35">
      <c r="A1018" s="4">
        <v>42551</v>
      </c>
      <c r="B1018" t="s">
        <v>30</v>
      </c>
      <c r="C1018">
        <v>501</v>
      </c>
      <c r="D1018">
        <v>9</v>
      </c>
      <c r="E1018">
        <v>2</v>
      </c>
      <c r="F1018" t="s">
        <v>31</v>
      </c>
      <c r="G1018" t="s">
        <v>32</v>
      </c>
      <c r="H1018" t="s">
        <v>33</v>
      </c>
      <c r="I1018" t="s">
        <v>59</v>
      </c>
      <c r="O1018" s="5"/>
      <c r="P1018" s="5"/>
      <c r="Z1018" t="s">
        <v>39</v>
      </c>
    </row>
    <row r="1019" spans="1:26" x14ac:dyDescent="0.35">
      <c r="A1019" s="4">
        <v>42551</v>
      </c>
      <c r="B1019" t="s">
        <v>30</v>
      </c>
      <c r="C1019">
        <v>503</v>
      </c>
      <c r="D1019">
        <v>2</v>
      </c>
      <c r="E1019">
        <v>2</v>
      </c>
      <c r="F1019" t="s">
        <v>31</v>
      </c>
      <c r="G1019" t="s">
        <v>32</v>
      </c>
      <c r="H1019" t="s">
        <v>33</v>
      </c>
      <c r="I1019" t="s">
        <v>59</v>
      </c>
      <c r="O1019" s="5"/>
      <c r="P1019" s="5"/>
      <c r="Z1019" t="s">
        <v>39</v>
      </c>
    </row>
    <row r="1020" spans="1:26" x14ac:dyDescent="0.35">
      <c r="A1020" s="4">
        <v>42551</v>
      </c>
      <c r="B1020" t="s">
        <v>30</v>
      </c>
      <c r="C1020">
        <v>503</v>
      </c>
      <c r="D1020">
        <v>4</v>
      </c>
      <c r="E1020">
        <v>1</v>
      </c>
      <c r="F1020" t="s">
        <v>31</v>
      </c>
      <c r="G1020" t="s">
        <v>32</v>
      </c>
      <c r="H1020" t="s">
        <v>33</v>
      </c>
      <c r="I1020" t="s">
        <v>59</v>
      </c>
      <c r="O1020" s="5"/>
      <c r="P1020" s="5"/>
      <c r="Z1020" t="s">
        <v>39</v>
      </c>
    </row>
    <row r="1021" spans="1:26" x14ac:dyDescent="0.35">
      <c r="A1021" s="4">
        <v>42551</v>
      </c>
      <c r="B1021" t="s">
        <v>30</v>
      </c>
      <c r="C1021">
        <v>503</v>
      </c>
      <c r="D1021">
        <v>5</v>
      </c>
      <c r="E1021">
        <v>1</v>
      </c>
      <c r="F1021" t="s">
        <v>31</v>
      </c>
      <c r="G1021" t="s">
        <v>32</v>
      </c>
      <c r="H1021" t="s">
        <v>33</v>
      </c>
      <c r="I1021" t="s">
        <v>59</v>
      </c>
      <c r="O1021" s="5"/>
      <c r="P1021" s="5"/>
      <c r="Z1021" t="s">
        <v>39</v>
      </c>
    </row>
    <row r="1022" spans="1:26" x14ac:dyDescent="0.35">
      <c r="A1022" s="4">
        <v>42551</v>
      </c>
      <c r="B1022" t="s">
        <v>30</v>
      </c>
      <c r="C1022">
        <v>503</v>
      </c>
      <c r="D1022">
        <v>7</v>
      </c>
      <c r="E1022">
        <v>1</v>
      </c>
      <c r="F1022" t="s">
        <v>31</v>
      </c>
      <c r="G1022" t="s">
        <v>32</v>
      </c>
      <c r="H1022" t="s">
        <v>33</v>
      </c>
      <c r="I1022" t="s">
        <v>59</v>
      </c>
      <c r="O1022" s="5"/>
      <c r="P1022" s="5"/>
      <c r="Z1022" t="s">
        <v>39</v>
      </c>
    </row>
    <row r="1023" spans="1:26" x14ac:dyDescent="0.35">
      <c r="A1023" s="4">
        <v>42551</v>
      </c>
      <c r="B1023" t="s">
        <v>30</v>
      </c>
      <c r="C1023">
        <v>503</v>
      </c>
      <c r="D1023">
        <v>9</v>
      </c>
      <c r="E1023">
        <v>1</v>
      </c>
      <c r="F1023" t="s">
        <v>31</v>
      </c>
      <c r="G1023" t="s">
        <v>32</v>
      </c>
      <c r="H1023" t="s">
        <v>33</v>
      </c>
      <c r="I1023" t="s">
        <v>59</v>
      </c>
      <c r="O1023" s="5"/>
      <c r="P1023" s="5"/>
      <c r="Z1023" t="s">
        <v>39</v>
      </c>
    </row>
    <row r="1024" spans="1:26" x14ac:dyDescent="0.35">
      <c r="A1024" s="4">
        <v>42551</v>
      </c>
      <c r="B1024" t="s">
        <v>30</v>
      </c>
      <c r="C1024">
        <v>503</v>
      </c>
      <c r="D1024">
        <v>10</v>
      </c>
      <c r="E1024">
        <v>1</v>
      </c>
      <c r="F1024" t="s">
        <v>31</v>
      </c>
      <c r="G1024" t="s">
        <v>32</v>
      </c>
      <c r="H1024" t="s">
        <v>33</v>
      </c>
      <c r="I1024" t="s">
        <v>59</v>
      </c>
      <c r="O1024" s="5"/>
      <c r="P1024" s="5"/>
      <c r="Z1024" t="s">
        <v>39</v>
      </c>
    </row>
    <row r="1025" spans="1:26" x14ac:dyDescent="0.35">
      <c r="A1025" s="4">
        <v>42551</v>
      </c>
      <c r="B1025" t="s">
        <v>30</v>
      </c>
      <c r="C1025">
        <v>303</v>
      </c>
      <c r="D1025">
        <v>2</v>
      </c>
      <c r="E1025">
        <v>1</v>
      </c>
      <c r="F1025" t="s">
        <v>31</v>
      </c>
      <c r="G1025" t="s">
        <v>32</v>
      </c>
      <c r="H1025" t="s">
        <v>33</v>
      </c>
      <c r="I1025" t="s">
        <v>59</v>
      </c>
      <c r="O1025" s="5"/>
      <c r="P1025" s="5"/>
      <c r="Z1025" t="s">
        <v>39</v>
      </c>
    </row>
    <row r="1026" spans="1:26" x14ac:dyDescent="0.35">
      <c r="A1026" s="4">
        <v>42551</v>
      </c>
      <c r="B1026" t="s">
        <v>30</v>
      </c>
      <c r="C1026">
        <v>303</v>
      </c>
      <c r="D1026">
        <v>2</v>
      </c>
      <c r="E1026">
        <v>2</v>
      </c>
      <c r="F1026" t="s">
        <v>31</v>
      </c>
      <c r="G1026" t="s">
        <v>32</v>
      </c>
      <c r="H1026" t="s">
        <v>33</v>
      </c>
      <c r="I1026" t="s">
        <v>59</v>
      </c>
      <c r="O1026" s="5"/>
      <c r="P1026" s="5"/>
      <c r="Z1026" t="s">
        <v>39</v>
      </c>
    </row>
    <row r="1027" spans="1:26" x14ac:dyDescent="0.35">
      <c r="A1027" s="4">
        <v>42551</v>
      </c>
      <c r="B1027" t="s">
        <v>30</v>
      </c>
      <c r="C1027">
        <v>303</v>
      </c>
      <c r="D1027">
        <v>3</v>
      </c>
      <c r="E1027">
        <v>1</v>
      </c>
      <c r="F1027" t="s">
        <v>31</v>
      </c>
      <c r="G1027" t="s">
        <v>32</v>
      </c>
      <c r="H1027" t="s">
        <v>33</v>
      </c>
      <c r="I1027" t="s">
        <v>59</v>
      </c>
      <c r="O1027" s="5"/>
      <c r="P1027" s="5"/>
      <c r="Z1027" t="s">
        <v>39</v>
      </c>
    </row>
    <row r="1028" spans="1:26" x14ac:dyDescent="0.35">
      <c r="A1028" s="4">
        <v>42551</v>
      </c>
      <c r="B1028" t="s">
        <v>30</v>
      </c>
      <c r="C1028">
        <v>303</v>
      </c>
      <c r="D1028">
        <v>4</v>
      </c>
      <c r="E1028">
        <v>1</v>
      </c>
      <c r="F1028" t="s">
        <v>31</v>
      </c>
      <c r="G1028" t="s">
        <v>32</v>
      </c>
      <c r="H1028" t="s">
        <v>33</v>
      </c>
      <c r="I1028" t="s">
        <v>59</v>
      </c>
      <c r="O1028" s="5"/>
      <c r="P1028" s="5"/>
      <c r="Z1028" t="s">
        <v>39</v>
      </c>
    </row>
    <row r="1029" spans="1:26" x14ac:dyDescent="0.35">
      <c r="A1029" s="4">
        <v>42551</v>
      </c>
      <c r="B1029" t="s">
        <v>30</v>
      </c>
      <c r="C1029">
        <v>303</v>
      </c>
      <c r="D1029">
        <v>5</v>
      </c>
      <c r="E1029">
        <v>1</v>
      </c>
      <c r="F1029" t="s">
        <v>31</v>
      </c>
      <c r="G1029" t="s">
        <v>32</v>
      </c>
      <c r="H1029" t="s">
        <v>33</v>
      </c>
      <c r="I1029" t="s">
        <v>59</v>
      </c>
      <c r="O1029" s="5"/>
      <c r="P1029" s="5"/>
      <c r="Z1029" t="s">
        <v>39</v>
      </c>
    </row>
    <row r="1030" spans="1:26" x14ac:dyDescent="0.35">
      <c r="A1030" s="4">
        <v>42551</v>
      </c>
      <c r="B1030" t="s">
        <v>30</v>
      </c>
      <c r="C1030">
        <v>401</v>
      </c>
      <c r="D1030">
        <v>5</v>
      </c>
      <c r="E1030">
        <v>1</v>
      </c>
      <c r="F1030" t="s">
        <v>31</v>
      </c>
      <c r="G1030" t="s">
        <v>32</v>
      </c>
      <c r="H1030" t="s">
        <v>33</v>
      </c>
      <c r="I1030" t="s">
        <v>59</v>
      </c>
      <c r="O1030" s="5"/>
      <c r="P1030" s="5"/>
      <c r="Z1030" t="s">
        <v>39</v>
      </c>
    </row>
    <row r="1031" spans="1:26" x14ac:dyDescent="0.35">
      <c r="A1031" s="4">
        <v>42551</v>
      </c>
      <c r="B1031" t="s">
        <v>30</v>
      </c>
      <c r="C1031">
        <v>401</v>
      </c>
      <c r="D1031">
        <v>6</v>
      </c>
      <c r="E1031">
        <v>2</v>
      </c>
      <c r="F1031" t="s">
        <v>31</v>
      </c>
      <c r="G1031" t="s">
        <v>32</v>
      </c>
      <c r="H1031" t="s">
        <v>33</v>
      </c>
      <c r="I1031" t="s">
        <v>59</v>
      </c>
      <c r="O1031" s="5"/>
      <c r="P1031" s="5"/>
      <c r="Z1031" t="s">
        <v>39</v>
      </c>
    </row>
    <row r="1032" spans="1:26" x14ac:dyDescent="0.35">
      <c r="A1032" s="4">
        <v>42551</v>
      </c>
      <c r="B1032" t="s">
        <v>30</v>
      </c>
      <c r="C1032">
        <v>401</v>
      </c>
      <c r="D1032">
        <v>7</v>
      </c>
      <c r="E1032">
        <v>1</v>
      </c>
      <c r="F1032" t="s">
        <v>31</v>
      </c>
      <c r="G1032" t="s">
        <v>32</v>
      </c>
      <c r="H1032" t="s">
        <v>33</v>
      </c>
      <c r="I1032" t="s">
        <v>59</v>
      </c>
      <c r="O1032" s="5"/>
      <c r="P1032" s="5"/>
      <c r="Z1032" t="s">
        <v>39</v>
      </c>
    </row>
    <row r="1033" spans="1:26" x14ac:dyDescent="0.35">
      <c r="A1033" s="4">
        <v>42551</v>
      </c>
      <c r="B1033" t="s">
        <v>30</v>
      </c>
      <c r="C1033">
        <v>703</v>
      </c>
      <c r="D1033">
        <v>1</v>
      </c>
      <c r="E1033">
        <v>1</v>
      </c>
      <c r="F1033" t="s">
        <v>42</v>
      </c>
      <c r="G1033" t="s">
        <v>32</v>
      </c>
      <c r="H1033" t="s">
        <v>33</v>
      </c>
      <c r="I1033" t="s">
        <v>59</v>
      </c>
      <c r="O1033" s="5"/>
      <c r="P1033" s="5"/>
      <c r="Z1033" t="s">
        <v>39</v>
      </c>
    </row>
    <row r="1034" spans="1:26" x14ac:dyDescent="0.35">
      <c r="A1034" s="4">
        <v>42551</v>
      </c>
      <c r="B1034" t="s">
        <v>30</v>
      </c>
      <c r="C1034">
        <v>703</v>
      </c>
      <c r="D1034">
        <v>7</v>
      </c>
      <c r="E1034">
        <v>1</v>
      </c>
      <c r="F1034" t="s">
        <v>42</v>
      </c>
      <c r="G1034" t="s">
        <v>32</v>
      </c>
      <c r="H1034" t="s">
        <v>33</v>
      </c>
      <c r="I1034" t="s">
        <v>59</v>
      </c>
      <c r="O1034" s="5"/>
      <c r="P1034" s="5"/>
      <c r="Z1034" t="s">
        <v>39</v>
      </c>
    </row>
    <row r="1035" spans="1:26" x14ac:dyDescent="0.35">
      <c r="A1035" s="4">
        <v>42551</v>
      </c>
      <c r="B1035" t="s">
        <v>30</v>
      </c>
      <c r="C1035">
        <v>703</v>
      </c>
      <c r="D1035">
        <v>8</v>
      </c>
      <c r="E1035">
        <v>1</v>
      </c>
      <c r="F1035" t="s">
        <v>42</v>
      </c>
      <c r="G1035" t="s">
        <v>32</v>
      </c>
      <c r="H1035" t="s">
        <v>33</v>
      </c>
      <c r="I1035" t="s">
        <v>59</v>
      </c>
      <c r="O1035" s="5"/>
      <c r="P1035" s="5"/>
      <c r="Z1035" t="s">
        <v>39</v>
      </c>
    </row>
    <row r="1036" spans="1:26" x14ac:dyDescent="0.35">
      <c r="A1036" s="4">
        <v>42551</v>
      </c>
      <c r="B1036" t="s">
        <v>30</v>
      </c>
      <c r="C1036">
        <v>703</v>
      </c>
      <c r="D1036">
        <v>9</v>
      </c>
      <c r="E1036">
        <v>1</v>
      </c>
      <c r="F1036" t="s">
        <v>42</v>
      </c>
      <c r="G1036" t="s">
        <v>32</v>
      </c>
      <c r="H1036" t="s">
        <v>33</v>
      </c>
      <c r="I1036" t="s">
        <v>59</v>
      </c>
      <c r="O1036" s="5"/>
      <c r="P1036" s="5"/>
      <c r="Z1036" t="s">
        <v>39</v>
      </c>
    </row>
    <row r="1037" spans="1:26" x14ac:dyDescent="0.35">
      <c r="A1037" s="4">
        <v>42551</v>
      </c>
      <c r="B1037" t="s">
        <v>30</v>
      </c>
      <c r="C1037">
        <v>703</v>
      </c>
      <c r="D1037">
        <v>9</v>
      </c>
      <c r="E1037">
        <v>2</v>
      </c>
      <c r="F1037" t="s">
        <v>42</v>
      </c>
      <c r="G1037" t="s">
        <v>32</v>
      </c>
      <c r="H1037" t="s">
        <v>33</v>
      </c>
      <c r="I1037" t="s">
        <v>59</v>
      </c>
      <c r="O1037" s="5"/>
      <c r="P1037" s="5"/>
      <c r="Z1037" t="s">
        <v>39</v>
      </c>
    </row>
    <row r="1038" spans="1:26" x14ac:dyDescent="0.35">
      <c r="A1038" s="4">
        <v>42551</v>
      </c>
      <c r="B1038" t="s">
        <v>30</v>
      </c>
      <c r="C1038">
        <v>701</v>
      </c>
      <c r="D1038">
        <v>3</v>
      </c>
      <c r="E1038">
        <v>1</v>
      </c>
      <c r="F1038" t="s">
        <v>42</v>
      </c>
      <c r="G1038" t="s">
        <v>32</v>
      </c>
      <c r="H1038" t="s">
        <v>33</v>
      </c>
      <c r="I1038" t="s">
        <v>59</v>
      </c>
      <c r="O1038" s="5"/>
      <c r="P1038" s="5"/>
      <c r="Z1038" t="s">
        <v>39</v>
      </c>
    </row>
    <row r="1039" spans="1:26" x14ac:dyDescent="0.35">
      <c r="A1039" s="4">
        <v>42551</v>
      </c>
      <c r="B1039" t="s">
        <v>30</v>
      </c>
      <c r="C1039">
        <v>701</v>
      </c>
      <c r="D1039">
        <v>4</v>
      </c>
      <c r="E1039">
        <v>1</v>
      </c>
      <c r="F1039" t="s">
        <v>42</v>
      </c>
      <c r="G1039" t="s">
        <v>32</v>
      </c>
      <c r="H1039" t="s">
        <v>33</v>
      </c>
      <c r="I1039" t="s">
        <v>59</v>
      </c>
      <c r="O1039" s="5"/>
      <c r="P1039" s="5"/>
      <c r="Z1039" t="s">
        <v>39</v>
      </c>
    </row>
    <row r="1040" spans="1:26" x14ac:dyDescent="0.35">
      <c r="A1040" s="4">
        <v>42551</v>
      </c>
      <c r="B1040" t="s">
        <v>30</v>
      </c>
      <c r="C1040">
        <v>701</v>
      </c>
      <c r="D1040">
        <v>5</v>
      </c>
      <c r="E1040">
        <v>1</v>
      </c>
      <c r="F1040" t="s">
        <v>42</v>
      </c>
      <c r="G1040" t="s">
        <v>32</v>
      </c>
      <c r="H1040" t="s">
        <v>33</v>
      </c>
      <c r="I1040" t="s">
        <v>59</v>
      </c>
      <c r="O1040" s="5"/>
      <c r="P1040" s="5"/>
      <c r="Z1040" t="s">
        <v>39</v>
      </c>
    </row>
    <row r="1041" spans="1:29" x14ac:dyDescent="0.35">
      <c r="A1041" s="4">
        <v>42551</v>
      </c>
      <c r="B1041" t="s">
        <v>30</v>
      </c>
      <c r="C1041">
        <v>701</v>
      </c>
      <c r="D1041">
        <v>9</v>
      </c>
      <c r="E1041">
        <v>1</v>
      </c>
      <c r="F1041" t="s">
        <v>42</v>
      </c>
      <c r="G1041" t="s">
        <v>32</v>
      </c>
      <c r="H1041" t="s">
        <v>33</v>
      </c>
      <c r="I1041" t="s">
        <v>59</v>
      </c>
      <c r="O1041" s="5"/>
      <c r="P1041" s="5"/>
      <c r="Z1041" t="s">
        <v>39</v>
      </c>
    </row>
    <row r="1042" spans="1:29" x14ac:dyDescent="0.35">
      <c r="A1042" s="4">
        <v>42551</v>
      </c>
      <c r="B1042" t="s">
        <v>30</v>
      </c>
      <c r="C1042">
        <v>803</v>
      </c>
      <c r="D1042">
        <v>10</v>
      </c>
      <c r="E1042">
        <v>1</v>
      </c>
      <c r="F1042" t="s">
        <v>42</v>
      </c>
      <c r="G1042" t="s">
        <v>32</v>
      </c>
      <c r="H1042" t="s">
        <v>33</v>
      </c>
      <c r="I1042" t="s">
        <v>59</v>
      </c>
      <c r="O1042" s="5"/>
      <c r="P1042" s="5"/>
      <c r="Z1042" t="s">
        <v>39</v>
      </c>
    </row>
    <row r="1043" spans="1:29" x14ac:dyDescent="0.35">
      <c r="A1043" s="4">
        <v>42551</v>
      </c>
      <c r="B1043" t="s">
        <v>30</v>
      </c>
      <c r="C1043">
        <v>803</v>
      </c>
      <c r="D1043">
        <v>7</v>
      </c>
      <c r="E1043">
        <v>1</v>
      </c>
      <c r="F1043" t="s">
        <v>42</v>
      </c>
      <c r="G1043" t="s">
        <v>32</v>
      </c>
      <c r="H1043" t="s">
        <v>33</v>
      </c>
      <c r="I1043" t="s">
        <v>59</v>
      </c>
      <c r="O1043" s="5"/>
      <c r="P1043" s="5"/>
      <c r="Z1043" t="s">
        <v>39</v>
      </c>
    </row>
    <row r="1044" spans="1:29" x14ac:dyDescent="0.35">
      <c r="A1044" s="4">
        <v>42551</v>
      </c>
      <c r="B1044" t="s">
        <v>30</v>
      </c>
      <c r="C1044">
        <v>803</v>
      </c>
      <c r="D1044">
        <v>7</v>
      </c>
      <c r="E1044">
        <v>2</v>
      </c>
      <c r="F1044" t="s">
        <v>42</v>
      </c>
      <c r="G1044" t="s">
        <v>32</v>
      </c>
      <c r="H1044" t="s">
        <v>33</v>
      </c>
      <c r="I1044" t="s">
        <v>59</v>
      </c>
      <c r="O1044" s="5"/>
      <c r="P1044" s="5"/>
      <c r="Z1044" t="s">
        <v>39</v>
      </c>
    </row>
    <row r="1045" spans="1:29" x14ac:dyDescent="0.35">
      <c r="A1045" s="4">
        <v>42551</v>
      </c>
      <c r="B1045" t="s">
        <v>30</v>
      </c>
      <c r="C1045">
        <v>803</v>
      </c>
      <c r="D1045">
        <v>5</v>
      </c>
      <c r="E1045">
        <v>1</v>
      </c>
      <c r="F1045" t="s">
        <v>42</v>
      </c>
      <c r="G1045" t="s">
        <v>32</v>
      </c>
      <c r="H1045" t="s">
        <v>33</v>
      </c>
      <c r="I1045" t="s">
        <v>59</v>
      </c>
      <c r="O1045" s="5"/>
      <c r="P1045" s="5"/>
      <c r="Z1045" t="s">
        <v>39</v>
      </c>
    </row>
    <row r="1046" spans="1:29" x14ac:dyDescent="0.35">
      <c r="A1046" s="4">
        <v>42551</v>
      </c>
      <c r="B1046" t="s">
        <v>30</v>
      </c>
      <c r="C1046">
        <v>803</v>
      </c>
      <c r="D1046">
        <v>4</v>
      </c>
      <c r="E1046">
        <v>1</v>
      </c>
      <c r="F1046" t="s">
        <v>42</v>
      </c>
      <c r="G1046" t="s">
        <v>32</v>
      </c>
      <c r="H1046" t="s">
        <v>33</v>
      </c>
      <c r="I1046" t="s">
        <v>59</v>
      </c>
      <c r="O1046" s="5"/>
      <c r="P1046" s="5"/>
      <c r="Z1046" t="s">
        <v>39</v>
      </c>
    </row>
    <row r="1047" spans="1:29" x14ac:dyDescent="0.35">
      <c r="A1047" s="4">
        <v>42551</v>
      </c>
      <c r="B1047" t="s">
        <v>30</v>
      </c>
      <c r="C1047">
        <v>803</v>
      </c>
      <c r="D1047">
        <v>3</v>
      </c>
      <c r="E1047">
        <v>1</v>
      </c>
      <c r="F1047" t="s">
        <v>42</v>
      </c>
      <c r="G1047" t="s">
        <v>32</v>
      </c>
      <c r="H1047" t="s">
        <v>33</v>
      </c>
      <c r="I1047" t="s">
        <v>59</v>
      </c>
      <c r="O1047" s="5"/>
      <c r="P1047" s="5"/>
      <c r="Z1047" t="s">
        <v>39</v>
      </c>
    </row>
    <row r="1048" spans="1:29" x14ac:dyDescent="0.35">
      <c r="A1048" s="4">
        <v>42551</v>
      </c>
      <c r="B1048" t="s">
        <v>30</v>
      </c>
      <c r="C1048">
        <v>803</v>
      </c>
      <c r="D1048">
        <v>2</v>
      </c>
      <c r="E1048">
        <v>1</v>
      </c>
      <c r="F1048" t="s">
        <v>42</v>
      </c>
      <c r="G1048" t="s">
        <v>32</v>
      </c>
      <c r="H1048" t="s">
        <v>33</v>
      </c>
      <c r="I1048" t="s">
        <v>59</v>
      </c>
      <c r="O1048" s="5"/>
      <c r="P1048" s="5"/>
      <c r="Z1048" t="s">
        <v>39</v>
      </c>
    </row>
    <row r="1049" spans="1:29" x14ac:dyDescent="0.35">
      <c r="A1049" s="4">
        <v>42551</v>
      </c>
      <c r="B1049" t="s">
        <v>30</v>
      </c>
      <c r="C1049">
        <v>803</v>
      </c>
      <c r="D1049">
        <v>2</v>
      </c>
      <c r="E1049">
        <v>2</v>
      </c>
      <c r="F1049" t="s">
        <v>42</v>
      </c>
      <c r="G1049" t="s">
        <v>32</v>
      </c>
      <c r="H1049" t="s">
        <v>33</v>
      </c>
      <c r="I1049" t="s">
        <v>59</v>
      </c>
      <c r="O1049" s="5"/>
      <c r="P1049" s="5"/>
      <c r="Z1049" t="s">
        <v>39</v>
      </c>
    </row>
    <row r="1050" spans="1:29" x14ac:dyDescent="0.35">
      <c r="A1050" s="4">
        <v>42551</v>
      </c>
      <c r="B1050" t="s">
        <v>30</v>
      </c>
      <c r="C1050">
        <v>803</v>
      </c>
      <c r="D1050">
        <v>1</v>
      </c>
      <c r="E1050">
        <v>1</v>
      </c>
      <c r="F1050" t="s">
        <v>42</v>
      </c>
      <c r="G1050" t="s">
        <v>32</v>
      </c>
      <c r="H1050" t="s">
        <v>33</v>
      </c>
      <c r="I1050" t="s">
        <v>59</v>
      </c>
      <c r="O1050" s="5"/>
      <c r="P1050" s="5"/>
      <c r="Z1050" t="s">
        <v>39</v>
      </c>
    </row>
    <row r="1051" spans="1:29" x14ac:dyDescent="0.35">
      <c r="A1051" s="4">
        <v>42551</v>
      </c>
      <c r="B1051" t="s">
        <v>30</v>
      </c>
      <c r="C1051">
        <v>803</v>
      </c>
      <c r="D1051">
        <v>1</v>
      </c>
      <c r="E1051">
        <v>2</v>
      </c>
      <c r="F1051" t="s">
        <v>42</v>
      </c>
      <c r="G1051" t="s">
        <v>32</v>
      </c>
      <c r="H1051" t="s">
        <v>33</v>
      </c>
      <c r="I1051" t="s">
        <v>59</v>
      </c>
      <c r="O1051" s="5"/>
      <c r="P1051" s="5"/>
      <c r="Z1051" t="s">
        <v>39</v>
      </c>
    </row>
    <row r="1052" spans="1:29" x14ac:dyDescent="0.35">
      <c r="A1052" s="4">
        <v>42551</v>
      </c>
      <c r="B1052" t="s">
        <v>30</v>
      </c>
      <c r="C1052">
        <v>901</v>
      </c>
      <c r="D1052">
        <v>3</v>
      </c>
      <c r="E1052">
        <v>1</v>
      </c>
      <c r="F1052" t="s">
        <v>42</v>
      </c>
      <c r="G1052" t="s">
        <v>32</v>
      </c>
      <c r="H1052" t="s">
        <v>33</v>
      </c>
      <c r="I1052" t="s">
        <v>59</v>
      </c>
      <c r="O1052" s="5"/>
      <c r="P1052" s="5"/>
      <c r="Z1052" t="s">
        <v>39</v>
      </c>
    </row>
    <row r="1053" spans="1:29" x14ac:dyDescent="0.35">
      <c r="A1053" s="4">
        <v>42551</v>
      </c>
      <c r="B1053" t="s">
        <v>30</v>
      </c>
      <c r="C1053">
        <v>503</v>
      </c>
      <c r="D1053">
        <v>8</v>
      </c>
      <c r="E1053">
        <v>1</v>
      </c>
      <c r="F1053" t="s">
        <v>31</v>
      </c>
      <c r="G1053" t="s">
        <v>32</v>
      </c>
      <c r="H1053" t="s">
        <v>33</v>
      </c>
      <c r="I1053" t="s">
        <v>94</v>
      </c>
      <c r="J1053" t="s">
        <v>44</v>
      </c>
      <c r="K1053" t="s">
        <v>36</v>
      </c>
      <c r="L1053" t="s">
        <v>45</v>
      </c>
      <c r="M1053">
        <v>0</v>
      </c>
      <c r="N1053">
        <v>0</v>
      </c>
      <c r="O1053" s="5">
        <v>50449</v>
      </c>
      <c r="P1053" s="5"/>
      <c r="Q1053">
        <f>35-12</f>
        <v>23</v>
      </c>
      <c r="R1053" t="s">
        <v>143</v>
      </c>
      <c r="S1053" t="s">
        <v>102</v>
      </c>
      <c r="T1053">
        <v>30</v>
      </c>
      <c r="Z1053" t="s">
        <v>39</v>
      </c>
      <c r="AB1053" t="s">
        <v>47</v>
      </c>
      <c r="AC1053" t="s">
        <v>41</v>
      </c>
    </row>
    <row r="1054" spans="1:29" x14ac:dyDescent="0.35">
      <c r="A1054" s="4">
        <v>42551</v>
      </c>
      <c r="B1054" t="s">
        <v>30</v>
      </c>
      <c r="C1054">
        <v>803</v>
      </c>
      <c r="D1054">
        <v>8</v>
      </c>
      <c r="E1054">
        <v>2</v>
      </c>
      <c r="F1054" t="s">
        <v>42</v>
      </c>
      <c r="G1054" t="s">
        <v>32</v>
      </c>
      <c r="H1054" t="s">
        <v>33</v>
      </c>
      <c r="I1054" t="s">
        <v>94</v>
      </c>
      <c r="J1054" t="s">
        <v>44</v>
      </c>
      <c r="K1054" t="s">
        <v>36</v>
      </c>
      <c r="L1054" t="s">
        <v>37</v>
      </c>
      <c r="M1054">
        <v>0</v>
      </c>
      <c r="N1054">
        <v>0</v>
      </c>
      <c r="O1054" s="5">
        <v>50684</v>
      </c>
      <c r="P1054" s="5"/>
      <c r="Q1054">
        <f>31.5-12</f>
        <v>19.5</v>
      </c>
      <c r="R1054" t="s">
        <v>38</v>
      </c>
      <c r="T1054">
        <v>28</v>
      </c>
      <c r="W1054">
        <v>12.5</v>
      </c>
      <c r="X1054">
        <v>26.7</v>
      </c>
      <c r="Z1054" t="s">
        <v>39</v>
      </c>
      <c r="AB1054" t="s">
        <v>47</v>
      </c>
      <c r="AC1054" t="s">
        <v>76</v>
      </c>
    </row>
    <row r="1055" spans="1:29" x14ac:dyDescent="0.35">
      <c r="A1055" s="4">
        <v>42551</v>
      </c>
      <c r="B1055" t="s">
        <v>30</v>
      </c>
      <c r="C1055">
        <v>303</v>
      </c>
      <c r="D1055">
        <v>6</v>
      </c>
      <c r="E1055">
        <v>2</v>
      </c>
      <c r="F1055" t="s">
        <v>31</v>
      </c>
      <c r="G1055" t="s">
        <v>32</v>
      </c>
      <c r="H1055" t="s">
        <v>33</v>
      </c>
      <c r="I1055" t="s">
        <v>94</v>
      </c>
      <c r="J1055" t="s">
        <v>44</v>
      </c>
      <c r="K1055" t="s">
        <v>36</v>
      </c>
      <c r="M1055">
        <v>0</v>
      </c>
      <c r="N1055">
        <v>0</v>
      </c>
      <c r="O1055" s="5" t="s">
        <v>135</v>
      </c>
      <c r="P1055" s="5"/>
      <c r="Q1055">
        <f>31.5-11.5</f>
        <v>20</v>
      </c>
      <c r="Z1055" t="s">
        <v>39</v>
      </c>
      <c r="AB1055" t="s">
        <v>47</v>
      </c>
      <c r="AC1055" t="s">
        <v>41</v>
      </c>
    </row>
    <row r="1056" spans="1:29" x14ac:dyDescent="0.35">
      <c r="A1056" s="4">
        <v>42551</v>
      </c>
      <c r="B1056" t="s">
        <v>30</v>
      </c>
      <c r="C1056">
        <v>801</v>
      </c>
      <c r="D1056">
        <v>5</v>
      </c>
      <c r="E1056">
        <v>1</v>
      </c>
      <c r="F1056" t="s">
        <v>42</v>
      </c>
      <c r="G1056" t="s">
        <v>32</v>
      </c>
      <c r="H1056" t="s">
        <v>33</v>
      </c>
      <c r="I1056" t="s">
        <v>94</v>
      </c>
      <c r="J1056" t="s">
        <v>179</v>
      </c>
      <c r="K1056" t="s">
        <v>36</v>
      </c>
      <c r="L1056" t="s">
        <v>45</v>
      </c>
      <c r="M1056">
        <v>0</v>
      </c>
      <c r="N1056">
        <v>0</v>
      </c>
      <c r="O1056" s="5" t="s">
        <v>168</v>
      </c>
      <c r="P1056" s="5" t="s">
        <v>168</v>
      </c>
      <c r="Q1056">
        <f>38.5-12</f>
        <v>26.5</v>
      </c>
      <c r="R1056" t="s">
        <v>74</v>
      </c>
      <c r="S1056" t="s">
        <v>102</v>
      </c>
      <c r="T1056">
        <v>28</v>
      </c>
      <c r="W1056">
        <v>11.85</v>
      </c>
      <c r="X1056">
        <v>29.8</v>
      </c>
      <c r="Z1056" t="s">
        <v>39</v>
      </c>
      <c r="AB1056" t="s">
        <v>47</v>
      </c>
      <c r="AC1056" t="s">
        <v>76</v>
      </c>
    </row>
    <row r="1057" spans="1:30" x14ac:dyDescent="0.35">
      <c r="A1057" s="4">
        <v>42551</v>
      </c>
      <c r="B1057" t="s">
        <v>30</v>
      </c>
      <c r="C1057">
        <v>501</v>
      </c>
      <c r="D1057">
        <v>8</v>
      </c>
      <c r="E1057">
        <v>1</v>
      </c>
      <c r="F1057" t="s">
        <v>31</v>
      </c>
      <c r="G1057" t="s">
        <v>32</v>
      </c>
      <c r="H1057" t="s">
        <v>33</v>
      </c>
      <c r="I1057" t="s">
        <v>94</v>
      </c>
      <c r="J1057" t="s">
        <v>44</v>
      </c>
      <c r="K1057" t="s">
        <v>36</v>
      </c>
      <c r="L1057" t="s">
        <v>45</v>
      </c>
      <c r="M1057">
        <v>0</v>
      </c>
      <c r="N1057">
        <v>0</v>
      </c>
      <c r="O1057" s="5"/>
      <c r="P1057" s="5">
        <v>50585</v>
      </c>
      <c r="Q1057">
        <f>38-12</f>
        <v>26</v>
      </c>
      <c r="R1057" t="s">
        <v>149</v>
      </c>
      <c r="S1057" t="s">
        <v>102</v>
      </c>
      <c r="T1057">
        <v>29</v>
      </c>
      <c r="W1057">
        <v>13.6</v>
      </c>
      <c r="X1057">
        <v>28.8</v>
      </c>
      <c r="Z1057" t="s">
        <v>39</v>
      </c>
      <c r="AB1057" t="s">
        <v>47</v>
      </c>
      <c r="AC1057" t="s">
        <v>41</v>
      </c>
    </row>
    <row r="1058" spans="1:30" x14ac:dyDescent="0.35">
      <c r="A1058" s="4">
        <v>42556</v>
      </c>
      <c r="B1058" t="s">
        <v>30</v>
      </c>
      <c r="C1058">
        <v>111</v>
      </c>
      <c r="D1058">
        <v>3</v>
      </c>
      <c r="E1058">
        <v>1</v>
      </c>
      <c r="F1058" t="s">
        <v>31</v>
      </c>
      <c r="G1058" t="s">
        <v>32</v>
      </c>
      <c r="H1058" t="s">
        <v>33</v>
      </c>
      <c r="I1058" t="s">
        <v>43</v>
      </c>
      <c r="J1058" t="s">
        <v>44</v>
      </c>
      <c r="K1058" t="s">
        <v>36</v>
      </c>
      <c r="L1058" t="s">
        <v>45</v>
      </c>
      <c r="M1058">
        <v>0</v>
      </c>
      <c r="N1058">
        <v>0</v>
      </c>
      <c r="O1058" s="5">
        <v>50348</v>
      </c>
      <c r="P1058" s="5">
        <v>50347</v>
      </c>
      <c r="Q1058">
        <f>24</f>
        <v>24</v>
      </c>
      <c r="R1058" t="s">
        <v>161</v>
      </c>
      <c r="S1058" t="s">
        <v>102</v>
      </c>
      <c r="T1058">
        <v>19</v>
      </c>
      <c r="U1058">
        <v>81</v>
      </c>
      <c r="V1058">
        <v>10</v>
      </c>
      <c r="W1058">
        <v>13.1</v>
      </c>
      <c r="X1058">
        <v>26.9</v>
      </c>
      <c r="Z1058" t="s">
        <v>39</v>
      </c>
      <c r="AB1058" t="s">
        <v>60</v>
      </c>
      <c r="AC1058" t="s">
        <v>41</v>
      </c>
    </row>
    <row r="1059" spans="1:30" x14ac:dyDescent="0.35">
      <c r="A1059" s="4">
        <v>42556</v>
      </c>
      <c r="B1059" t="s">
        <v>30</v>
      </c>
      <c r="C1059">
        <v>112</v>
      </c>
      <c r="D1059">
        <v>2</v>
      </c>
      <c r="E1059">
        <v>1</v>
      </c>
      <c r="F1059" t="s">
        <v>31</v>
      </c>
      <c r="G1059" t="s">
        <v>32</v>
      </c>
      <c r="H1059" t="s">
        <v>33</v>
      </c>
      <c r="I1059" t="s">
        <v>43</v>
      </c>
      <c r="J1059" t="s">
        <v>44</v>
      </c>
      <c r="K1059" t="s">
        <v>36</v>
      </c>
      <c r="L1059" t="s">
        <v>45</v>
      </c>
      <c r="M1059">
        <v>0</v>
      </c>
      <c r="N1059">
        <v>0</v>
      </c>
      <c r="O1059" s="5">
        <v>50350</v>
      </c>
      <c r="P1059" s="5">
        <v>50349</v>
      </c>
      <c r="Q1059">
        <f>35-10.5</f>
        <v>24.5</v>
      </c>
      <c r="R1059" t="s">
        <v>149</v>
      </c>
      <c r="S1059" t="s">
        <v>102</v>
      </c>
      <c r="T1059">
        <v>19</v>
      </c>
      <c r="U1059">
        <v>90</v>
      </c>
      <c r="V1059">
        <v>17</v>
      </c>
      <c r="W1059">
        <v>13.2</v>
      </c>
      <c r="X1059">
        <v>29.6</v>
      </c>
      <c r="Z1059" t="s">
        <v>39</v>
      </c>
      <c r="AB1059" t="s">
        <v>60</v>
      </c>
      <c r="AC1059" t="s">
        <v>41</v>
      </c>
    </row>
    <row r="1060" spans="1:30" x14ac:dyDescent="0.35">
      <c r="A1060" s="4">
        <v>42556</v>
      </c>
      <c r="B1060" t="s">
        <v>30</v>
      </c>
      <c r="C1060">
        <v>201</v>
      </c>
      <c r="D1060">
        <v>4</v>
      </c>
      <c r="E1060">
        <v>1</v>
      </c>
      <c r="F1060" t="s">
        <v>42</v>
      </c>
      <c r="G1060" t="s">
        <v>32</v>
      </c>
      <c r="H1060" t="s">
        <v>33</v>
      </c>
      <c r="I1060" t="s">
        <v>43</v>
      </c>
      <c r="J1060" t="s">
        <v>44</v>
      </c>
      <c r="K1060" t="s">
        <v>113</v>
      </c>
      <c r="L1060" t="s">
        <v>37</v>
      </c>
      <c r="M1060">
        <v>0</v>
      </c>
      <c r="N1060">
        <v>0</v>
      </c>
      <c r="O1060" s="5">
        <v>50409</v>
      </c>
      <c r="P1060" s="5">
        <v>50408</v>
      </c>
      <c r="Q1060">
        <f>30-9.5</f>
        <v>20.5</v>
      </c>
      <c r="R1060" t="s">
        <v>38</v>
      </c>
      <c r="T1060">
        <v>19</v>
      </c>
      <c r="U1060">
        <v>87.5</v>
      </c>
      <c r="V1060">
        <v>17</v>
      </c>
      <c r="W1060">
        <v>13.1</v>
      </c>
      <c r="X1060">
        <v>26.4</v>
      </c>
      <c r="Z1060" t="s">
        <v>39</v>
      </c>
      <c r="AB1060" t="s">
        <v>47</v>
      </c>
      <c r="AC1060" t="s">
        <v>41</v>
      </c>
    </row>
    <row r="1061" spans="1:30" x14ac:dyDescent="0.35">
      <c r="A1061" s="4">
        <v>42556</v>
      </c>
      <c r="B1061" t="s">
        <v>30</v>
      </c>
      <c r="C1061">
        <v>202</v>
      </c>
      <c r="D1061">
        <v>5</v>
      </c>
      <c r="E1061">
        <v>2</v>
      </c>
      <c r="F1061" t="s">
        <v>42</v>
      </c>
      <c r="G1061" t="s">
        <v>32</v>
      </c>
      <c r="H1061" t="s">
        <v>33</v>
      </c>
      <c r="I1061" t="s">
        <v>43</v>
      </c>
      <c r="J1061" t="s">
        <v>44</v>
      </c>
      <c r="K1061" t="s">
        <v>36</v>
      </c>
      <c r="L1061" t="s">
        <v>37</v>
      </c>
      <c r="M1061">
        <v>0</v>
      </c>
      <c r="N1061">
        <v>0</v>
      </c>
      <c r="O1061" s="5">
        <v>50410</v>
      </c>
      <c r="P1061" s="5">
        <v>50412</v>
      </c>
      <c r="Q1061">
        <f>31.5-9.5</f>
        <v>22</v>
      </c>
      <c r="R1061" t="s">
        <v>64</v>
      </c>
      <c r="T1061">
        <v>19.5</v>
      </c>
      <c r="U1061">
        <v>94</v>
      </c>
      <c r="V1061">
        <v>16</v>
      </c>
      <c r="W1061">
        <v>13.6</v>
      </c>
      <c r="X1061">
        <v>29.5</v>
      </c>
      <c r="Z1061" t="s">
        <v>39</v>
      </c>
      <c r="AB1061" t="s">
        <v>47</v>
      </c>
      <c r="AC1061" t="s">
        <v>41</v>
      </c>
    </row>
    <row r="1062" spans="1:30" x14ac:dyDescent="0.35">
      <c r="A1062" s="4">
        <v>42556</v>
      </c>
      <c r="B1062" t="s">
        <v>30</v>
      </c>
      <c r="C1062">
        <v>113</v>
      </c>
      <c r="D1062">
        <v>7</v>
      </c>
      <c r="E1062">
        <v>1</v>
      </c>
      <c r="F1062" t="s">
        <v>31</v>
      </c>
      <c r="G1062" t="s">
        <v>32</v>
      </c>
      <c r="H1062" t="s">
        <v>33</v>
      </c>
      <c r="I1062" t="s">
        <v>43</v>
      </c>
      <c r="J1062" t="s">
        <v>44</v>
      </c>
      <c r="K1062" t="s">
        <v>113</v>
      </c>
      <c r="L1062" t="s">
        <v>45</v>
      </c>
      <c r="M1062">
        <v>0</v>
      </c>
      <c r="N1062">
        <v>0</v>
      </c>
      <c r="O1062" s="5">
        <v>50474</v>
      </c>
      <c r="P1062" s="5">
        <v>50473</v>
      </c>
      <c r="Q1062">
        <f>26-9</f>
        <v>17</v>
      </c>
      <c r="R1062" t="s">
        <v>161</v>
      </c>
      <c r="S1062" t="s">
        <v>102</v>
      </c>
      <c r="T1062">
        <v>17</v>
      </c>
      <c r="V1062">
        <v>15</v>
      </c>
      <c r="W1062">
        <v>12.6</v>
      </c>
      <c r="X1062">
        <v>24.9</v>
      </c>
      <c r="Z1062" t="s">
        <v>39</v>
      </c>
      <c r="AB1062" t="s">
        <v>60</v>
      </c>
      <c r="AC1062" t="s">
        <v>41</v>
      </c>
      <c r="AD1062" t="s">
        <v>180</v>
      </c>
    </row>
    <row r="1063" spans="1:30" x14ac:dyDescent="0.35">
      <c r="A1063" s="4">
        <v>42556</v>
      </c>
      <c r="B1063" t="s">
        <v>30</v>
      </c>
      <c r="C1063">
        <v>203</v>
      </c>
      <c r="D1063">
        <v>5</v>
      </c>
      <c r="E1063">
        <v>1</v>
      </c>
      <c r="F1063" t="s">
        <v>42</v>
      </c>
      <c r="G1063" t="s">
        <v>32</v>
      </c>
      <c r="H1063" t="s">
        <v>33</v>
      </c>
      <c r="I1063" t="s">
        <v>43</v>
      </c>
      <c r="J1063" t="s">
        <v>44</v>
      </c>
      <c r="K1063" t="s">
        <v>36</v>
      </c>
      <c r="L1063" t="s">
        <v>37</v>
      </c>
      <c r="M1063">
        <v>0</v>
      </c>
      <c r="N1063">
        <v>0</v>
      </c>
      <c r="O1063" s="5">
        <v>50491</v>
      </c>
      <c r="P1063" s="5">
        <v>50357</v>
      </c>
      <c r="Q1063">
        <v>21</v>
      </c>
      <c r="R1063" t="s">
        <v>38</v>
      </c>
      <c r="T1063">
        <v>20</v>
      </c>
      <c r="U1063">
        <v>98</v>
      </c>
      <c r="V1063">
        <v>16.5</v>
      </c>
      <c r="W1063">
        <v>12.5</v>
      </c>
      <c r="X1063">
        <v>27.7</v>
      </c>
      <c r="Z1063" t="s">
        <v>39</v>
      </c>
      <c r="AB1063" t="s">
        <v>47</v>
      </c>
      <c r="AC1063" t="s">
        <v>41</v>
      </c>
    </row>
    <row r="1064" spans="1:30" x14ac:dyDescent="0.35">
      <c r="A1064" s="4">
        <v>42556</v>
      </c>
      <c r="B1064" t="s">
        <v>30</v>
      </c>
      <c r="C1064">
        <v>112</v>
      </c>
      <c r="D1064">
        <v>7</v>
      </c>
      <c r="E1064">
        <v>1</v>
      </c>
      <c r="F1064" t="s">
        <v>31</v>
      </c>
      <c r="G1064" t="s">
        <v>32</v>
      </c>
      <c r="H1064" t="s">
        <v>33</v>
      </c>
      <c r="I1064" t="s">
        <v>43</v>
      </c>
      <c r="J1064" t="s">
        <v>44</v>
      </c>
      <c r="K1064" t="s">
        <v>113</v>
      </c>
      <c r="L1064" t="s">
        <v>37</v>
      </c>
      <c r="M1064">
        <v>0</v>
      </c>
      <c r="N1064">
        <v>0</v>
      </c>
      <c r="O1064" s="5">
        <v>50497</v>
      </c>
      <c r="P1064" s="5">
        <v>50496</v>
      </c>
      <c r="Q1064">
        <v>17</v>
      </c>
      <c r="R1064" t="s">
        <v>38</v>
      </c>
      <c r="T1064">
        <v>20</v>
      </c>
      <c r="U1064">
        <v>71</v>
      </c>
      <c r="V1064">
        <v>15</v>
      </c>
      <c r="W1064">
        <v>12</v>
      </c>
      <c r="X1064">
        <v>26.6</v>
      </c>
      <c r="Z1064" t="s">
        <v>39</v>
      </c>
      <c r="AB1064" t="s">
        <v>60</v>
      </c>
      <c r="AC1064" t="s">
        <v>41</v>
      </c>
    </row>
    <row r="1065" spans="1:30" x14ac:dyDescent="0.35">
      <c r="A1065" s="4">
        <v>42556</v>
      </c>
      <c r="B1065" t="s">
        <v>30</v>
      </c>
      <c r="C1065">
        <v>112</v>
      </c>
      <c r="D1065">
        <v>5</v>
      </c>
      <c r="E1065">
        <v>2</v>
      </c>
      <c r="F1065" t="s">
        <v>31</v>
      </c>
      <c r="G1065" t="s">
        <v>32</v>
      </c>
      <c r="H1065" t="s">
        <v>33</v>
      </c>
      <c r="I1065" t="s">
        <v>43</v>
      </c>
      <c r="J1065" t="s">
        <v>35</v>
      </c>
      <c r="K1065" t="s">
        <v>113</v>
      </c>
      <c r="L1065" t="s">
        <v>45</v>
      </c>
      <c r="M1065">
        <v>0</v>
      </c>
      <c r="N1065">
        <v>1</v>
      </c>
      <c r="O1065" s="5">
        <v>50528</v>
      </c>
      <c r="P1065" s="5">
        <v>50527</v>
      </c>
      <c r="Q1065">
        <f>30-12</f>
        <v>18</v>
      </c>
      <c r="R1065" t="s">
        <v>119</v>
      </c>
      <c r="S1065" t="s">
        <v>39</v>
      </c>
      <c r="T1065">
        <v>19</v>
      </c>
      <c r="U1065">
        <v>77</v>
      </c>
      <c r="V1065">
        <v>13</v>
      </c>
      <c r="W1065">
        <v>12.5</v>
      </c>
      <c r="X1065">
        <v>26.1</v>
      </c>
      <c r="Y1065" t="s">
        <v>181</v>
      </c>
      <c r="Z1065" t="s">
        <v>39</v>
      </c>
      <c r="AB1065" t="s">
        <v>60</v>
      </c>
      <c r="AC1065" t="s">
        <v>41</v>
      </c>
    </row>
    <row r="1066" spans="1:30" x14ac:dyDescent="0.35">
      <c r="A1066" s="4">
        <v>42556</v>
      </c>
      <c r="B1066" t="s">
        <v>30</v>
      </c>
      <c r="C1066">
        <v>111</v>
      </c>
      <c r="D1066">
        <v>8</v>
      </c>
      <c r="E1066">
        <v>1</v>
      </c>
      <c r="F1066" t="s">
        <v>31</v>
      </c>
      <c r="G1066" t="s">
        <v>32</v>
      </c>
      <c r="H1066" t="s">
        <v>33</v>
      </c>
      <c r="I1066" t="s">
        <v>43</v>
      </c>
      <c r="J1066" t="s">
        <v>35</v>
      </c>
      <c r="K1066" t="s">
        <v>88</v>
      </c>
      <c r="L1066" t="s">
        <v>37</v>
      </c>
      <c r="M1066">
        <v>0</v>
      </c>
      <c r="N1066">
        <v>1</v>
      </c>
      <c r="O1066" s="5">
        <v>50530</v>
      </c>
      <c r="P1066" s="5">
        <v>50529</v>
      </c>
      <c r="Q1066">
        <f>27-11</f>
        <v>16</v>
      </c>
      <c r="R1066" t="s">
        <v>64</v>
      </c>
      <c r="T1066">
        <v>19</v>
      </c>
      <c r="U1066">
        <v>78</v>
      </c>
      <c r="V1066">
        <v>15.5</v>
      </c>
      <c r="W1066">
        <v>13</v>
      </c>
      <c r="X1066">
        <v>27.8</v>
      </c>
      <c r="Z1066" t="s">
        <v>39</v>
      </c>
      <c r="AB1066" t="s">
        <v>60</v>
      </c>
      <c r="AC1066" t="s">
        <v>41</v>
      </c>
    </row>
    <row r="1067" spans="1:30" x14ac:dyDescent="0.35">
      <c r="A1067" s="4">
        <v>42556</v>
      </c>
      <c r="B1067" t="s">
        <v>30</v>
      </c>
      <c r="C1067">
        <v>402</v>
      </c>
      <c r="D1067">
        <v>7</v>
      </c>
      <c r="E1067">
        <v>2</v>
      </c>
      <c r="F1067" t="s">
        <v>31</v>
      </c>
      <c r="G1067" t="s">
        <v>32</v>
      </c>
      <c r="H1067" t="s">
        <v>33</v>
      </c>
      <c r="I1067" t="s">
        <v>43</v>
      </c>
      <c r="J1067" t="s">
        <v>35</v>
      </c>
      <c r="K1067" t="s">
        <v>88</v>
      </c>
      <c r="L1067" t="s">
        <v>37</v>
      </c>
      <c r="M1067">
        <v>0</v>
      </c>
      <c r="N1067">
        <v>1</v>
      </c>
      <c r="O1067" s="5">
        <v>50553</v>
      </c>
      <c r="P1067" s="5">
        <v>50551</v>
      </c>
      <c r="Q1067">
        <f>25-11</f>
        <v>14</v>
      </c>
      <c r="R1067" t="s">
        <v>64</v>
      </c>
      <c r="T1067">
        <v>19</v>
      </c>
      <c r="U1067">
        <v>74</v>
      </c>
      <c r="V1067">
        <v>12</v>
      </c>
      <c r="W1067">
        <v>12.8</v>
      </c>
      <c r="X1067">
        <v>24.8</v>
      </c>
      <c r="Y1067" t="s">
        <v>182</v>
      </c>
      <c r="Z1067" t="s">
        <v>39</v>
      </c>
      <c r="AB1067" t="s">
        <v>60</v>
      </c>
      <c r="AC1067" t="s">
        <v>41</v>
      </c>
    </row>
    <row r="1068" spans="1:30" x14ac:dyDescent="0.35">
      <c r="A1068" s="4">
        <v>42556</v>
      </c>
      <c r="B1068" t="s">
        <v>30</v>
      </c>
      <c r="C1068">
        <v>112</v>
      </c>
      <c r="D1068">
        <v>4</v>
      </c>
      <c r="E1068">
        <v>2</v>
      </c>
      <c r="F1068" t="s">
        <v>31</v>
      </c>
      <c r="G1068" t="s">
        <v>32</v>
      </c>
      <c r="H1068" t="s">
        <v>33</v>
      </c>
      <c r="I1068" t="s">
        <v>43</v>
      </c>
      <c r="J1068" t="s">
        <v>44</v>
      </c>
      <c r="K1068" t="s">
        <v>36</v>
      </c>
      <c r="L1068" t="s">
        <v>37</v>
      </c>
      <c r="M1068">
        <v>0</v>
      </c>
      <c r="N1068">
        <v>0</v>
      </c>
      <c r="O1068" s="5">
        <v>50595</v>
      </c>
      <c r="P1068" s="5">
        <v>50594</v>
      </c>
      <c r="Q1068">
        <v>20</v>
      </c>
      <c r="R1068" t="s">
        <v>38</v>
      </c>
      <c r="T1068">
        <v>20</v>
      </c>
      <c r="U1068">
        <v>80</v>
      </c>
      <c r="V1068">
        <v>12</v>
      </c>
      <c r="Z1068" t="s">
        <v>39</v>
      </c>
      <c r="AB1068" t="s">
        <v>60</v>
      </c>
      <c r="AC1068" t="s">
        <v>41</v>
      </c>
    </row>
    <row r="1069" spans="1:30" x14ac:dyDescent="0.35">
      <c r="A1069" s="4">
        <v>42556</v>
      </c>
      <c r="B1069" t="s">
        <v>30</v>
      </c>
      <c r="C1069">
        <v>112</v>
      </c>
      <c r="D1069">
        <v>10</v>
      </c>
      <c r="E1069">
        <v>1</v>
      </c>
      <c r="F1069" t="s">
        <v>31</v>
      </c>
      <c r="G1069" t="s">
        <v>32</v>
      </c>
      <c r="H1069" t="s">
        <v>33</v>
      </c>
      <c r="I1069" t="s">
        <v>43</v>
      </c>
      <c r="J1069" t="s">
        <v>44</v>
      </c>
      <c r="K1069" t="s">
        <v>36</v>
      </c>
      <c r="L1069" t="s">
        <v>37</v>
      </c>
      <c r="M1069">
        <v>0</v>
      </c>
      <c r="N1069">
        <v>0</v>
      </c>
      <c r="O1069" s="5">
        <v>50597</v>
      </c>
      <c r="P1069" s="5">
        <v>50596</v>
      </c>
      <c r="Q1069">
        <v>20</v>
      </c>
      <c r="R1069" t="s">
        <v>38</v>
      </c>
      <c r="T1069">
        <v>20</v>
      </c>
      <c r="U1069">
        <v>81</v>
      </c>
      <c r="V1069">
        <v>15</v>
      </c>
      <c r="W1069">
        <v>12.5</v>
      </c>
      <c r="X1069">
        <v>27</v>
      </c>
      <c r="Z1069" t="s">
        <v>39</v>
      </c>
      <c r="AB1069" t="s">
        <v>60</v>
      </c>
      <c r="AC1069" t="s">
        <v>41</v>
      </c>
      <c r="AD1069" t="s">
        <v>183</v>
      </c>
    </row>
    <row r="1070" spans="1:30" x14ac:dyDescent="0.35">
      <c r="A1070" s="4">
        <v>42556</v>
      </c>
      <c r="B1070" t="s">
        <v>30</v>
      </c>
      <c r="C1070">
        <v>201</v>
      </c>
      <c r="D1070">
        <v>1</v>
      </c>
      <c r="E1070">
        <v>1</v>
      </c>
      <c r="F1070" t="s">
        <v>42</v>
      </c>
      <c r="G1070" t="s">
        <v>32</v>
      </c>
      <c r="H1070" t="s">
        <v>33</v>
      </c>
      <c r="I1070" t="s">
        <v>43</v>
      </c>
      <c r="J1070" t="s">
        <v>35</v>
      </c>
      <c r="K1070" t="s">
        <v>113</v>
      </c>
      <c r="L1070" t="s">
        <v>45</v>
      </c>
      <c r="M1070">
        <v>0</v>
      </c>
      <c r="N1070">
        <v>1</v>
      </c>
      <c r="O1070" s="5">
        <v>50627</v>
      </c>
      <c r="P1070" s="5">
        <v>50626</v>
      </c>
      <c r="Q1070">
        <f>30-12</f>
        <v>18</v>
      </c>
      <c r="R1070" t="s">
        <v>46</v>
      </c>
      <c r="S1070" t="s">
        <v>39</v>
      </c>
      <c r="T1070">
        <v>19.5</v>
      </c>
      <c r="U1070">
        <v>87</v>
      </c>
      <c r="V1070">
        <v>16</v>
      </c>
      <c r="W1070">
        <v>12.6</v>
      </c>
      <c r="X1070">
        <v>28.3</v>
      </c>
      <c r="Z1070" t="s">
        <v>39</v>
      </c>
      <c r="AB1070" t="s">
        <v>47</v>
      </c>
      <c r="AC1070" t="s">
        <v>41</v>
      </c>
      <c r="AD1070" t="s">
        <v>184</v>
      </c>
    </row>
    <row r="1071" spans="1:30" x14ac:dyDescent="0.35">
      <c r="A1071" s="4">
        <v>42556</v>
      </c>
      <c r="B1071" t="s">
        <v>30</v>
      </c>
      <c r="C1071">
        <v>201</v>
      </c>
      <c r="D1071">
        <v>8</v>
      </c>
      <c r="E1071">
        <v>1</v>
      </c>
      <c r="F1071" t="s">
        <v>42</v>
      </c>
      <c r="G1071" t="s">
        <v>32</v>
      </c>
      <c r="H1071" t="s">
        <v>33</v>
      </c>
      <c r="I1071" t="s">
        <v>43</v>
      </c>
      <c r="J1071" t="s">
        <v>35</v>
      </c>
      <c r="K1071" t="s">
        <v>113</v>
      </c>
      <c r="L1071" t="s">
        <v>37</v>
      </c>
      <c r="M1071">
        <v>0</v>
      </c>
      <c r="N1071">
        <v>1</v>
      </c>
      <c r="O1071" s="5">
        <v>50630</v>
      </c>
      <c r="P1071" s="5">
        <v>50628</v>
      </c>
      <c r="Q1071">
        <v>19.5</v>
      </c>
      <c r="R1071" t="s">
        <v>38</v>
      </c>
      <c r="T1071">
        <v>19</v>
      </c>
      <c r="U1071">
        <v>85</v>
      </c>
      <c r="V1071">
        <v>17.5</v>
      </c>
      <c r="W1071">
        <v>12.4</v>
      </c>
      <c r="X1071">
        <v>27.3</v>
      </c>
      <c r="Z1071" t="s">
        <v>39</v>
      </c>
      <c r="AB1071" t="s">
        <v>47</v>
      </c>
      <c r="AC1071" t="s">
        <v>41</v>
      </c>
    </row>
    <row r="1072" spans="1:30" x14ac:dyDescent="0.35">
      <c r="A1072" s="4">
        <v>42556</v>
      </c>
      <c r="B1072" t="s">
        <v>30</v>
      </c>
      <c r="C1072">
        <v>203</v>
      </c>
      <c r="D1072">
        <v>8</v>
      </c>
      <c r="E1072">
        <v>1</v>
      </c>
      <c r="F1072" t="s">
        <v>42</v>
      </c>
      <c r="G1072" t="s">
        <v>32</v>
      </c>
      <c r="H1072" t="s">
        <v>33</v>
      </c>
      <c r="I1072" t="s">
        <v>43</v>
      </c>
      <c r="J1072" t="s">
        <v>35</v>
      </c>
      <c r="K1072" t="s">
        <v>113</v>
      </c>
      <c r="L1072" t="s">
        <v>45</v>
      </c>
      <c r="M1072">
        <v>0</v>
      </c>
      <c r="N1072">
        <v>1</v>
      </c>
      <c r="O1072" s="5">
        <v>50633</v>
      </c>
      <c r="P1072" s="5">
        <v>50634</v>
      </c>
      <c r="Q1072">
        <f>34-10.5</f>
        <v>23.5</v>
      </c>
      <c r="R1072" t="s">
        <v>77</v>
      </c>
      <c r="S1072" t="s">
        <v>39</v>
      </c>
      <c r="T1072">
        <v>19</v>
      </c>
      <c r="U1072">
        <v>79</v>
      </c>
      <c r="V1072">
        <v>16</v>
      </c>
      <c r="W1072">
        <v>13.5</v>
      </c>
      <c r="X1072">
        <v>27.7</v>
      </c>
      <c r="Z1072" t="s">
        <v>39</v>
      </c>
      <c r="AB1072" t="s">
        <v>47</v>
      </c>
      <c r="AC1072" t="s">
        <v>41</v>
      </c>
    </row>
    <row r="1073" spans="1:30" x14ac:dyDescent="0.35">
      <c r="A1073" s="4">
        <v>42556</v>
      </c>
      <c r="B1073" t="s">
        <v>30</v>
      </c>
      <c r="C1073">
        <v>202</v>
      </c>
      <c r="D1073">
        <v>1</v>
      </c>
      <c r="E1073">
        <v>1</v>
      </c>
      <c r="F1073" t="s">
        <v>42</v>
      </c>
      <c r="G1073" t="s">
        <v>32</v>
      </c>
      <c r="H1073" t="s">
        <v>33</v>
      </c>
      <c r="I1073" t="s">
        <v>43</v>
      </c>
      <c r="J1073" t="s">
        <v>35</v>
      </c>
      <c r="K1073" t="s">
        <v>113</v>
      </c>
      <c r="L1073" t="s">
        <v>37</v>
      </c>
      <c r="M1073">
        <v>0</v>
      </c>
      <c r="N1073">
        <v>1</v>
      </c>
      <c r="O1073" s="5">
        <v>50637</v>
      </c>
      <c r="P1073" s="5">
        <v>50638</v>
      </c>
      <c r="Q1073">
        <f>24-10</f>
        <v>14</v>
      </c>
      <c r="R1073" t="s">
        <v>64</v>
      </c>
      <c r="T1073">
        <v>18</v>
      </c>
      <c r="U1073">
        <v>85</v>
      </c>
      <c r="V1073">
        <v>16</v>
      </c>
      <c r="W1073">
        <v>12.6</v>
      </c>
      <c r="X1073">
        <v>27.5</v>
      </c>
      <c r="Z1073" t="s">
        <v>39</v>
      </c>
      <c r="AB1073" t="s">
        <v>47</v>
      </c>
      <c r="AC1073" t="s">
        <v>41</v>
      </c>
    </row>
    <row r="1074" spans="1:30" x14ac:dyDescent="0.35">
      <c r="A1074" s="4">
        <v>42556</v>
      </c>
      <c r="B1074" t="s">
        <v>30</v>
      </c>
      <c r="C1074">
        <v>202</v>
      </c>
      <c r="D1074">
        <v>4</v>
      </c>
      <c r="E1074">
        <v>2</v>
      </c>
      <c r="F1074" t="s">
        <v>42</v>
      </c>
      <c r="G1074" t="s">
        <v>32</v>
      </c>
      <c r="H1074" t="s">
        <v>33</v>
      </c>
      <c r="I1074" t="s">
        <v>43</v>
      </c>
      <c r="J1074" t="s">
        <v>35</v>
      </c>
      <c r="K1074" t="s">
        <v>36</v>
      </c>
      <c r="L1074" t="s">
        <v>37</v>
      </c>
      <c r="M1074">
        <v>0</v>
      </c>
      <c r="N1074">
        <v>1</v>
      </c>
      <c r="O1074" s="5">
        <v>50640</v>
      </c>
      <c r="P1074" s="5">
        <v>50639</v>
      </c>
      <c r="Q1074">
        <f>28.5-9.5</f>
        <v>19</v>
      </c>
      <c r="R1074" t="s">
        <v>64</v>
      </c>
      <c r="T1074">
        <v>19</v>
      </c>
      <c r="U1074">
        <v>87</v>
      </c>
      <c r="V1074">
        <v>17</v>
      </c>
      <c r="W1074">
        <v>13.3</v>
      </c>
      <c r="X1074">
        <v>30.1</v>
      </c>
      <c r="Z1074" t="s">
        <v>39</v>
      </c>
      <c r="AB1074" t="s">
        <v>47</v>
      </c>
      <c r="AC1074" t="s">
        <v>41</v>
      </c>
    </row>
    <row r="1075" spans="1:30" x14ac:dyDescent="0.35">
      <c r="A1075" s="4">
        <v>42556</v>
      </c>
      <c r="B1075" t="s">
        <v>30</v>
      </c>
      <c r="C1075">
        <v>202</v>
      </c>
      <c r="D1075">
        <v>5</v>
      </c>
      <c r="E1075">
        <v>1</v>
      </c>
      <c r="F1075" t="s">
        <v>42</v>
      </c>
      <c r="G1075" t="s">
        <v>32</v>
      </c>
      <c r="H1075" t="s">
        <v>33</v>
      </c>
      <c r="I1075" t="s">
        <v>43</v>
      </c>
      <c r="J1075" t="s">
        <v>35</v>
      </c>
      <c r="K1075" t="s">
        <v>88</v>
      </c>
      <c r="L1075" t="s">
        <v>37</v>
      </c>
      <c r="M1075">
        <v>0</v>
      </c>
      <c r="N1075">
        <v>1</v>
      </c>
      <c r="O1075" s="5">
        <v>50642</v>
      </c>
      <c r="P1075" s="5">
        <v>50641</v>
      </c>
      <c r="Q1075">
        <f>23-9.5</f>
        <v>13.5</v>
      </c>
      <c r="R1075" t="s">
        <v>64</v>
      </c>
      <c r="T1075">
        <v>19</v>
      </c>
      <c r="U1075">
        <v>82</v>
      </c>
      <c r="V1075">
        <v>15</v>
      </c>
      <c r="W1075">
        <v>12.4</v>
      </c>
      <c r="X1075">
        <v>27.8</v>
      </c>
      <c r="Z1075" t="s">
        <v>39</v>
      </c>
      <c r="AB1075" t="s">
        <v>47</v>
      </c>
      <c r="AC1075" t="s">
        <v>41</v>
      </c>
    </row>
    <row r="1076" spans="1:30" x14ac:dyDescent="0.35">
      <c r="A1076" s="4">
        <v>42556</v>
      </c>
      <c r="B1076" t="s">
        <v>30</v>
      </c>
      <c r="C1076">
        <v>202</v>
      </c>
      <c r="D1076">
        <v>6</v>
      </c>
      <c r="E1076">
        <v>2</v>
      </c>
      <c r="F1076" t="s">
        <v>42</v>
      </c>
      <c r="G1076" t="s">
        <v>32</v>
      </c>
      <c r="H1076" t="s">
        <v>33</v>
      </c>
      <c r="I1076" t="s">
        <v>43</v>
      </c>
      <c r="J1076" t="s">
        <v>35</v>
      </c>
      <c r="K1076" t="s">
        <v>113</v>
      </c>
      <c r="L1076" t="s">
        <v>37</v>
      </c>
      <c r="M1076">
        <v>0</v>
      </c>
      <c r="N1076">
        <v>1</v>
      </c>
      <c r="O1076" s="5">
        <v>50644</v>
      </c>
      <c r="P1076" s="5">
        <v>50643</v>
      </c>
      <c r="Q1076">
        <v>15</v>
      </c>
      <c r="R1076" t="s">
        <v>64</v>
      </c>
      <c r="T1076">
        <v>18</v>
      </c>
      <c r="U1076">
        <v>88</v>
      </c>
      <c r="V1076">
        <v>13.5</v>
      </c>
      <c r="W1076">
        <v>12.5</v>
      </c>
      <c r="X1076">
        <v>28.6</v>
      </c>
      <c r="Y1076" t="s">
        <v>185</v>
      </c>
      <c r="Z1076" t="s">
        <v>39</v>
      </c>
      <c r="AB1076" t="s">
        <v>47</v>
      </c>
      <c r="AC1076" t="s">
        <v>41</v>
      </c>
    </row>
    <row r="1077" spans="1:30" x14ac:dyDescent="0.35">
      <c r="A1077" s="4">
        <v>42556</v>
      </c>
      <c r="B1077" t="s">
        <v>30</v>
      </c>
      <c r="C1077">
        <v>202</v>
      </c>
      <c r="D1077">
        <v>7</v>
      </c>
      <c r="E1077">
        <v>1</v>
      </c>
      <c r="F1077" t="s">
        <v>42</v>
      </c>
      <c r="G1077" t="s">
        <v>32</v>
      </c>
      <c r="H1077" t="s">
        <v>33</v>
      </c>
      <c r="I1077" t="s">
        <v>43</v>
      </c>
      <c r="J1077" t="s">
        <v>35</v>
      </c>
      <c r="K1077" t="s">
        <v>36</v>
      </c>
      <c r="L1077" t="s">
        <v>45</v>
      </c>
      <c r="M1077">
        <v>0</v>
      </c>
      <c r="N1077">
        <v>1</v>
      </c>
      <c r="O1077" s="5">
        <v>50645</v>
      </c>
      <c r="P1077" s="5"/>
      <c r="Q1077">
        <f>34-12.5</f>
        <v>21.5</v>
      </c>
      <c r="R1077" t="s">
        <v>77</v>
      </c>
      <c r="S1077" t="s">
        <v>39</v>
      </c>
      <c r="T1077">
        <v>17</v>
      </c>
      <c r="U1077">
        <v>90</v>
      </c>
      <c r="V1077">
        <v>17</v>
      </c>
      <c r="W1077">
        <v>12.7</v>
      </c>
      <c r="X1077">
        <v>27.7</v>
      </c>
      <c r="Z1077" t="s">
        <v>39</v>
      </c>
      <c r="AB1077" t="s">
        <v>47</v>
      </c>
      <c r="AC1077" t="s">
        <v>41</v>
      </c>
    </row>
    <row r="1078" spans="1:30" x14ac:dyDescent="0.35">
      <c r="A1078" s="4">
        <v>42556</v>
      </c>
      <c r="B1078" t="s">
        <v>30</v>
      </c>
      <c r="C1078">
        <v>304</v>
      </c>
      <c r="D1078">
        <v>1</v>
      </c>
      <c r="E1078">
        <v>1</v>
      </c>
      <c r="F1078" t="s">
        <v>42</v>
      </c>
      <c r="G1078" t="s">
        <v>32</v>
      </c>
      <c r="H1078" t="s">
        <v>33</v>
      </c>
      <c r="I1078" t="s">
        <v>43</v>
      </c>
      <c r="J1078" t="s">
        <v>35</v>
      </c>
      <c r="K1078" t="s">
        <v>88</v>
      </c>
      <c r="L1078" t="s">
        <v>37</v>
      </c>
      <c r="M1078">
        <v>0</v>
      </c>
      <c r="N1078">
        <v>1</v>
      </c>
      <c r="O1078" s="5">
        <v>50646</v>
      </c>
      <c r="P1078" s="5"/>
      <c r="Q1078">
        <v>12</v>
      </c>
      <c r="R1078" t="s">
        <v>64</v>
      </c>
      <c r="T1078">
        <v>20</v>
      </c>
      <c r="U1078">
        <v>79</v>
      </c>
      <c r="V1078">
        <v>13.5</v>
      </c>
      <c r="W1078">
        <v>12.1</v>
      </c>
      <c r="X1078">
        <v>26.9</v>
      </c>
      <c r="Z1078" t="s">
        <v>39</v>
      </c>
      <c r="AB1078" t="s">
        <v>47</v>
      </c>
      <c r="AC1078" t="s">
        <v>68</v>
      </c>
    </row>
    <row r="1079" spans="1:30" x14ac:dyDescent="0.35">
      <c r="A1079" s="4">
        <v>42556</v>
      </c>
      <c r="B1079" t="s">
        <v>30</v>
      </c>
      <c r="C1079">
        <v>304</v>
      </c>
      <c r="D1079">
        <v>3</v>
      </c>
      <c r="E1079">
        <v>1</v>
      </c>
      <c r="F1079" t="s">
        <v>42</v>
      </c>
      <c r="G1079" t="s">
        <v>32</v>
      </c>
      <c r="H1079" t="s">
        <v>33</v>
      </c>
      <c r="I1079" t="s">
        <v>43</v>
      </c>
      <c r="J1079" t="s">
        <v>35</v>
      </c>
      <c r="K1079" t="s">
        <v>113</v>
      </c>
      <c r="L1079" t="s">
        <v>37</v>
      </c>
      <c r="M1079">
        <v>0</v>
      </c>
      <c r="N1079">
        <v>1</v>
      </c>
      <c r="O1079" s="5">
        <v>50647</v>
      </c>
      <c r="P1079" s="5"/>
      <c r="Q1079">
        <f>26-10.5</f>
        <v>15.5</v>
      </c>
      <c r="R1079" t="s">
        <v>64</v>
      </c>
      <c r="T1079">
        <f>26-10.5</f>
        <v>15.5</v>
      </c>
      <c r="U1079">
        <v>98</v>
      </c>
      <c r="V1079">
        <v>16</v>
      </c>
      <c r="W1079">
        <v>12.5</v>
      </c>
      <c r="X1079">
        <v>26.9</v>
      </c>
      <c r="Z1079" t="s">
        <v>39</v>
      </c>
      <c r="AB1079" t="s">
        <v>47</v>
      </c>
      <c r="AC1079" t="s">
        <v>41</v>
      </c>
    </row>
    <row r="1080" spans="1:30" x14ac:dyDescent="0.35">
      <c r="A1080" s="4">
        <v>42556</v>
      </c>
      <c r="B1080" t="s">
        <v>30</v>
      </c>
      <c r="C1080">
        <v>304</v>
      </c>
      <c r="D1080">
        <v>5</v>
      </c>
      <c r="E1080">
        <v>1</v>
      </c>
      <c r="F1080" t="s">
        <v>42</v>
      </c>
      <c r="G1080" t="s">
        <v>32</v>
      </c>
      <c r="H1080" t="s">
        <v>33</v>
      </c>
      <c r="I1080" t="s">
        <v>43</v>
      </c>
      <c r="J1080" t="s">
        <v>35</v>
      </c>
      <c r="K1080" t="s">
        <v>113</v>
      </c>
      <c r="L1080" t="s">
        <v>37</v>
      </c>
      <c r="M1080">
        <v>0</v>
      </c>
      <c r="N1080">
        <v>1</v>
      </c>
      <c r="O1080" s="5">
        <v>50648</v>
      </c>
      <c r="P1080" s="5"/>
      <c r="Q1080">
        <v>16</v>
      </c>
      <c r="R1080" t="s">
        <v>64</v>
      </c>
      <c r="T1080">
        <v>16</v>
      </c>
      <c r="U1080">
        <v>91</v>
      </c>
      <c r="V1080">
        <v>18</v>
      </c>
      <c r="W1080">
        <v>12.5</v>
      </c>
      <c r="X1080">
        <v>27.7</v>
      </c>
      <c r="Z1080" t="s">
        <v>39</v>
      </c>
      <c r="AB1080" t="s">
        <v>47</v>
      </c>
      <c r="AC1080" t="s">
        <v>41</v>
      </c>
    </row>
    <row r="1081" spans="1:30" x14ac:dyDescent="0.35">
      <c r="A1081" s="4">
        <v>42556</v>
      </c>
      <c r="B1081" t="s">
        <v>30</v>
      </c>
      <c r="C1081">
        <v>304</v>
      </c>
      <c r="D1081">
        <v>7</v>
      </c>
      <c r="E1081">
        <v>1</v>
      </c>
      <c r="F1081" t="s">
        <v>42</v>
      </c>
      <c r="G1081" t="s">
        <v>32</v>
      </c>
      <c r="H1081" t="s">
        <v>33</v>
      </c>
      <c r="I1081" t="s">
        <v>43</v>
      </c>
      <c r="J1081" t="s">
        <v>35</v>
      </c>
      <c r="K1081" t="s">
        <v>88</v>
      </c>
      <c r="L1081" t="s">
        <v>37</v>
      </c>
      <c r="M1081">
        <v>0</v>
      </c>
      <c r="N1081">
        <v>1</v>
      </c>
      <c r="O1081" s="5">
        <v>50650</v>
      </c>
      <c r="P1081" s="5">
        <v>50649</v>
      </c>
      <c r="Q1081">
        <f>25-10.5</f>
        <v>14.5</v>
      </c>
      <c r="R1081" t="s">
        <v>64</v>
      </c>
      <c r="T1081">
        <v>19</v>
      </c>
      <c r="U1081">
        <v>85</v>
      </c>
      <c r="V1081">
        <v>16</v>
      </c>
      <c r="W1081">
        <v>12</v>
      </c>
      <c r="X1081">
        <v>24.5</v>
      </c>
      <c r="Z1081" t="s">
        <v>39</v>
      </c>
      <c r="AB1081" t="s">
        <v>47</v>
      </c>
      <c r="AC1081" t="s">
        <v>41</v>
      </c>
    </row>
    <row r="1082" spans="1:30" x14ac:dyDescent="0.35">
      <c r="A1082" s="4">
        <v>42556</v>
      </c>
      <c r="B1082" t="s">
        <v>30</v>
      </c>
      <c r="C1082">
        <v>203</v>
      </c>
      <c r="D1082">
        <v>9</v>
      </c>
      <c r="E1082">
        <v>1</v>
      </c>
      <c r="F1082" t="s">
        <v>42</v>
      </c>
      <c r="G1082" t="s">
        <v>32</v>
      </c>
      <c r="H1082" t="s">
        <v>33</v>
      </c>
      <c r="I1082" t="s">
        <v>43</v>
      </c>
      <c r="J1082" t="s">
        <v>44</v>
      </c>
      <c r="K1082" t="s">
        <v>36</v>
      </c>
      <c r="L1082" t="s">
        <v>37</v>
      </c>
      <c r="M1082">
        <v>0</v>
      </c>
      <c r="N1082">
        <v>0</v>
      </c>
      <c r="O1082" s="5" t="s">
        <v>153</v>
      </c>
      <c r="P1082" s="5" t="s">
        <v>154</v>
      </c>
      <c r="Q1082">
        <v>20.5</v>
      </c>
      <c r="R1082" t="s">
        <v>64</v>
      </c>
      <c r="T1082">
        <v>19</v>
      </c>
      <c r="U1082">
        <v>93</v>
      </c>
      <c r="V1082">
        <v>16</v>
      </c>
      <c r="W1082">
        <v>12.9</v>
      </c>
      <c r="X1082">
        <v>28.3</v>
      </c>
      <c r="Z1082" t="s">
        <v>39</v>
      </c>
      <c r="AB1082" t="s">
        <v>47</v>
      </c>
      <c r="AC1082" t="s">
        <v>41</v>
      </c>
    </row>
    <row r="1083" spans="1:30" x14ac:dyDescent="0.35">
      <c r="A1083" s="4">
        <v>42556</v>
      </c>
      <c r="B1083" t="s">
        <v>30</v>
      </c>
      <c r="C1083">
        <v>113</v>
      </c>
      <c r="D1083">
        <v>8</v>
      </c>
      <c r="E1083">
        <v>1</v>
      </c>
      <c r="F1083" t="s">
        <v>31</v>
      </c>
      <c r="G1083" t="s">
        <v>32</v>
      </c>
      <c r="H1083" t="s">
        <v>33</v>
      </c>
      <c r="I1083" t="s">
        <v>34</v>
      </c>
      <c r="J1083" t="s">
        <v>44</v>
      </c>
      <c r="K1083" t="s">
        <v>113</v>
      </c>
      <c r="L1083" t="s">
        <v>37</v>
      </c>
      <c r="M1083">
        <v>0</v>
      </c>
      <c r="N1083">
        <v>0</v>
      </c>
      <c r="O1083" s="5">
        <v>50482</v>
      </c>
      <c r="P1083" s="5"/>
      <c r="Q1083">
        <f>128-48</f>
        <v>80</v>
      </c>
      <c r="R1083" t="s">
        <v>38</v>
      </c>
      <c r="T1083">
        <v>28</v>
      </c>
      <c r="W1083">
        <v>21.1</v>
      </c>
      <c r="Z1083" t="s">
        <v>39</v>
      </c>
      <c r="AB1083" t="s">
        <v>60</v>
      </c>
      <c r="AC1083" t="s">
        <v>41</v>
      </c>
    </row>
    <row r="1084" spans="1:30" x14ac:dyDescent="0.35">
      <c r="A1084" s="4">
        <v>42556</v>
      </c>
      <c r="B1084" t="s">
        <v>30</v>
      </c>
      <c r="C1084">
        <v>402</v>
      </c>
      <c r="D1084">
        <v>2</v>
      </c>
      <c r="E1084">
        <v>1</v>
      </c>
      <c r="F1084" t="s">
        <v>31</v>
      </c>
      <c r="G1084" t="s">
        <v>32</v>
      </c>
      <c r="H1084" t="s">
        <v>33</v>
      </c>
      <c r="I1084" t="s">
        <v>34</v>
      </c>
      <c r="J1084" t="s">
        <v>35</v>
      </c>
      <c r="K1084" t="s">
        <v>88</v>
      </c>
      <c r="L1084" t="s">
        <v>45</v>
      </c>
      <c r="M1084">
        <v>0</v>
      </c>
      <c r="N1084">
        <v>1</v>
      </c>
      <c r="O1084" s="5">
        <v>50551</v>
      </c>
      <c r="P1084" s="5"/>
      <c r="Q1084">
        <f>100-44</f>
        <v>56</v>
      </c>
      <c r="R1084" t="s">
        <v>46</v>
      </c>
      <c r="S1084" t="s">
        <v>39</v>
      </c>
      <c r="Z1084" t="s">
        <v>39</v>
      </c>
      <c r="AB1084" t="s">
        <v>60</v>
      </c>
      <c r="AC1084" t="s">
        <v>41</v>
      </c>
      <c r="AD1084" t="s">
        <v>148</v>
      </c>
    </row>
    <row r="1085" spans="1:30" x14ac:dyDescent="0.35">
      <c r="A1085" s="4">
        <v>42556</v>
      </c>
      <c r="B1085" t="s">
        <v>30</v>
      </c>
      <c r="C1085">
        <v>402</v>
      </c>
      <c r="D1085">
        <v>1</v>
      </c>
      <c r="E1085">
        <v>1</v>
      </c>
      <c r="F1085" t="s">
        <v>31</v>
      </c>
      <c r="G1085" t="s">
        <v>32</v>
      </c>
      <c r="H1085" t="s">
        <v>33</v>
      </c>
      <c r="I1085" t="s">
        <v>58</v>
      </c>
      <c r="J1085" t="s">
        <v>35</v>
      </c>
      <c r="K1085" t="s">
        <v>36</v>
      </c>
      <c r="L1085" t="s">
        <v>45</v>
      </c>
      <c r="M1085">
        <v>0</v>
      </c>
      <c r="N1085">
        <v>1</v>
      </c>
      <c r="O1085" s="5">
        <v>50526</v>
      </c>
      <c r="P1085" s="5"/>
      <c r="Q1085">
        <f>40-9</f>
        <v>31</v>
      </c>
      <c r="R1085" t="s">
        <v>119</v>
      </c>
      <c r="S1085" t="s">
        <v>39</v>
      </c>
      <c r="Z1085" t="s">
        <v>39</v>
      </c>
      <c r="AB1085" t="s">
        <v>60</v>
      </c>
      <c r="AC1085" t="s">
        <v>41</v>
      </c>
    </row>
    <row r="1086" spans="1:30" x14ac:dyDescent="0.35">
      <c r="A1086" s="4">
        <v>42556</v>
      </c>
      <c r="B1086" t="s">
        <v>30</v>
      </c>
      <c r="C1086">
        <v>201</v>
      </c>
      <c r="D1086">
        <v>6</v>
      </c>
      <c r="E1086">
        <v>1</v>
      </c>
      <c r="F1086" t="s">
        <v>42</v>
      </c>
      <c r="G1086" t="s">
        <v>32</v>
      </c>
      <c r="H1086" t="s">
        <v>33</v>
      </c>
      <c r="I1086" t="s">
        <v>58</v>
      </c>
      <c r="J1086" t="s">
        <v>35</v>
      </c>
      <c r="K1086" t="s">
        <v>36</v>
      </c>
      <c r="L1086" t="s">
        <v>37</v>
      </c>
      <c r="M1086">
        <v>0</v>
      </c>
      <c r="N1086">
        <v>1</v>
      </c>
      <c r="O1086" s="5">
        <v>50629</v>
      </c>
      <c r="P1086" s="5"/>
      <c r="Q1086">
        <v>33</v>
      </c>
      <c r="R1086" t="s">
        <v>38</v>
      </c>
      <c r="T1086">
        <v>17</v>
      </c>
      <c r="W1086">
        <v>13.3</v>
      </c>
      <c r="X1086">
        <v>27.75</v>
      </c>
      <c r="Z1086" t="s">
        <v>39</v>
      </c>
      <c r="AB1086" t="s">
        <v>47</v>
      </c>
      <c r="AC1086" t="s">
        <v>41</v>
      </c>
    </row>
    <row r="1087" spans="1:30" x14ac:dyDescent="0.35">
      <c r="A1087" s="4">
        <v>42556</v>
      </c>
      <c r="B1087" t="s">
        <v>30</v>
      </c>
      <c r="C1087">
        <v>203</v>
      </c>
      <c r="D1087">
        <v>9</v>
      </c>
      <c r="E1087">
        <v>2</v>
      </c>
      <c r="F1087" t="s">
        <v>42</v>
      </c>
      <c r="G1087" t="s">
        <v>32</v>
      </c>
      <c r="H1087" t="s">
        <v>33</v>
      </c>
      <c r="I1087" t="s">
        <v>65</v>
      </c>
      <c r="J1087" t="s">
        <v>35</v>
      </c>
      <c r="K1087" t="s">
        <v>36</v>
      </c>
      <c r="L1087" t="s">
        <v>37</v>
      </c>
      <c r="M1087">
        <v>0</v>
      </c>
      <c r="N1087">
        <v>1</v>
      </c>
      <c r="O1087" s="5">
        <v>50636</v>
      </c>
      <c r="P1087" s="5"/>
      <c r="Q1087">
        <f>225-90</f>
        <v>135</v>
      </c>
      <c r="R1087" t="s">
        <v>39</v>
      </c>
      <c r="T1087">
        <v>46</v>
      </c>
      <c r="W1087">
        <v>25.5</v>
      </c>
      <c r="X1087">
        <v>46.1</v>
      </c>
      <c r="Z1087" t="s">
        <v>39</v>
      </c>
      <c r="AB1087" t="s">
        <v>47</v>
      </c>
      <c r="AC1087" t="s">
        <v>41</v>
      </c>
    </row>
    <row r="1088" spans="1:30" x14ac:dyDescent="0.35">
      <c r="A1088" s="4">
        <v>42556</v>
      </c>
      <c r="B1088" t="s">
        <v>30</v>
      </c>
      <c r="C1088">
        <v>304</v>
      </c>
      <c r="D1088">
        <v>9</v>
      </c>
      <c r="E1088">
        <v>2</v>
      </c>
      <c r="F1088" t="s">
        <v>31</v>
      </c>
      <c r="G1088" t="s">
        <v>32</v>
      </c>
      <c r="H1088" t="s">
        <v>33</v>
      </c>
      <c r="I1088" t="s">
        <v>55</v>
      </c>
      <c r="J1088" t="s">
        <v>123</v>
      </c>
      <c r="O1088" s="5"/>
      <c r="P1088" s="5"/>
      <c r="Z1088" t="s">
        <v>39</v>
      </c>
    </row>
    <row r="1089" spans="1:26" x14ac:dyDescent="0.35">
      <c r="A1089" s="4">
        <v>42556</v>
      </c>
      <c r="B1089" t="s">
        <v>30</v>
      </c>
      <c r="C1089">
        <v>203</v>
      </c>
      <c r="D1089">
        <v>1</v>
      </c>
      <c r="E1089">
        <v>1</v>
      </c>
      <c r="F1089" t="s">
        <v>42</v>
      </c>
      <c r="G1089" t="s">
        <v>32</v>
      </c>
      <c r="H1089" t="s">
        <v>33</v>
      </c>
      <c r="I1089" t="s">
        <v>55</v>
      </c>
      <c r="J1089" t="s">
        <v>66</v>
      </c>
      <c r="O1089" s="5"/>
      <c r="P1089" s="5"/>
      <c r="Z1089" t="s">
        <v>39</v>
      </c>
    </row>
    <row r="1090" spans="1:26" x14ac:dyDescent="0.35">
      <c r="A1090" s="4">
        <v>42556</v>
      </c>
      <c r="B1090" t="s">
        <v>30</v>
      </c>
      <c r="C1090">
        <v>202</v>
      </c>
      <c r="D1090">
        <v>8</v>
      </c>
      <c r="E1090">
        <v>1</v>
      </c>
      <c r="F1090" t="s">
        <v>42</v>
      </c>
      <c r="G1090" t="s">
        <v>32</v>
      </c>
      <c r="H1090" t="s">
        <v>33</v>
      </c>
      <c r="I1090" t="s">
        <v>55</v>
      </c>
      <c r="J1090" t="s">
        <v>66</v>
      </c>
      <c r="O1090" s="5"/>
      <c r="P1090" s="5"/>
      <c r="Z1090" t="s">
        <v>39</v>
      </c>
    </row>
    <row r="1091" spans="1:26" x14ac:dyDescent="0.35">
      <c r="A1091" s="4">
        <v>42556</v>
      </c>
      <c r="B1091" t="s">
        <v>30</v>
      </c>
      <c r="C1091">
        <v>111</v>
      </c>
      <c r="D1091">
        <v>2</v>
      </c>
      <c r="E1091">
        <v>1</v>
      </c>
      <c r="F1091" t="s">
        <v>31</v>
      </c>
      <c r="G1091" t="s">
        <v>32</v>
      </c>
      <c r="H1091" t="s">
        <v>33</v>
      </c>
      <c r="I1091" t="s">
        <v>59</v>
      </c>
      <c r="O1091" s="5"/>
      <c r="P1091" s="5"/>
      <c r="Z1091" t="s">
        <v>39</v>
      </c>
    </row>
    <row r="1092" spans="1:26" x14ac:dyDescent="0.35">
      <c r="A1092" s="4">
        <v>42556</v>
      </c>
      <c r="B1092" t="s">
        <v>30</v>
      </c>
      <c r="C1092">
        <v>111</v>
      </c>
      <c r="D1092">
        <v>9</v>
      </c>
      <c r="E1092">
        <v>1</v>
      </c>
      <c r="F1092" t="s">
        <v>31</v>
      </c>
      <c r="G1092" t="s">
        <v>32</v>
      </c>
      <c r="H1092" t="s">
        <v>33</v>
      </c>
      <c r="I1092" t="s">
        <v>59</v>
      </c>
      <c r="O1092" s="5"/>
      <c r="P1092" s="5"/>
      <c r="Z1092" t="s">
        <v>39</v>
      </c>
    </row>
    <row r="1093" spans="1:26" x14ac:dyDescent="0.35">
      <c r="A1093" s="4">
        <v>42556</v>
      </c>
      <c r="B1093" t="s">
        <v>30</v>
      </c>
      <c r="C1093">
        <v>112</v>
      </c>
      <c r="D1093">
        <v>4</v>
      </c>
      <c r="E1093">
        <v>1</v>
      </c>
      <c r="F1093" t="s">
        <v>31</v>
      </c>
      <c r="G1093" t="s">
        <v>32</v>
      </c>
      <c r="H1093" t="s">
        <v>33</v>
      </c>
      <c r="I1093" t="s">
        <v>59</v>
      </c>
      <c r="O1093" s="5"/>
      <c r="P1093" s="5"/>
      <c r="Z1093" t="s">
        <v>39</v>
      </c>
    </row>
    <row r="1094" spans="1:26" x14ac:dyDescent="0.35">
      <c r="A1094" s="4">
        <v>42556</v>
      </c>
      <c r="B1094" t="s">
        <v>30</v>
      </c>
      <c r="C1094">
        <v>112</v>
      </c>
      <c r="D1094">
        <v>5</v>
      </c>
      <c r="E1094">
        <v>1</v>
      </c>
      <c r="F1094" t="s">
        <v>31</v>
      </c>
      <c r="G1094" t="s">
        <v>32</v>
      </c>
      <c r="H1094" t="s">
        <v>33</v>
      </c>
      <c r="I1094" t="s">
        <v>59</v>
      </c>
      <c r="O1094" s="5"/>
      <c r="P1094" s="5"/>
      <c r="Z1094" t="s">
        <v>39</v>
      </c>
    </row>
    <row r="1095" spans="1:26" x14ac:dyDescent="0.35">
      <c r="A1095" s="4">
        <v>42556</v>
      </c>
      <c r="B1095" t="s">
        <v>30</v>
      </c>
      <c r="C1095">
        <v>112</v>
      </c>
      <c r="D1095">
        <v>9</v>
      </c>
      <c r="E1095">
        <v>1</v>
      </c>
      <c r="F1095" t="s">
        <v>31</v>
      </c>
      <c r="G1095" t="s">
        <v>32</v>
      </c>
      <c r="H1095" t="s">
        <v>33</v>
      </c>
      <c r="I1095" t="s">
        <v>59</v>
      </c>
      <c r="O1095" s="5"/>
      <c r="P1095" s="5"/>
      <c r="Z1095" t="s">
        <v>39</v>
      </c>
    </row>
    <row r="1096" spans="1:26" x14ac:dyDescent="0.35">
      <c r="A1096" s="4">
        <v>42556</v>
      </c>
      <c r="B1096" t="s">
        <v>30</v>
      </c>
      <c r="C1096">
        <v>112</v>
      </c>
      <c r="D1096">
        <v>10</v>
      </c>
      <c r="E1096">
        <v>2</v>
      </c>
      <c r="F1096" t="s">
        <v>31</v>
      </c>
      <c r="G1096" t="s">
        <v>32</v>
      </c>
      <c r="H1096" t="s">
        <v>33</v>
      </c>
      <c r="I1096" t="s">
        <v>59</v>
      </c>
      <c r="O1096" s="5"/>
      <c r="P1096" s="5"/>
      <c r="Z1096" t="s">
        <v>39</v>
      </c>
    </row>
    <row r="1097" spans="1:26" x14ac:dyDescent="0.35">
      <c r="A1097" s="4">
        <v>42556</v>
      </c>
      <c r="B1097" t="s">
        <v>30</v>
      </c>
      <c r="C1097">
        <v>113</v>
      </c>
      <c r="D1097">
        <v>7</v>
      </c>
      <c r="E1097">
        <v>2</v>
      </c>
      <c r="F1097" t="s">
        <v>31</v>
      </c>
      <c r="G1097" t="s">
        <v>32</v>
      </c>
      <c r="H1097" t="s">
        <v>33</v>
      </c>
      <c r="I1097" t="s">
        <v>59</v>
      </c>
      <c r="O1097" s="5"/>
      <c r="P1097" s="5"/>
      <c r="Z1097" t="s">
        <v>39</v>
      </c>
    </row>
    <row r="1098" spans="1:26" x14ac:dyDescent="0.35">
      <c r="A1098" s="4">
        <v>42556</v>
      </c>
      <c r="B1098" t="s">
        <v>30</v>
      </c>
      <c r="C1098">
        <v>113</v>
      </c>
      <c r="D1098">
        <v>9</v>
      </c>
      <c r="E1098">
        <v>1</v>
      </c>
      <c r="F1098" t="s">
        <v>31</v>
      </c>
      <c r="G1098" t="s">
        <v>32</v>
      </c>
      <c r="H1098" t="s">
        <v>33</v>
      </c>
      <c r="I1098" t="s">
        <v>59</v>
      </c>
      <c r="O1098" s="5"/>
      <c r="P1098" s="5"/>
      <c r="Z1098" t="s">
        <v>39</v>
      </c>
    </row>
    <row r="1099" spans="1:26" x14ac:dyDescent="0.35">
      <c r="A1099" s="4">
        <v>42556</v>
      </c>
      <c r="B1099" t="s">
        <v>30</v>
      </c>
      <c r="C1099">
        <v>113</v>
      </c>
      <c r="D1099">
        <v>9</v>
      </c>
      <c r="E1099">
        <v>2</v>
      </c>
      <c r="F1099" t="s">
        <v>31</v>
      </c>
      <c r="G1099" t="s">
        <v>32</v>
      </c>
      <c r="H1099" t="s">
        <v>33</v>
      </c>
      <c r="I1099" t="s">
        <v>59</v>
      </c>
      <c r="O1099" s="5"/>
      <c r="P1099" s="5"/>
      <c r="Z1099" t="s">
        <v>39</v>
      </c>
    </row>
    <row r="1100" spans="1:26" x14ac:dyDescent="0.35">
      <c r="A1100" s="4">
        <v>42556</v>
      </c>
      <c r="B1100" t="s">
        <v>30</v>
      </c>
      <c r="C1100">
        <v>402</v>
      </c>
      <c r="D1100">
        <v>7</v>
      </c>
      <c r="E1100">
        <v>1</v>
      </c>
      <c r="F1100" t="s">
        <v>31</v>
      </c>
      <c r="G1100" t="s">
        <v>32</v>
      </c>
      <c r="H1100" t="s">
        <v>33</v>
      </c>
      <c r="I1100" t="s">
        <v>59</v>
      </c>
      <c r="O1100" s="5"/>
      <c r="P1100" s="5"/>
      <c r="Z1100" t="s">
        <v>39</v>
      </c>
    </row>
    <row r="1101" spans="1:26" x14ac:dyDescent="0.35">
      <c r="A1101" s="4">
        <v>42556</v>
      </c>
      <c r="B1101" t="s">
        <v>30</v>
      </c>
      <c r="C1101">
        <v>402</v>
      </c>
      <c r="D1101">
        <v>8</v>
      </c>
      <c r="E1101">
        <v>1</v>
      </c>
      <c r="F1101" t="s">
        <v>31</v>
      </c>
      <c r="G1101" t="s">
        <v>32</v>
      </c>
      <c r="H1101" t="s">
        <v>33</v>
      </c>
      <c r="I1101" t="s">
        <v>59</v>
      </c>
      <c r="O1101" s="5"/>
      <c r="P1101" s="5"/>
      <c r="Z1101" t="s">
        <v>39</v>
      </c>
    </row>
    <row r="1102" spans="1:26" x14ac:dyDescent="0.35">
      <c r="A1102" s="4">
        <v>42556</v>
      </c>
      <c r="B1102" t="s">
        <v>30</v>
      </c>
      <c r="C1102">
        <v>304</v>
      </c>
      <c r="D1102">
        <v>9</v>
      </c>
      <c r="E1102">
        <v>1</v>
      </c>
      <c r="F1102" t="s">
        <v>31</v>
      </c>
      <c r="G1102" t="s">
        <v>32</v>
      </c>
      <c r="H1102" t="s">
        <v>33</v>
      </c>
      <c r="I1102" t="s">
        <v>59</v>
      </c>
      <c r="O1102" s="5"/>
      <c r="P1102" s="5"/>
      <c r="Z1102" t="s">
        <v>39</v>
      </c>
    </row>
    <row r="1103" spans="1:26" x14ac:dyDescent="0.35">
      <c r="A1103" s="4">
        <v>42556</v>
      </c>
      <c r="B1103" t="s">
        <v>30</v>
      </c>
      <c r="C1103">
        <v>201</v>
      </c>
      <c r="D1103">
        <v>7</v>
      </c>
      <c r="E1103">
        <v>1</v>
      </c>
      <c r="F1103" t="s">
        <v>42</v>
      </c>
      <c r="G1103" t="s">
        <v>32</v>
      </c>
      <c r="H1103" t="s">
        <v>33</v>
      </c>
      <c r="I1103" t="s">
        <v>59</v>
      </c>
      <c r="O1103" s="5"/>
      <c r="P1103" s="5"/>
      <c r="Z1103" t="s">
        <v>39</v>
      </c>
    </row>
    <row r="1104" spans="1:26" x14ac:dyDescent="0.35">
      <c r="A1104" s="4">
        <v>42556</v>
      </c>
      <c r="B1104" t="s">
        <v>30</v>
      </c>
      <c r="C1104">
        <v>201</v>
      </c>
      <c r="D1104">
        <v>7</v>
      </c>
      <c r="E1104">
        <v>2</v>
      </c>
      <c r="F1104" t="s">
        <v>42</v>
      </c>
      <c r="G1104" t="s">
        <v>32</v>
      </c>
      <c r="H1104" t="s">
        <v>33</v>
      </c>
      <c r="I1104" t="s">
        <v>59</v>
      </c>
      <c r="O1104" s="5"/>
      <c r="P1104" s="5"/>
      <c r="Z1104" t="s">
        <v>39</v>
      </c>
    </row>
    <row r="1105" spans="1:30" x14ac:dyDescent="0.35">
      <c r="A1105" s="4">
        <v>42556</v>
      </c>
      <c r="B1105" t="s">
        <v>30</v>
      </c>
      <c r="C1105">
        <v>203</v>
      </c>
      <c r="D1105">
        <v>2</v>
      </c>
      <c r="E1105">
        <v>1</v>
      </c>
      <c r="F1105" t="s">
        <v>42</v>
      </c>
      <c r="G1105" t="s">
        <v>32</v>
      </c>
      <c r="H1105" t="s">
        <v>33</v>
      </c>
      <c r="I1105" t="s">
        <v>59</v>
      </c>
      <c r="O1105" s="5"/>
      <c r="P1105" s="5"/>
      <c r="Z1105" t="s">
        <v>39</v>
      </c>
    </row>
    <row r="1106" spans="1:30" x14ac:dyDescent="0.35">
      <c r="A1106" s="4">
        <v>42556</v>
      </c>
      <c r="B1106" t="s">
        <v>30</v>
      </c>
      <c r="C1106">
        <v>203</v>
      </c>
      <c r="D1106">
        <v>3</v>
      </c>
      <c r="E1106">
        <v>1</v>
      </c>
      <c r="F1106" t="s">
        <v>42</v>
      </c>
      <c r="G1106" t="s">
        <v>32</v>
      </c>
      <c r="H1106" t="s">
        <v>33</v>
      </c>
      <c r="I1106" t="s">
        <v>59</v>
      </c>
      <c r="O1106" s="5"/>
      <c r="P1106" s="5"/>
      <c r="Z1106" t="s">
        <v>39</v>
      </c>
    </row>
    <row r="1107" spans="1:30" x14ac:dyDescent="0.35">
      <c r="A1107" s="4">
        <v>42556</v>
      </c>
      <c r="B1107" t="s">
        <v>30</v>
      </c>
      <c r="C1107">
        <v>203</v>
      </c>
      <c r="D1107">
        <v>3</v>
      </c>
      <c r="E1107">
        <v>2</v>
      </c>
      <c r="F1107" t="s">
        <v>42</v>
      </c>
      <c r="G1107" t="s">
        <v>32</v>
      </c>
      <c r="H1107" t="s">
        <v>33</v>
      </c>
      <c r="I1107" t="s">
        <v>59</v>
      </c>
      <c r="O1107" s="5"/>
      <c r="P1107" s="5"/>
      <c r="Z1107" t="s">
        <v>39</v>
      </c>
    </row>
    <row r="1108" spans="1:30" x14ac:dyDescent="0.35">
      <c r="A1108" s="4">
        <v>42556</v>
      </c>
      <c r="B1108" t="s">
        <v>30</v>
      </c>
      <c r="C1108">
        <v>203</v>
      </c>
      <c r="D1108">
        <v>4</v>
      </c>
      <c r="E1108">
        <v>1</v>
      </c>
      <c r="F1108" t="s">
        <v>42</v>
      </c>
      <c r="G1108" t="s">
        <v>32</v>
      </c>
      <c r="H1108" t="s">
        <v>33</v>
      </c>
      <c r="I1108" t="s">
        <v>59</v>
      </c>
      <c r="O1108" s="5"/>
      <c r="P1108" s="5"/>
      <c r="Z1108" t="s">
        <v>39</v>
      </c>
    </row>
    <row r="1109" spans="1:30" x14ac:dyDescent="0.35">
      <c r="A1109" s="4">
        <v>42556</v>
      </c>
      <c r="B1109" t="s">
        <v>30</v>
      </c>
      <c r="C1109">
        <v>203</v>
      </c>
      <c r="D1109">
        <v>7</v>
      </c>
      <c r="E1109">
        <v>1</v>
      </c>
      <c r="F1109" t="s">
        <v>42</v>
      </c>
      <c r="G1109" t="s">
        <v>32</v>
      </c>
      <c r="H1109" t="s">
        <v>33</v>
      </c>
      <c r="I1109" t="s">
        <v>59</v>
      </c>
      <c r="O1109" s="5"/>
      <c r="P1109" s="5"/>
      <c r="Z1109" t="s">
        <v>39</v>
      </c>
    </row>
    <row r="1110" spans="1:30" x14ac:dyDescent="0.35">
      <c r="A1110" s="4">
        <v>42556</v>
      </c>
      <c r="B1110" t="s">
        <v>30</v>
      </c>
      <c r="C1110">
        <v>203</v>
      </c>
      <c r="D1110">
        <v>7</v>
      </c>
      <c r="E1110">
        <v>2</v>
      </c>
      <c r="F1110" t="s">
        <v>42</v>
      </c>
      <c r="G1110" t="s">
        <v>32</v>
      </c>
      <c r="H1110" t="s">
        <v>33</v>
      </c>
      <c r="I1110" t="s">
        <v>59</v>
      </c>
      <c r="O1110" s="5"/>
      <c r="P1110" s="5"/>
      <c r="Z1110" t="s">
        <v>39</v>
      </c>
    </row>
    <row r="1111" spans="1:30" x14ac:dyDescent="0.35">
      <c r="A1111" s="4">
        <v>42556</v>
      </c>
      <c r="B1111" t="s">
        <v>30</v>
      </c>
      <c r="C1111">
        <v>202</v>
      </c>
      <c r="D1111">
        <v>2</v>
      </c>
      <c r="E1111">
        <v>1</v>
      </c>
      <c r="F1111" t="s">
        <v>42</v>
      </c>
      <c r="G1111" t="s">
        <v>32</v>
      </c>
      <c r="H1111" t="s">
        <v>33</v>
      </c>
      <c r="I1111" t="s">
        <v>59</v>
      </c>
      <c r="O1111" s="5"/>
      <c r="P1111" s="5"/>
      <c r="Z1111" t="s">
        <v>39</v>
      </c>
    </row>
    <row r="1112" spans="1:30" x14ac:dyDescent="0.35">
      <c r="A1112" s="4">
        <v>42556</v>
      </c>
      <c r="B1112" t="s">
        <v>30</v>
      </c>
      <c r="C1112">
        <v>202</v>
      </c>
      <c r="D1112">
        <v>3</v>
      </c>
      <c r="E1112">
        <v>1</v>
      </c>
      <c r="F1112" t="s">
        <v>42</v>
      </c>
      <c r="G1112" t="s">
        <v>32</v>
      </c>
      <c r="H1112" t="s">
        <v>33</v>
      </c>
      <c r="I1112" t="s">
        <v>59</v>
      </c>
      <c r="O1112" s="5"/>
      <c r="P1112" s="5"/>
      <c r="Z1112" t="s">
        <v>39</v>
      </c>
    </row>
    <row r="1113" spans="1:30" x14ac:dyDescent="0.35">
      <c r="A1113" s="4">
        <v>42556</v>
      </c>
      <c r="B1113" t="s">
        <v>30</v>
      </c>
      <c r="C1113">
        <v>202</v>
      </c>
      <c r="D1113">
        <v>3</v>
      </c>
      <c r="E1113">
        <v>2</v>
      </c>
      <c r="F1113" t="s">
        <v>42</v>
      </c>
      <c r="G1113" t="s">
        <v>32</v>
      </c>
      <c r="H1113" t="s">
        <v>33</v>
      </c>
      <c r="I1113" t="s">
        <v>59</v>
      </c>
      <c r="O1113" s="5"/>
      <c r="P1113" s="5"/>
      <c r="Z1113" t="s">
        <v>39</v>
      </c>
    </row>
    <row r="1114" spans="1:30" x14ac:dyDescent="0.35">
      <c r="A1114" s="4">
        <v>42556</v>
      </c>
      <c r="B1114" t="s">
        <v>30</v>
      </c>
      <c r="C1114">
        <v>202</v>
      </c>
      <c r="D1114">
        <v>4</v>
      </c>
      <c r="E1114">
        <v>1</v>
      </c>
      <c r="F1114" t="s">
        <v>42</v>
      </c>
      <c r="G1114" t="s">
        <v>32</v>
      </c>
      <c r="H1114" t="s">
        <v>33</v>
      </c>
      <c r="I1114" t="s">
        <v>59</v>
      </c>
      <c r="O1114" s="5"/>
      <c r="P1114" s="5"/>
      <c r="Z1114" t="s">
        <v>39</v>
      </c>
    </row>
    <row r="1115" spans="1:30" x14ac:dyDescent="0.35">
      <c r="A1115" s="4">
        <v>42556</v>
      </c>
      <c r="B1115" t="s">
        <v>30</v>
      </c>
      <c r="C1115">
        <v>202</v>
      </c>
      <c r="D1115">
        <v>6</v>
      </c>
      <c r="E1115">
        <v>1</v>
      </c>
      <c r="F1115" t="s">
        <v>42</v>
      </c>
      <c r="G1115" t="s">
        <v>32</v>
      </c>
      <c r="H1115" t="s">
        <v>33</v>
      </c>
      <c r="I1115" t="s">
        <v>59</v>
      </c>
      <c r="O1115" s="5"/>
      <c r="P1115" s="5"/>
      <c r="Z1115" t="s">
        <v>39</v>
      </c>
    </row>
    <row r="1116" spans="1:30" x14ac:dyDescent="0.35">
      <c r="A1116" s="4">
        <v>42556</v>
      </c>
      <c r="B1116" t="s">
        <v>30</v>
      </c>
      <c r="C1116">
        <v>304</v>
      </c>
      <c r="D1116">
        <v>1</v>
      </c>
      <c r="E1116">
        <v>2</v>
      </c>
      <c r="F1116" t="s">
        <v>42</v>
      </c>
      <c r="G1116" t="s">
        <v>32</v>
      </c>
      <c r="H1116" t="s">
        <v>33</v>
      </c>
      <c r="I1116" t="s">
        <v>59</v>
      </c>
      <c r="O1116" s="5"/>
      <c r="P1116" s="5"/>
      <c r="Z1116" t="s">
        <v>39</v>
      </c>
    </row>
    <row r="1117" spans="1:30" x14ac:dyDescent="0.35">
      <c r="A1117" s="4">
        <v>42556</v>
      </c>
      <c r="B1117" t="s">
        <v>30</v>
      </c>
      <c r="C1117">
        <v>304</v>
      </c>
      <c r="D1117">
        <v>4</v>
      </c>
      <c r="E1117">
        <v>1</v>
      </c>
      <c r="F1117" t="s">
        <v>42</v>
      </c>
      <c r="G1117" t="s">
        <v>32</v>
      </c>
      <c r="H1117" t="s">
        <v>33</v>
      </c>
      <c r="I1117" t="s">
        <v>59</v>
      </c>
      <c r="O1117" s="5"/>
      <c r="P1117" s="5"/>
      <c r="Z1117" t="s">
        <v>39</v>
      </c>
    </row>
    <row r="1118" spans="1:30" x14ac:dyDescent="0.35">
      <c r="A1118" s="4">
        <v>42556</v>
      </c>
      <c r="B1118" t="s">
        <v>30</v>
      </c>
      <c r="C1118">
        <v>112</v>
      </c>
      <c r="D1118">
        <v>6</v>
      </c>
      <c r="E1118">
        <v>1</v>
      </c>
      <c r="F1118" t="s">
        <v>31</v>
      </c>
      <c r="G1118" t="s">
        <v>32</v>
      </c>
      <c r="H1118" t="s">
        <v>33</v>
      </c>
      <c r="I1118" t="s">
        <v>94</v>
      </c>
      <c r="J1118" t="s">
        <v>44</v>
      </c>
      <c r="K1118" t="s">
        <v>36</v>
      </c>
      <c r="L1118" t="s">
        <v>37</v>
      </c>
      <c r="M1118">
        <v>0</v>
      </c>
      <c r="N1118">
        <v>0</v>
      </c>
      <c r="O1118" s="5">
        <v>50495</v>
      </c>
      <c r="P1118" s="5"/>
      <c r="Q1118">
        <f>28-9</f>
        <v>19</v>
      </c>
      <c r="R1118" t="s">
        <v>38</v>
      </c>
      <c r="T1118">
        <v>30</v>
      </c>
      <c r="Z1118" t="s">
        <v>39</v>
      </c>
      <c r="AB1118" t="s">
        <v>60</v>
      </c>
      <c r="AC1118" t="s">
        <v>41</v>
      </c>
      <c r="AD1118" t="s">
        <v>148</v>
      </c>
    </row>
    <row r="1119" spans="1:30" x14ac:dyDescent="0.35">
      <c r="A1119" s="4">
        <v>42556</v>
      </c>
      <c r="B1119" t="s">
        <v>30</v>
      </c>
      <c r="C1119">
        <v>203</v>
      </c>
      <c r="D1119">
        <v>4</v>
      </c>
      <c r="E1119">
        <v>2</v>
      </c>
      <c r="F1119" t="s">
        <v>42</v>
      </c>
      <c r="G1119" t="s">
        <v>32</v>
      </c>
      <c r="H1119" t="s">
        <v>33</v>
      </c>
      <c r="I1119" t="s">
        <v>94</v>
      </c>
      <c r="J1119" t="s">
        <v>35</v>
      </c>
      <c r="K1119" t="s">
        <v>36</v>
      </c>
      <c r="L1119" t="s">
        <v>45</v>
      </c>
      <c r="M1119">
        <v>0</v>
      </c>
      <c r="N1119">
        <v>1</v>
      </c>
      <c r="O1119" s="5">
        <v>50631</v>
      </c>
      <c r="P1119" s="5"/>
      <c r="Q1119">
        <v>21.5</v>
      </c>
      <c r="R1119" t="s">
        <v>74</v>
      </c>
      <c r="S1119" t="s">
        <v>102</v>
      </c>
      <c r="T1119">
        <v>28</v>
      </c>
      <c r="W1119">
        <v>12</v>
      </c>
      <c r="X1119">
        <v>27.5</v>
      </c>
      <c r="Z1119" t="s">
        <v>39</v>
      </c>
      <c r="AB1119" t="s">
        <v>47</v>
      </c>
      <c r="AC1119" t="s">
        <v>41</v>
      </c>
    </row>
    <row r="1120" spans="1:30" x14ac:dyDescent="0.35">
      <c r="A1120" s="4">
        <v>42556</v>
      </c>
      <c r="B1120" t="s">
        <v>30</v>
      </c>
      <c r="C1120">
        <v>203</v>
      </c>
      <c r="D1120">
        <v>8</v>
      </c>
      <c r="E1120">
        <v>2</v>
      </c>
      <c r="F1120" t="s">
        <v>42</v>
      </c>
      <c r="G1120" t="s">
        <v>32</v>
      </c>
      <c r="H1120" t="s">
        <v>33</v>
      </c>
      <c r="I1120" t="s">
        <v>94</v>
      </c>
      <c r="J1120" t="s">
        <v>35</v>
      </c>
      <c r="K1120" t="s">
        <v>36</v>
      </c>
      <c r="M1120">
        <v>0</v>
      </c>
      <c r="N1120">
        <v>1</v>
      </c>
      <c r="O1120" s="5">
        <v>50635</v>
      </c>
      <c r="P1120" s="5"/>
      <c r="Q1120">
        <f>31-9.5</f>
        <v>21.5</v>
      </c>
      <c r="Z1120" t="s">
        <v>39</v>
      </c>
      <c r="AB1120" t="s">
        <v>47</v>
      </c>
      <c r="AC1120" t="s">
        <v>41</v>
      </c>
    </row>
    <row r="1121" spans="1:30" x14ac:dyDescent="0.35">
      <c r="A1121" s="4">
        <v>42556</v>
      </c>
      <c r="B1121" t="s">
        <v>30</v>
      </c>
      <c r="C1121">
        <v>402</v>
      </c>
      <c r="D1121">
        <v>8</v>
      </c>
      <c r="E1121">
        <v>2</v>
      </c>
      <c r="F1121" t="s">
        <v>31</v>
      </c>
      <c r="G1121" t="s">
        <v>32</v>
      </c>
      <c r="H1121" t="s">
        <v>33</v>
      </c>
      <c r="I1121" t="s">
        <v>94</v>
      </c>
      <c r="J1121" t="s">
        <v>35</v>
      </c>
      <c r="K1121" t="s">
        <v>36</v>
      </c>
      <c r="L1121" t="s">
        <v>45</v>
      </c>
      <c r="M1121">
        <v>0</v>
      </c>
      <c r="N1121">
        <v>1</v>
      </c>
      <c r="O1121" s="5"/>
      <c r="P1121" s="5">
        <v>50554</v>
      </c>
      <c r="Q1121">
        <f>34.5-11.5</f>
        <v>23</v>
      </c>
      <c r="R1121" t="s">
        <v>145</v>
      </c>
      <c r="S1121" t="s">
        <v>102</v>
      </c>
      <c r="T1121">
        <v>30.5</v>
      </c>
      <c r="Z1121" t="s">
        <v>39</v>
      </c>
      <c r="AB1121" t="s">
        <v>60</v>
      </c>
      <c r="AC1121" t="s">
        <v>41</v>
      </c>
    </row>
    <row r="1122" spans="1:30" x14ac:dyDescent="0.35">
      <c r="A1122" s="4">
        <v>42557</v>
      </c>
      <c r="B1122" t="s">
        <v>30</v>
      </c>
      <c r="C1122">
        <v>201</v>
      </c>
      <c r="D1122">
        <v>1</v>
      </c>
      <c r="E1122">
        <v>1</v>
      </c>
      <c r="F1122" t="s">
        <v>42</v>
      </c>
      <c r="G1122" t="s">
        <v>32</v>
      </c>
      <c r="H1122" t="s">
        <v>33</v>
      </c>
      <c r="I1122" t="s">
        <v>43</v>
      </c>
      <c r="J1122" t="s">
        <v>44</v>
      </c>
      <c r="K1122" t="s">
        <v>36</v>
      </c>
      <c r="L1122" t="s">
        <v>37</v>
      </c>
      <c r="M1122">
        <v>0</v>
      </c>
      <c r="N1122">
        <v>0</v>
      </c>
      <c r="O1122" s="5">
        <v>50335</v>
      </c>
      <c r="P1122" s="5">
        <v>50334</v>
      </c>
      <c r="Q1122">
        <v>21</v>
      </c>
      <c r="R1122" t="s">
        <v>38</v>
      </c>
      <c r="T1122">
        <v>19</v>
      </c>
      <c r="U1122">
        <v>87</v>
      </c>
      <c r="V1122">
        <v>16</v>
      </c>
      <c r="W1122">
        <v>13.5</v>
      </c>
      <c r="X1122">
        <v>27.6</v>
      </c>
      <c r="Z1122" t="s">
        <v>39</v>
      </c>
      <c r="AB1122" t="s">
        <v>47</v>
      </c>
      <c r="AC1122" t="s">
        <v>87</v>
      </c>
    </row>
    <row r="1123" spans="1:30" x14ac:dyDescent="0.35">
      <c r="A1123" s="4">
        <v>42557</v>
      </c>
      <c r="B1123" t="s">
        <v>30</v>
      </c>
      <c r="C1123">
        <v>111</v>
      </c>
      <c r="D1123">
        <v>8</v>
      </c>
      <c r="E1123">
        <v>1</v>
      </c>
      <c r="F1123" t="s">
        <v>31</v>
      </c>
      <c r="G1123" t="s">
        <v>32</v>
      </c>
      <c r="H1123" t="s">
        <v>33</v>
      </c>
      <c r="I1123" t="s">
        <v>43</v>
      </c>
      <c r="J1123" t="s">
        <v>44</v>
      </c>
      <c r="K1123" t="s">
        <v>36</v>
      </c>
      <c r="L1123" t="s">
        <v>45</v>
      </c>
      <c r="M1123">
        <v>0</v>
      </c>
      <c r="N1123">
        <v>0</v>
      </c>
      <c r="O1123" s="5">
        <v>50348</v>
      </c>
      <c r="P1123" s="5">
        <v>50347</v>
      </c>
      <c r="Q1123">
        <f>32-11</f>
        <v>21</v>
      </c>
      <c r="R1123" t="s">
        <v>161</v>
      </c>
      <c r="S1123" t="s">
        <v>102</v>
      </c>
      <c r="T1123">
        <v>19</v>
      </c>
      <c r="U1123">
        <v>82</v>
      </c>
      <c r="V1123">
        <v>15</v>
      </c>
      <c r="W1123">
        <v>12.5</v>
      </c>
      <c r="X1123">
        <v>26.3</v>
      </c>
      <c r="Z1123" t="s">
        <v>39</v>
      </c>
      <c r="AB1123" t="s">
        <v>47</v>
      </c>
      <c r="AC1123" t="s">
        <v>87</v>
      </c>
    </row>
    <row r="1124" spans="1:30" x14ac:dyDescent="0.35">
      <c r="A1124" s="4">
        <v>42557</v>
      </c>
      <c r="B1124" t="s">
        <v>30</v>
      </c>
      <c r="C1124">
        <v>201</v>
      </c>
      <c r="D1124">
        <v>7</v>
      </c>
      <c r="E1124">
        <v>1</v>
      </c>
      <c r="F1124" t="s">
        <v>42</v>
      </c>
      <c r="G1124" t="s">
        <v>32</v>
      </c>
      <c r="H1124" t="s">
        <v>33</v>
      </c>
      <c r="I1124" t="s">
        <v>43</v>
      </c>
      <c r="J1124" t="s">
        <v>44</v>
      </c>
      <c r="K1124" t="s">
        <v>113</v>
      </c>
      <c r="L1124" t="s">
        <v>37</v>
      </c>
      <c r="M1124">
        <v>0</v>
      </c>
      <c r="N1124">
        <v>0</v>
      </c>
      <c r="O1124" s="5">
        <v>50409</v>
      </c>
      <c r="P1124" s="5">
        <v>50408</v>
      </c>
      <c r="Q1124">
        <f>30-11</f>
        <v>19</v>
      </c>
      <c r="R1124" t="s">
        <v>38</v>
      </c>
      <c r="T1124">
        <v>20</v>
      </c>
      <c r="U1124">
        <v>89</v>
      </c>
      <c r="V1124">
        <v>17</v>
      </c>
      <c r="Z1124" t="s">
        <v>39</v>
      </c>
      <c r="AB1124" t="s">
        <v>47</v>
      </c>
      <c r="AC1124" t="s">
        <v>87</v>
      </c>
      <c r="AD1124" t="s">
        <v>186</v>
      </c>
    </row>
    <row r="1125" spans="1:30" x14ac:dyDescent="0.35">
      <c r="A1125" s="4">
        <v>42557</v>
      </c>
      <c r="B1125" t="s">
        <v>30</v>
      </c>
      <c r="C1125">
        <v>202</v>
      </c>
      <c r="D1125">
        <v>2</v>
      </c>
      <c r="E1125">
        <v>2</v>
      </c>
      <c r="F1125" t="s">
        <v>42</v>
      </c>
      <c r="G1125" t="s">
        <v>32</v>
      </c>
      <c r="H1125" t="s">
        <v>33</v>
      </c>
      <c r="I1125" t="s">
        <v>43</v>
      </c>
      <c r="J1125" t="s">
        <v>44</v>
      </c>
      <c r="K1125" t="s">
        <v>36</v>
      </c>
      <c r="L1125" t="s">
        <v>37</v>
      </c>
      <c r="M1125">
        <v>0</v>
      </c>
      <c r="N1125">
        <v>0</v>
      </c>
      <c r="O1125" s="5">
        <v>50410</v>
      </c>
      <c r="P1125" s="5">
        <v>50412</v>
      </c>
      <c r="Q1125">
        <f>33-10</f>
        <v>23</v>
      </c>
      <c r="R1125" t="s">
        <v>64</v>
      </c>
      <c r="T1125">
        <v>18</v>
      </c>
      <c r="U1125">
        <v>100</v>
      </c>
      <c r="V1125">
        <v>15.5</v>
      </c>
      <c r="W1125">
        <v>13.1</v>
      </c>
      <c r="X1125">
        <v>29.7</v>
      </c>
      <c r="Z1125" t="s">
        <v>39</v>
      </c>
      <c r="AB1125" t="s">
        <v>47</v>
      </c>
      <c r="AC1125" t="s">
        <v>87</v>
      </c>
    </row>
    <row r="1126" spans="1:30" x14ac:dyDescent="0.35">
      <c r="A1126" s="4">
        <v>42557</v>
      </c>
      <c r="B1126" t="s">
        <v>30</v>
      </c>
      <c r="C1126">
        <v>201</v>
      </c>
      <c r="D1126">
        <v>1</v>
      </c>
      <c r="E1126">
        <v>2</v>
      </c>
      <c r="F1126" t="s">
        <v>42</v>
      </c>
      <c r="G1126" t="s">
        <v>32</v>
      </c>
      <c r="H1126" t="s">
        <v>33</v>
      </c>
      <c r="I1126" t="s">
        <v>43</v>
      </c>
      <c r="J1126" t="s">
        <v>44</v>
      </c>
      <c r="K1126" t="s">
        <v>113</v>
      </c>
      <c r="L1126" t="s">
        <v>45</v>
      </c>
      <c r="M1126">
        <v>0</v>
      </c>
      <c r="N1126">
        <v>0</v>
      </c>
      <c r="O1126" s="5">
        <v>50417</v>
      </c>
      <c r="P1126" s="5">
        <v>50416</v>
      </c>
      <c r="Q1126">
        <v>20</v>
      </c>
      <c r="R1126" t="s">
        <v>79</v>
      </c>
      <c r="S1126" t="s">
        <v>39</v>
      </c>
      <c r="T1126">
        <v>18</v>
      </c>
      <c r="U1126">
        <v>81</v>
      </c>
      <c r="V1126">
        <v>15</v>
      </c>
      <c r="W1126">
        <v>12.7</v>
      </c>
      <c r="X1126">
        <v>27.7</v>
      </c>
      <c r="Z1126" t="s">
        <v>39</v>
      </c>
      <c r="AB1126" t="s">
        <v>47</v>
      </c>
      <c r="AC1126" t="s">
        <v>87</v>
      </c>
    </row>
    <row r="1127" spans="1:30" x14ac:dyDescent="0.35">
      <c r="A1127" s="4">
        <v>42557</v>
      </c>
      <c r="B1127" t="s">
        <v>30</v>
      </c>
      <c r="C1127">
        <v>304</v>
      </c>
      <c r="D1127">
        <v>2</v>
      </c>
      <c r="E1127">
        <v>1</v>
      </c>
      <c r="F1127" t="s">
        <v>31</v>
      </c>
      <c r="G1127" t="s">
        <v>32</v>
      </c>
      <c r="H1127" t="s">
        <v>33</v>
      </c>
      <c r="I1127" t="s">
        <v>43</v>
      </c>
      <c r="J1127" t="s">
        <v>44</v>
      </c>
      <c r="K1127" t="s">
        <v>36</v>
      </c>
      <c r="L1127" t="s">
        <v>45</v>
      </c>
      <c r="M1127">
        <v>0</v>
      </c>
      <c r="N1127">
        <v>0</v>
      </c>
      <c r="O1127" s="5">
        <v>50428</v>
      </c>
      <c r="P1127" s="5">
        <v>50427</v>
      </c>
      <c r="Q1127">
        <f>30-11.5</f>
        <v>18.5</v>
      </c>
      <c r="R1127" t="s">
        <v>161</v>
      </c>
      <c r="S1127" t="s">
        <v>102</v>
      </c>
      <c r="T1127">
        <v>19</v>
      </c>
      <c r="U1127">
        <v>95</v>
      </c>
      <c r="V1127">
        <v>16</v>
      </c>
      <c r="W1127">
        <v>12.6</v>
      </c>
      <c r="X1127">
        <v>28.6</v>
      </c>
      <c r="Z1127" t="s">
        <v>39</v>
      </c>
      <c r="AB1127" t="s">
        <v>47</v>
      </c>
      <c r="AC1127" t="s">
        <v>87</v>
      </c>
    </row>
    <row r="1128" spans="1:30" x14ac:dyDescent="0.35">
      <c r="A1128" s="4">
        <v>42557</v>
      </c>
      <c r="B1128" t="s">
        <v>30</v>
      </c>
      <c r="C1128">
        <v>113</v>
      </c>
      <c r="D1128">
        <v>9</v>
      </c>
      <c r="E1128">
        <v>1</v>
      </c>
      <c r="F1128" t="s">
        <v>31</v>
      </c>
      <c r="G1128" t="s">
        <v>32</v>
      </c>
      <c r="H1128" t="s">
        <v>33</v>
      </c>
      <c r="I1128" t="s">
        <v>43</v>
      </c>
      <c r="J1128" t="s">
        <v>44</v>
      </c>
      <c r="K1128" t="s">
        <v>113</v>
      </c>
      <c r="L1128" t="s">
        <v>45</v>
      </c>
      <c r="M1128">
        <v>0</v>
      </c>
      <c r="N1128">
        <v>0</v>
      </c>
      <c r="O1128" s="5">
        <v>50474</v>
      </c>
      <c r="P1128" s="5">
        <v>50473</v>
      </c>
      <c r="Q1128">
        <v>17</v>
      </c>
      <c r="R1128" t="s">
        <v>161</v>
      </c>
      <c r="S1128" t="s">
        <v>102</v>
      </c>
      <c r="T1128">
        <v>18</v>
      </c>
      <c r="U1128">
        <v>78</v>
      </c>
      <c r="V1128">
        <v>14</v>
      </c>
      <c r="W1128">
        <v>12.5</v>
      </c>
      <c r="X1128">
        <v>25.9</v>
      </c>
      <c r="Z1128" t="s">
        <v>39</v>
      </c>
      <c r="AB1128" t="s">
        <v>47</v>
      </c>
      <c r="AC1128" t="s">
        <v>87</v>
      </c>
      <c r="AD1128" t="s">
        <v>187</v>
      </c>
    </row>
    <row r="1129" spans="1:30" x14ac:dyDescent="0.35">
      <c r="A1129" s="4">
        <v>42557</v>
      </c>
      <c r="B1129" t="s">
        <v>30</v>
      </c>
      <c r="C1129">
        <v>203</v>
      </c>
      <c r="D1129">
        <v>9</v>
      </c>
      <c r="E1129">
        <v>2</v>
      </c>
      <c r="F1129" t="s">
        <v>42</v>
      </c>
      <c r="G1129" t="s">
        <v>32</v>
      </c>
      <c r="H1129" t="s">
        <v>33</v>
      </c>
      <c r="I1129" t="s">
        <v>43</v>
      </c>
      <c r="J1129" t="s">
        <v>44</v>
      </c>
      <c r="K1129" t="s">
        <v>36</v>
      </c>
      <c r="L1129" t="s">
        <v>37</v>
      </c>
      <c r="M1129">
        <v>0</v>
      </c>
      <c r="N1129">
        <v>0</v>
      </c>
      <c r="O1129" s="5">
        <v>50491</v>
      </c>
      <c r="P1129" s="5">
        <v>50357</v>
      </c>
      <c r="Q1129">
        <f>33-12</f>
        <v>21</v>
      </c>
      <c r="R1129" t="s">
        <v>38</v>
      </c>
      <c r="T1129">
        <v>20</v>
      </c>
      <c r="U1129">
        <v>100</v>
      </c>
      <c r="V1129">
        <v>14</v>
      </c>
      <c r="W1129">
        <v>13.3</v>
      </c>
      <c r="X1129">
        <v>29.5</v>
      </c>
      <c r="Z1129" t="s">
        <v>39</v>
      </c>
      <c r="AB1129" t="s">
        <v>47</v>
      </c>
      <c r="AC1129" t="s">
        <v>87</v>
      </c>
    </row>
    <row r="1130" spans="1:30" x14ac:dyDescent="0.35">
      <c r="A1130" s="4">
        <v>42557</v>
      </c>
      <c r="B1130" t="s">
        <v>30</v>
      </c>
      <c r="C1130">
        <v>111</v>
      </c>
      <c r="D1130">
        <v>4</v>
      </c>
      <c r="E1130">
        <v>1</v>
      </c>
      <c r="F1130" t="s">
        <v>31</v>
      </c>
      <c r="G1130" t="s">
        <v>32</v>
      </c>
      <c r="H1130" t="s">
        <v>33</v>
      </c>
      <c r="I1130" t="s">
        <v>43</v>
      </c>
      <c r="J1130" t="s">
        <v>44</v>
      </c>
      <c r="K1130" t="s">
        <v>88</v>
      </c>
      <c r="L1130" t="s">
        <v>37</v>
      </c>
      <c r="M1130">
        <v>0</v>
      </c>
      <c r="N1130">
        <v>0</v>
      </c>
      <c r="O1130" s="5">
        <v>50530</v>
      </c>
      <c r="P1130" s="5">
        <v>50529</v>
      </c>
      <c r="R1130" t="s">
        <v>64</v>
      </c>
      <c r="T1130">
        <v>19</v>
      </c>
      <c r="U1130">
        <v>78</v>
      </c>
      <c r="V1130">
        <v>14</v>
      </c>
      <c r="W1130">
        <v>12.3</v>
      </c>
      <c r="X1130">
        <v>26.2</v>
      </c>
      <c r="Z1130" t="s">
        <v>39</v>
      </c>
      <c r="AB1130" t="s">
        <v>47</v>
      </c>
      <c r="AC1130" t="s">
        <v>87</v>
      </c>
    </row>
    <row r="1131" spans="1:30" x14ac:dyDescent="0.35">
      <c r="A1131" s="4">
        <v>42557</v>
      </c>
      <c r="B1131" t="s">
        <v>30</v>
      </c>
      <c r="C1131">
        <v>202</v>
      </c>
      <c r="D1131">
        <v>8</v>
      </c>
      <c r="E1131">
        <v>1</v>
      </c>
      <c r="F1131" t="s">
        <v>42</v>
      </c>
      <c r="G1131" t="s">
        <v>32</v>
      </c>
      <c r="H1131" t="s">
        <v>33</v>
      </c>
      <c r="I1131" t="s">
        <v>43</v>
      </c>
      <c r="J1131" t="s">
        <v>48</v>
      </c>
      <c r="K1131" t="s">
        <v>36</v>
      </c>
      <c r="L1131" t="s">
        <v>45</v>
      </c>
      <c r="M1131">
        <v>1</v>
      </c>
      <c r="N1131">
        <v>0</v>
      </c>
      <c r="O1131" s="5">
        <v>50545</v>
      </c>
      <c r="P1131" s="5">
        <v>50652</v>
      </c>
      <c r="Q1131">
        <f>32-13.5</f>
        <v>18.5</v>
      </c>
      <c r="R1131" t="s">
        <v>74</v>
      </c>
      <c r="S1131" t="s">
        <v>102</v>
      </c>
      <c r="T1131">
        <v>17</v>
      </c>
      <c r="U1131">
        <v>92</v>
      </c>
      <c r="V1131">
        <v>15</v>
      </c>
      <c r="W1131">
        <v>12.4</v>
      </c>
      <c r="X1131">
        <v>28.2</v>
      </c>
      <c r="Z1131" t="s">
        <v>39</v>
      </c>
      <c r="AB1131" t="s">
        <v>47</v>
      </c>
      <c r="AC1131" t="s">
        <v>87</v>
      </c>
    </row>
    <row r="1132" spans="1:30" x14ac:dyDescent="0.35">
      <c r="A1132" s="4">
        <v>42557</v>
      </c>
      <c r="B1132" t="s">
        <v>30</v>
      </c>
      <c r="C1132">
        <v>402</v>
      </c>
      <c r="D1132">
        <v>7</v>
      </c>
      <c r="E1132">
        <v>2</v>
      </c>
      <c r="F1132" t="s">
        <v>31</v>
      </c>
      <c r="G1132" t="s">
        <v>32</v>
      </c>
      <c r="H1132" t="s">
        <v>33</v>
      </c>
      <c r="I1132" t="s">
        <v>43</v>
      </c>
      <c r="J1132" t="s">
        <v>44</v>
      </c>
      <c r="K1132" t="s">
        <v>88</v>
      </c>
      <c r="L1132" t="s">
        <v>37</v>
      </c>
      <c r="M1132">
        <v>0</v>
      </c>
      <c r="N1132">
        <v>0</v>
      </c>
      <c r="O1132" s="5">
        <v>50553</v>
      </c>
      <c r="P1132" s="5">
        <v>50552</v>
      </c>
      <c r="Q1132">
        <f>26-11.5</f>
        <v>14.5</v>
      </c>
      <c r="R1132" t="s">
        <v>64</v>
      </c>
      <c r="T1132">
        <v>19</v>
      </c>
      <c r="U1132">
        <v>73</v>
      </c>
      <c r="V1132">
        <v>10</v>
      </c>
      <c r="W1132">
        <v>12.3</v>
      </c>
      <c r="X1132">
        <v>25.9</v>
      </c>
      <c r="Y1132" t="s">
        <v>188</v>
      </c>
      <c r="Z1132" t="s">
        <v>39</v>
      </c>
      <c r="AB1132" t="s">
        <v>47</v>
      </c>
      <c r="AC1132" t="s">
        <v>87</v>
      </c>
    </row>
    <row r="1133" spans="1:30" x14ac:dyDescent="0.35">
      <c r="A1133" s="4">
        <v>42557</v>
      </c>
      <c r="B1133" t="s">
        <v>30</v>
      </c>
      <c r="C1133">
        <v>111</v>
      </c>
      <c r="D1133">
        <v>9</v>
      </c>
      <c r="E1133">
        <v>1</v>
      </c>
      <c r="F1133" t="s">
        <v>31</v>
      </c>
      <c r="G1133" t="s">
        <v>32</v>
      </c>
      <c r="H1133" t="s">
        <v>33</v>
      </c>
      <c r="I1133" t="s">
        <v>43</v>
      </c>
      <c r="J1133" t="s">
        <v>35</v>
      </c>
      <c r="K1133" t="s">
        <v>88</v>
      </c>
      <c r="L1133" t="s">
        <v>37</v>
      </c>
      <c r="M1133">
        <v>0</v>
      </c>
      <c r="N1133">
        <v>1</v>
      </c>
      <c r="O1133" s="5">
        <v>50557</v>
      </c>
      <c r="P1133" s="5">
        <v>50556</v>
      </c>
      <c r="Q1133">
        <v>13.5</v>
      </c>
      <c r="R1133" t="s">
        <v>64</v>
      </c>
      <c r="T1133">
        <v>19</v>
      </c>
      <c r="U1133">
        <v>70</v>
      </c>
      <c r="V1133">
        <v>13</v>
      </c>
      <c r="W1133">
        <v>12.7</v>
      </c>
      <c r="X1133">
        <v>24.5</v>
      </c>
      <c r="Z1133" t="s">
        <v>39</v>
      </c>
      <c r="AB1133" t="s">
        <v>47</v>
      </c>
      <c r="AC1133" t="s">
        <v>87</v>
      </c>
    </row>
    <row r="1134" spans="1:30" x14ac:dyDescent="0.35">
      <c r="A1134" s="4">
        <v>42557</v>
      </c>
      <c r="B1134" t="s">
        <v>30</v>
      </c>
      <c r="C1134">
        <v>113</v>
      </c>
      <c r="D1134">
        <v>10</v>
      </c>
      <c r="E1134">
        <v>1</v>
      </c>
      <c r="F1134" t="s">
        <v>31</v>
      </c>
      <c r="G1134" t="s">
        <v>32</v>
      </c>
      <c r="H1134" t="s">
        <v>33</v>
      </c>
      <c r="I1134" t="s">
        <v>43</v>
      </c>
      <c r="J1134" t="s">
        <v>35</v>
      </c>
      <c r="K1134" t="s">
        <v>36</v>
      </c>
      <c r="L1134" t="s">
        <v>37</v>
      </c>
      <c r="M1134">
        <v>0</v>
      </c>
      <c r="N1134">
        <v>1</v>
      </c>
      <c r="O1134" s="5">
        <v>50559</v>
      </c>
      <c r="P1134" s="5">
        <v>50558</v>
      </c>
      <c r="Q1134">
        <f>31-10</f>
        <v>21</v>
      </c>
      <c r="R1134" t="s">
        <v>38</v>
      </c>
      <c r="T1134">
        <v>21</v>
      </c>
      <c r="U1134">
        <v>79</v>
      </c>
      <c r="V1134">
        <v>16</v>
      </c>
      <c r="W1134">
        <v>13.1</v>
      </c>
      <c r="X1134">
        <v>28.4</v>
      </c>
      <c r="Y1134" t="s">
        <v>189</v>
      </c>
      <c r="Z1134" t="s">
        <v>39</v>
      </c>
      <c r="AB1134" t="s">
        <v>47</v>
      </c>
      <c r="AC1134" t="s">
        <v>87</v>
      </c>
      <c r="AD1134" t="s">
        <v>190</v>
      </c>
    </row>
    <row r="1135" spans="1:30" x14ac:dyDescent="0.35">
      <c r="A1135" s="4">
        <v>42557</v>
      </c>
      <c r="B1135" t="s">
        <v>30</v>
      </c>
      <c r="C1135">
        <v>304</v>
      </c>
      <c r="D1135">
        <v>10</v>
      </c>
      <c r="E1135">
        <v>1</v>
      </c>
      <c r="F1135" t="s">
        <v>31</v>
      </c>
      <c r="G1135" t="s">
        <v>32</v>
      </c>
      <c r="H1135" t="s">
        <v>33</v>
      </c>
      <c r="I1135" t="s">
        <v>43</v>
      </c>
      <c r="J1135" t="s">
        <v>35</v>
      </c>
      <c r="K1135" t="s">
        <v>88</v>
      </c>
      <c r="L1135" t="s">
        <v>45</v>
      </c>
      <c r="M1135">
        <v>0</v>
      </c>
      <c r="N1135">
        <v>1</v>
      </c>
      <c r="O1135" s="5">
        <v>50562</v>
      </c>
      <c r="P1135" s="5">
        <v>50561</v>
      </c>
      <c r="Q1135">
        <f>28-14</f>
        <v>14</v>
      </c>
      <c r="R1135" t="s">
        <v>46</v>
      </c>
      <c r="S1135" t="s">
        <v>39</v>
      </c>
      <c r="T1135">
        <v>18</v>
      </c>
      <c r="U1135">
        <v>80</v>
      </c>
      <c r="V1135">
        <v>14</v>
      </c>
      <c r="W1135">
        <v>12.6</v>
      </c>
      <c r="X1135">
        <v>26</v>
      </c>
      <c r="Z1135" t="s">
        <v>39</v>
      </c>
      <c r="AB1135" t="s">
        <v>47</v>
      </c>
      <c r="AC1135" t="s">
        <v>87</v>
      </c>
    </row>
    <row r="1136" spans="1:30" x14ac:dyDescent="0.35">
      <c r="A1136" s="4">
        <v>42557</v>
      </c>
      <c r="B1136" t="s">
        <v>30</v>
      </c>
      <c r="C1136">
        <v>304</v>
      </c>
      <c r="D1136">
        <v>5</v>
      </c>
      <c r="E1136">
        <v>1</v>
      </c>
      <c r="F1136" t="s">
        <v>31</v>
      </c>
      <c r="G1136" t="s">
        <v>32</v>
      </c>
      <c r="H1136" t="s">
        <v>33</v>
      </c>
      <c r="I1136" t="s">
        <v>43</v>
      </c>
      <c r="J1136" t="s">
        <v>35</v>
      </c>
      <c r="K1136" t="s">
        <v>88</v>
      </c>
      <c r="L1136" t="s">
        <v>45</v>
      </c>
      <c r="M1136">
        <v>0</v>
      </c>
      <c r="N1136">
        <v>1</v>
      </c>
      <c r="O1136" s="5">
        <v>50566</v>
      </c>
      <c r="P1136" s="5">
        <v>50565</v>
      </c>
      <c r="Q1136">
        <f>23-12</f>
        <v>11</v>
      </c>
      <c r="R1136" t="s">
        <v>46</v>
      </c>
      <c r="S1136" t="s">
        <v>39</v>
      </c>
      <c r="T1136">
        <v>19</v>
      </c>
      <c r="U1136">
        <v>70</v>
      </c>
      <c r="V1136">
        <v>14</v>
      </c>
      <c r="W1136">
        <v>12.1</v>
      </c>
      <c r="X1136">
        <v>25.8</v>
      </c>
      <c r="Z1136" t="s">
        <v>39</v>
      </c>
      <c r="AB1136" t="s">
        <v>47</v>
      </c>
      <c r="AC1136" t="s">
        <v>87</v>
      </c>
    </row>
    <row r="1137" spans="1:30" x14ac:dyDescent="0.35">
      <c r="A1137" s="4">
        <v>42557</v>
      </c>
      <c r="B1137" t="s">
        <v>30</v>
      </c>
      <c r="C1137">
        <v>304</v>
      </c>
      <c r="D1137">
        <v>4</v>
      </c>
      <c r="E1137">
        <v>2</v>
      </c>
      <c r="F1137" t="s">
        <v>31</v>
      </c>
      <c r="G1137" t="s">
        <v>32</v>
      </c>
      <c r="H1137" t="s">
        <v>33</v>
      </c>
      <c r="I1137" t="s">
        <v>43</v>
      </c>
      <c r="J1137" t="s">
        <v>35</v>
      </c>
      <c r="K1137" t="s">
        <v>88</v>
      </c>
      <c r="L1137" t="s">
        <v>45</v>
      </c>
      <c r="M1137">
        <v>0</v>
      </c>
      <c r="N1137">
        <v>1</v>
      </c>
      <c r="O1137" s="5">
        <v>50568</v>
      </c>
      <c r="P1137" s="5">
        <v>50567</v>
      </c>
      <c r="Q1137">
        <f>23-9</f>
        <v>14</v>
      </c>
      <c r="R1137" t="s">
        <v>46</v>
      </c>
      <c r="S1137" t="s">
        <v>39</v>
      </c>
      <c r="T1137">
        <v>21</v>
      </c>
      <c r="U1137">
        <v>79</v>
      </c>
      <c r="V1137">
        <v>15</v>
      </c>
      <c r="W1137">
        <v>12.4</v>
      </c>
      <c r="X1137">
        <v>26.9</v>
      </c>
      <c r="Z1137" t="s">
        <v>39</v>
      </c>
      <c r="AB1137" t="s">
        <v>47</v>
      </c>
      <c r="AC1137" t="s">
        <v>87</v>
      </c>
    </row>
    <row r="1138" spans="1:30" x14ac:dyDescent="0.35">
      <c r="A1138" s="4">
        <v>42557</v>
      </c>
      <c r="B1138" t="s">
        <v>30</v>
      </c>
      <c r="C1138">
        <v>304</v>
      </c>
      <c r="D1138">
        <v>1</v>
      </c>
      <c r="E1138">
        <v>1</v>
      </c>
      <c r="F1138" t="s">
        <v>31</v>
      </c>
      <c r="G1138" t="s">
        <v>32</v>
      </c>
      <c r="H1138" t="s">
        <v>33</v>
      </c>
      <c r="I1138" t="s">
        <v>43</v>
      </c>
      <c r="J1138" t="s">
        <v>35</v>
      </c>
      <c r="K1138" t="s">
        <v>36</v>
      </c>
      <c r="L1138" t="s">
        <v>37</v>
      </c>
      <c r="M1138">
        <v>0</v>
      </c>
      <c r="N1138">
        <v>1</v>
      </c>
      <c r="O1138" s="5">
        <v>50570</v>
      </c>
      <c r="P1138" s="5">
        <v>50569</v>
      </c>
      <c r="R1138" t="s">
        <v>38</v>
      </c>
      <c r="T1138">
        <v>20.5</v>
      </c>
      <c r="U1138">
        <v>87</v>
      </c>
      <c r="V1138">
        <v>16</v>
      </c>
      <c r="W1138">
        <v>12.6</v>
      </c>
      <c r="X1138">
        <v>29.8</v>
      </c>
      <c r="Z1138" t="s">
        <v>39</v>
      </c>
      <c r="AB1138" t="s">
        <v>47</v>
      </c>
      <c r="AC1138" t="s">
        <v>87</v>
      </c>
    </row>
    <row r="1139" spans="1:30" x14ac:dyDescent="0.35">
      <c r="A1139" s="4">
        <v>42557</v>
      </c>
      <c r="B1139" t="s">
        <v>30</v>
      </c>
      <c r="C1139">
        <v>111</v>
      </c>
      <c r="D1139">
        <v>3</v>
      </c>
      <c r="E1139">
        <v>1</v>
      </c>
      <c r="F1139" t="s">
        <v>31</v>
      </c>
      <c r="G1139" t="s">
        <v>32</v>
      </c>
      <c r="H1139" t="s">
        <v>33</v>
      </c>
      <c r="I1139" t="s">
        <v>43</v>
      </c>
      <c r="J1139" t="s">
        <v>44</v>
      </c>
      <c r="K1139" t="s">
        <v>36</v>
      </c>
      <c r="L1139" t="s">
        <v>37</v>
      </c>
      <c r="M1139">
        <v>0</v>
      </c>
      <c r="N1139">
        <v>0</v>
      </c>
      <c r="O1139" s="5">
        <v>50602</v>
      </c>
      <c r="P1139" s="5">
        <v>50601</v>
      </c>
      <c r="Q1139">
        <v>23</v>
      </c>
      <c r="R1139" t="s">
        <v>38</v>
      </c>
      <c r="T1139">
        <v>19</v>
      </c>
      <c r="U1139">
        <v>79</v>
      </c>
      <c r="V1139">
        <v>15</v>
      </c>
      <c r="W1139">
        <v>12.8</v>
      </c>
      <c r="X1139">
        <v>26.2</v>
      </c>
      <c r="Z1139" t="s">
        <v>39</v>
      </c>
      <c r="AB1139" t="s">
        <v>47</v>
      </c>
      <c r="AC1139" t="s">
        <v>87</v>
      </c>
    </row>
    <row r="1140" spans="1:30" x14ac:dyDescent="0.35">
      <c r="A1140" s="4">
        <v>42557</v>
      </c>
      <c r="B1140" t="s">
        <v>30</v>
      </c>
      <c r="C1140">
        <v>201</v>
      </c>
      <c r="D1140">
        <v>5</v>
      </c>
      <c r="E1140">
        <v>1</v>
      </c>
      <c r="F1140" t="s">
        <v>42</v>
      </c>
      <c r="G1140" t="s">
        <v>32</v>
      </c>
      <c r="H1140" t="s">
        <v>33</v>
      </c>
      <c r="I1140" t="s">
        <v>43</v>
      </c>
      <c r="J1140" t="s">
        <v>44</v>
      </c>
      <c r="K1140" t="s">
        <v>113</v>
      </c>
      <c r="L1140" t="s">
        <v>45</v>
      </c>
      <c r="M1140">
        <v>0</v>
      </c>
      <c r="N1140">
        <v>0</v>
      </c>
      <c r="O1140" s="5">
        <v>50627</v>
      </c>
      <c r="P1140" s="5">
        <v>50626</v>
      </c>
      <c r="Q1140">
        <f>28.5-10.5</f>
        <v>18</v>
      </c>
      <c r="R1140" t="s">
        <v>46</v>
      </c>
      <c r="S1140" t="s">
        <v>39</v>
      </c>
      <c r="T1140">
        <v>19</v>
      </c>
      <c r="U1140">
        <v>90</v>
      </c>
      <c r="V1140">
        <v>15</v>
      </c>
      <c r="W1140">
        <v>12.5</v>
      </c>
      <c r="X1140">
        <v>27.8</v>
      </c>
      <c r="Z1140" t="s">
        <v>39</v>
      </c>
      <c r="AB1140" t="s">
        <v>47</v>
      </c>
      <c r="AC1140" t="s">
        <v>87</v>
      </c>
      <c r="AD1140" t="s">
        <v>191</v>
      </c>
    </row>
    <row r="1141" spans="1:30" x14ac:dyDescent="0.35">
      <c r="A1141" s="4">
        <v>42557</v>
      </c>
      <c r="B1141" t="s">
        <v>30</v>
      </c>
      <c r="C1141">
        <v>203</v>
      </c>
      <c r="D1141">
        <v>8</v>
      </c>
      <c r="E1141">
        <v>2</v>
      </c>
      <c r="F1141" t="s">
        <v>42</v>
      </c>
      <c r="G1141" t="s">
        <v>32</v>
      </c>
      <c r="H1141" t="s">
        <v>33</v>
      </c>
      <c r="I1141" t="s">
        <v>43</v>
      </c>
      <c r="J1141" t="s">
        <v>44</v>
      </c>
      <c r="K1141" t="s">
        <v>113</v>
      </c>
      <c r="L1141" t="s">
        <v>45</v>
      </c>
      <c r="M1141">
        <v>0</v>
      </c>
      <c r="N1141">
        <v>0</v>
      </c>
      <c r="O1141" s="5">
        <v>50633</v>
      </c>
      <c r="P1141" s="5">
        <v>50634</v>
      </c>
      <c r="Q1141">
        <f>31-9.5</f>
        <v>21.5</v>
      </c>
      <c r="R1141" t="s">
        <v>46</v>
      </c>
      <c r="S1141" t="s">
        <v>39</v>
      </c>
      <c r="T1141">
        <v>18</v>
      </c>
      <c r="U1141">
        <v>80</v>
      </c>
      <c r="V1141">
        <v>17</v>
      </c>
      <c r="W1141">
        <v>13.1</v>
      </c>
      <c r="X1141">
        <v>28.5</v>
      </c>
      <c r="Z1141" t="s">
        <v>39</v>
      </c>
      <c r="AB1141" t="s">
        <v>47</v>
      </c>
      <c r="AC1141" t="s">
        <v>87</v>
      </c>
    </row>
    <row r="1142" spans="1:30" x14ac:dyDescent="0.35">
      <c r="A1142" s="4">
        <v>42557</v>
      </c>
      <c r="B1142" t="s">
        <v>30</v>
      </c>
      <c r="C1142">
        <v>202</v>
      </c>
      <c r="D1142">
        <v>3</v>
      </c>
      <c r="E1142">
        <v>2</v>
      </c>
      <c r="F1142" t="s">
        <v>42</v>
      </c>
      <c r="G1142" t="s">
        <v>32</v>
      </c>
      <c r="H1142" t="s">
        <v>33</v>
      </c>
      <c r="I1142" t="s">
        <v>43</v>
      </c>
      <c r="J1142" t="s">
        <v>44</v>
      </c>
      <c r="K1142" t="s">
        <v>113</v>
      </c>
      <c r="L1142" t="s">
        <v>37</v>
      </c>
      <c r="M1142">
        <v>0</v>
      </c>
      <c r="N1142">
        <v>0</v>
      </c>
      <c r="O1142" s="5">
        <v>50637</v>
      </c>
      <c r="P1142" s="5">
        <v>50638</v>
      </c>
      <c r="Q1142">
        <f>26-10</f>
        <v>16</v>
      </c>
      <c r="R1142" t="s">
        <v>64</v>
      </c>
      <c r="T1142">
        <v>19</v>
      </c>
      <c r="U1142">
        <v>85.5</v>
      </c>
      <c r="V1142">
        <v>18</v>
      </c>
      <c r="W1142">
        <v>11.8</v>
      </c>
      <c r="X1142">
        <v>27.4</v>
      </c>
      <c r="Z1142" t="s">
        <v>39</v>
      </c>
      <c r="AB1142" t="s">
        <v>47</v>
      </c>
      <c r="AC1142" t="s">
        <v>87</v>
      </c>
    </row>
    <row r="1143" spans="1:30" x14ac:dyDescent="0.35">
      <c r="A1143" s="4">
        <v>42557</v>
      </c>
      <c r="B1143" t="s">
        <v>30</v>
      </c>
      <c r="C1143">
        <v>202</v>
      </c>
      <c r="D1143">
        <v>6</v>
      </c>
      <c r="E1143">
        <v>1</v>
      </c>
      <c r="F1143" t="s">
        <v>42</v>
      </c>
      <c r="G1143" t="s">
        <v>32</v>
      </c>
      <c r="H1143" t="s">
        <v>33</v>
      </c>
      <c r="I1143" t="s">
        <v>43</v>
      </c>
      <c r="J1143" t="s">
        <v>44</v>
      </c>
      <c r="K1143" t="s">
        <v>36</v>
      </c>
      <c r="L1143" t="s">
        <v>37</v>
      </c>
      <c r="M1143">
        <v>0</v>
      </c>
      <c r="N1143">
        <v>0</v>
      </c>
      <c r="O1143" s="5">
        <v>50640</v>
      </c>
      <c r="P1143" s="5">
        <v>50639</v>
      </c>
      <c r="Q1143">
        <f>29-10</f>
        <v>19</v>
      </c>
      <c r="R1143" t="s">
        <v>64</v>
      </c>
      <c r="T1143">
        <v>19</v>
      </c>
      <c r="U1143">
        <v>83.5</v>
      </c>
      <c r="V1143">
        <v>16</v>
      </c>
      <c r="Z1143" t="s">
        <v>39</v>
      </c>
      <c r="AB1143" t="s">
        <v>47</v>
      </c>
      <c r="AC1143" t="s">
        <v>87</v>
      </c>
      <c r="AD1143" t="s">
        <v>186</v>
      </c>
    </row>
    <row r="1144" spans="1:30" x14ac:dyDescent="0.35">
      <c r="A1144" s="4">
        <v>42557</v>
      </c>
      <c r="B1144" t="s">
        <v>30</v>
      </c>
      <c r="C1144">
        <v>202</v>
      </c>
      <c r="D1144">
        <v>4</v>
      </c>
      <c r="E1144">
        <v>2</v>
      </c>
      <c r="F1144" t="s">
        <v>42</v>
      </c>
      <c r="G1144" t="s">
        <v>32</v>
      </c>
      <c r="H1144" t="s">
        <v>33</v>
      </c>
      <c r="I1144" t="s">
        <v>43</v>
      </c>
      <c r="J1144" t="s">
        <v>44</v>
      </c>
      <c r="K1144" t="s">
        <v>88</v>
      </c>
      <c r="L1144" t="s">
        <v>37</v>
      </c>
      <c r="M1144">
        <v>0</v>
      </c>
      <c r="N1144">
        <v>0</v>
      </c>
      <c r="O1144" s="5">
        <v>50642</v>
      </c>
      <c r="P1144" s="5">
        <v>50641</v>
      </c>
      <c r="Q1144">
        <f>31-14.5</f>
        <v>16.5</v>
      </c>
      <c r="R1144" t="s">
        <v>64</v>
      </c>
      <c r="T1144">
        <v>18</v>
      </c>
      <c r="U1144">
        <v>89</v>
      </c>
      <c r="V1144">
        <v>14</v>
      </c>
      <c r="W1144">
        <v>12.9</v>
      </c>
      <c r="X1144">
        <v>26</v>
      </c>
      <c r="Y1144" t="s">
        <v>192</v>
      </c>
      <c r="Z1144" t="s">
        <v>39</v>
      </c>
      <c r="AB1144" t="s">
        <v>47</v>
      </c>
      <c r="AC1144" t="s">
        <v>87</v>
      </c>
    </row>
    <row r="1145" spans="1:30" x14ac:dyDescent="0.35">
      <c r="A1145" s="4">
        <v>42557</v>
      </c>
      <c r="B1145" t="s">
        <v>30</v>
      </c>
      <c r="C1145">
        <v>202</v>
      </c>
      <c r="D1145">
        <v>5</v>
      </c>
      <c r="E1145">
        <v>1</v>
      </c>
      <c r="F1145" t="s">
        <v>42</v>
      </c>
      <c r="G1145" t="s">
        <v>32</v>
      </c>
      <c r="H1145" t="s">
        <v>33</v>
      </c>
      <c r="I1145" t="s">
        <v>43</v>
      </c>
      <c r="J1145" t="s">
        <v>44</v>
      </c>
      <c r="K1145" t="s">
        <v>113</v>
      </c>
      <c r="L1145" t="s">
        <v>45</v>
      </c>
      <c r="M1145">
        <v>0</v>
      </c>
      <c r="N1145">
        <v>0</v>
      </c>
      <c r="O1145" s="5">
        <v>50644</v>
      </c>
      <c r="P1145" s="5" t="s">
        <v>193</v>
      </c>
      <c r="Q1145">
        <f>25-9.5</f>
        <v>15.5</v>
      </c>
      <c r="R1145" t="s">
        <v>46</v>
      </c>
      <c r="S1145" t="s">
        <v>39</v>
      </c>
      <c r="T1145">
        <v>18</v>
      </c>
      <c r="U1145">
        <v>86.5</v>
      </c>
      <c r="V1145">
        <v>15.5</v>
      </c>
      <c r="W1145">
        <v>12.7</v>
      </c>
      <c r="X1145">
        <v>28.2</v>
      </c>
      <c r="Z1145" t="s">
        <v>39</v>
      </c>
      <c r="AB1145" t="s">
        <v>47</v>
      </c>
      <c r="AC1145" t="s">
        <v>87</v>
      </c>
    </row>
    <row r="1146" spans="1:30" x14ac:dyDescent="0.35">
      <c r="A1146" s="4">
        <v>42557</v>
      </c>
      <c r="B1146" t="s">
        <v>30</v>
      </c>
      <c r="C1146">
        <v>304</v>
      </c>
      <c r="D1146">
        <v>2</v>
      </c>
      <c r="E1146">
        <v>1</v>
      </c>
      <c r="F1146" t="s">
        <v>42</v>
      </c>
      <c r="G1146" t="s">
        <v>32</v>
      </c>
      <c r="H1146" t="s">
        <v>33</v>
      </c>
      <c r="I1146" t="s">
        <v>43</v>
      </c>
      <c r="J1146" t="s">
        <v>48</v>
      </c>
      <c r="K1146" t="s">
        <v>113</v>
      </c>
      <c r="L1146" t="s">
        <v>37</v>
      </c>
      <c r="M1146">
        <v>1</v>
      </c>
      <c r="N1146">
        <v>0</v>
      </c>
      <c r="O1146" s="5">
        <v>50647</v>
      </c>
      <c r="P1146" s="5">
        <v>50653</v>
      </c>
      <c r="Q1146">
        <v>14</v>
      </c>
      <c r="R1146" t="s">
        <v>64</v>
      </c>
      <c r="T1146">
        <v>20.5</v>
      </c>
      <c r="U1146">
        <v>96.5</v>
      </c>
      <c r="V1146">
        <v>13.5</v>
      </c>
      <c r="W1146">
        <v>13</v>
      </c>
      <c r="X1146">
        <v>29.7</v>
      </c>
      <c r="Z1146" t="s">
        <v>39</v>
      </c>
      <c r="AB1146" t="s">
        <v>47</v>
      </c>
      <c r="AC1146" t="s">
        <v>87</v>
      </c>
    </row>
    <row r="1147" spans="1:30" x14ac:dyDescent="0.35">
      <c r="A1147" s="4">
        <v>42557</v>
      </c>
      <c r="B1147" t="s">
        <v>30</v>
      </c>
      <c r="C1147">
        <v>304</v>
      </c>
      <c r="D1147">
        <v>6</v>
      </c>
      <c r="E1147">
        <v>2</v>
      </c>
      <c r="F1147" t="s">
        <v>31</v>
      </c>
      <c r="G1147" t="s">
        <v>32</v>
      </c>
      <c r="H1147" t="s">
        <v>33</v>
      </c>
      <c r="I1147" t="s">
        <v>43</v>
      </c>
      <c r="J1147" t="s">
        <v>48</v>
      </c>
      <c r="K1147" t="s">
        <v>113</v>
      </c>
      <c r="L1147" t="s">
        <v>37</v>
      </c>
      <c r="M1147">
        <v>1</v>
      </c>
      <c r="N1147">
        <v>0</v>
      </c>
      <c r="O1147" s="5">
        <v>50648</v>
      </c>
      <c r="P1147" s="5">
        <v>50564</v>
      </c>
      <c r="Q1147">
        <v>15</v>
      </c>
      <c r="R1147" t="s">
        <v>64</v>
      </c>
      <c r="T1147">
        <v>21</v>
      </c>
      <c r="U1147">
        <v>81</v>
      </c>
      <c r="V1147">
        <v>15</v>
      </c>
      <c r="W1147">
        <v>12.5</v>
      </c>
      <c r="X1147">
        <v>27.3</v>
      </c>
      <c r="Z1147" t="s">
        <v>39</v>
      </c>
      <c r="AB1147" t="s">
        <v>47</v>
      </c>
      <c r="AC1147" t="s">
        <v>87</v>
      </c>
      <c r="AD1147" t="s">
        <v>194</v>
      </c>
    </row>
    <row r="1148" spans="1:30" x14ac:dyDescent="0.35">
      <c r="A1148" s="4">
        <v>42557</v>
      </c>
      <c r="B1148" t="s">
        <v>30</v>
      </c>
      <c r="C1148">
        <v>304</v>
      </c>
      <c r="D1148">
        <v>9</v>
      </c>
      <c r="E1148">
        <v>2</v>
      </c>
      <c r="F1148" t="s">
        <v>31</v>
      </c>
      <c r="G1148" t="s">
        <v>32</v>
      </c>
      <c r="H1148" t="s">
        <v>33</v>
      </c>
      <c r="I1148" t="s">
        <v>43</v>
      </c>
      <c r="J1148" t="s">
        <v>44</v>
      </c>
      <c r="K1148" t="s">
        <v>88</v>
      </c>
      <c r="L1148" t="s">
        <v>37</v>
      </c>
      <c r="M1148">
        <v>0</v>
      </c>
      <c r="N1148">
        <v>0</v>
      </c>
      <c r="O1148" s="5">
        <v>50650</v>
      </c>
      <c r="P1148" s="5">
        <v>50649</v>
      </c>
      <c r="Q1148">
        <f>24.5-10.5</f>
        <v>14</v>
      </c>
      <c r="R1148" t="s">
        <v>46</v>
      </c>
      <c r="S1148" t="s">
        <v>39</v>
      </c>
      <c r="T1148">
        <v>21</v>
      </c>
      <c r="U1148">
        <v>72</v>
      </c>
      <c r="V1148">
        <v>14</v>
      </c>
      <c r="W1148">
        <v>12.4</v>
      </c>
      <c r="X1148">
        <v>25.8</v>
      </c>
      <c r="Z1148" t="s">
        <v>39</v>
      </c>
      <c r="AB1148" t="s">
        <v>47</v>
      </c>
      <c r="AC1148" t="s">
        <v>87</v>
      </c>
    </row>
    <row r="1149" spans="1:30" x14ac:dyDescent="0.35">
      <c r="A1149" s="4">
        <v>42557</v>
      </c>
      <c r="B1149" t="s">
        <v>30</v>
      </c>
      <c r="C1149">
        <v>202</v>
      </c>
      <c r="D1149">
        <v>5</v>
      </c>
      <c r="E1149">
        <v>2</v>
      </c>
      <c r="F1149" t="s">
        <v>42</v>
      </c>
      <c r="G1149" t="s">
        <v>32</v>
      </c>
      <c r="H1149" t="s">
        <v>33</v>
      </c>
      <c r="I1149" t="s">
        <v>43</v>
      </c>
      <c r="J1149" t="s">
        <v>35</v>
      </c>
      <c r="K1149" t="s">
        <v>36</v>
      </c>
      <c r="L1149" t="s">
        <v>45</v>
      </c>
      <c r="M1149">
        <v>0</v>
      </c>
      <c r="N1149">
        <v>1</v>
      </c>
      <c r="O1149" s="5">
        <v>50661</v>
      </c>
      <c r="P1149" s="5">
        <v>50660</v>
      </c>
      <c r="Q1149">
        <f>32-12.5</f>
        <v>19.5</v>
      </c>
      <c r="R1149" t="s">
        <v>74</v>
      </c>
      <c r="S1149" t="s">
        <v>102</v>
      </c>
      <c r="T1149">
        <v>17</v>
      </c>
      <c r="U1149">
        <v>96</v>
      </c>
      <c r="V1149">
        <v>17</v>
      </c>
      <c r="W1149">
        <v>12.8</v>
      </c>
      <c r="X1149">
        <v>28.2</v>
      </c>
      <c r="Z1149" t="s">
        <v>39</v>
      </c>
      <c r="AB1149" t="s">
        <v>47</v>
      </c>
      <c r="AC1149" t="s">
        <v>87</v>
      </c>
    </row>
    <row r="1150" spans="1:30" x14ac:dyDescent="0.35">
      <c r="A1150" s="4">
        <v>42557</v>
      </c>
      <c r="B1150" t="s">
        <v>30</v>
      </c>
      <c r="C1150">
        <v>202</v>
      </c>
      <c r="D1150">
        <v>2</v>
      </c>
      <c r="E1150">
        <v>1</v>
      </c>
      <c r="F1150" t="s">
        <v>42</v>
      </c>
      <c r="G1150" t="s">
        <v>32</v>
      </c>
      <c r="H1150" t="s">
        <v>33</v>
      </c>
      <c r="I1150" t="s">
        <v>43</v>
      </c>
      <c r="J1150" t="s">
        <v>35</v>
      </c>
      <c r="K1150" t="s">
        <v>113</v>
      </c>
      <c r="L1150" t="s">
        <v>37</v>
      </c>
      <c r="M1150">
        <v>0</v>
      </c>
      <c r="N1150">
        <v>1</v>
      </c>
      <c r="O1150" s="5">
        <v>50663</v>
      </c>
      <c r="P1150" s="5">
        <v>50662</v>
      </c>
      <c r="Q1150">
        <f>24-10</f>
        <v>14</v>
      </c>
      <c r="R1150" t="s">
        <v>64</v>
      </c>
      <c r="T1150">
        <v>16</v>
      </c>
      <c r="U1150">
        <v>80</v>
      </c>
      <c r="V1150">
        <v>14</v>
      </c>
      <c r="W1150">
        <v>12.6</v>
      </c>
      <c r="X1150">
        <v>27</v>
      </c>
      <c r="Z1150" t="s">
        <v>39</v>
      </c>
      <c r="AB1150" t="s">
        <v>47</v>
      </c>
      <c r="AC1150" t="s">
        <v>87</v>
      </c>
    </row>
    <row r="1151" spans="1:30" x14ac:dyDescent="0.35">
      <c r="A1151" s="4">
        <v>42557</v>
      </c>
      <c r="B1151" t="s">
        <v>30</v>
      </c>
      <c r="C1151">
        <v>203</v>
      </c>
      <c r="D1151">
        <v>8</v>
      </c>
      <c r="E1151">
        <v>1</v>
      </c>
      <c r="F1151" t="s">
        <v>42</v>
      </c>
      <c r="G1151" t="s">
        <v>32</v>
      </c>
      <c r="H1151" t="s">
        <v>33</v>
      </c>
      <c r="I1151" t="s">
        <v>43</v>
      </c>
      <c r="J1151" t="s">
        <v>35</v>
      </c>
      <c r="K1151" t="s">
        <v>88</v>
      </c>
      <c r="L1151" t="s">
        <v>37</v>
      </c>
      <c r="M1151">
        <v>0</v>
      </c>
      <c r="N1151">
        <v>1</v>
      </c>
      <c r="O1151" s="5">
        <v>50665</v>
      </c>
      <c r="P1151" s="5">
        <v>50664</v>
      </c>
      <c r="Q1151">
        <f>24.5-9.5</f>
        <v>15</v>
      </c>
      <c r="R1151" t="s">
        <v>64</v>
      </c>
      <c r="T1151">
        <v>19</v>
      </c>
      <c r="U1151">
        <v>93</v>
      </c>
      <c r="V1151">
        <v>16</v>
      </c>
      <c r="W1151">
        <v>12.7</v>
      </c>
      <c r="X1151">
        <v>27.5</v>
      </c>
      <c r="Z1151" t="s">
        <v>39</v>
      </c>
      <c r="AB1151" t="s">
        <v>47</v>
      </c>
      <c r="AC1151" t="s">
        <v>87</v>
      </c>
    </row>
    <row r="1152" spans="1:30" x14ac:dyDescent="0.35">
      <c r="A1152" s="4">
        <v>42557</v>
      </c>
      <c r="B1152" t="s">
        <v>30</v>
      </c>
      <c r="C1152">
        <v>203</v>
      </c>
      <c r="D1152">
        <v>3</v>
      </c>
      <c r="E1152">
        <v>1</v>
      </c>
      <c r="F1152" t="s">
        <v>42</v>
      </c>
      <c r="G1152" t="s">
        <v>32</v>
      </c>
      <c r="H1152" t="s">
        <v>33</v>
      </c>
      <c r="I1152" t="s">
        <v>43</v>
      </c>
      <c r="J1152" t="s">
        <v>35</v>
      </c>
      <c r="K1152" t="s">
        <v>36</v>
      </c>
      <c r="L1152" t="s">
        <v>45</v>
      </c>
      <c r="M1152">
        <v>0</v>
      </c>
      <c r="N1152">
        <v>1</v>
      </c>
      <c r="O1152" s="5">
        <v>50668</v>
      </c>
      <c r="P1152" s="5">
        <v>50667</v>
      </c>
      <c r="Q1152">
        <f>36-9.5</f>
        <v>26.5</v>
      </c>
      <c r="R1152" t="s">
        <v>145</v>
      </c>
      <c r="S1152" t="s">
        <v>102</v>
      </c>
      <c r="T1152">
        <v>19.5</v>
      </c>
      <c r="U1152">
        <v>104</v>
      </c>
      <c r="V1152">
        <v>17</v>
      </c>
      <c r="W1152">
        <v>13</v>
      </c>
      <c r="X1152">
        <v>26.7</v>
      </c>
      <c r="Z1152" t="s">
        <v>39</v>
      </c>
      <c r="AB1152" t="s">
        <v>47</v>
      </c>
      <c r="AC1152" t="s">
        <v>87</v>
      </c>
    </row>
    <row r="1153" spans="1:30" x14ac:dyDescent="0.35">
      <c r="A1153" s="4">
        <v>42557</v>
      </c>
      <c r="B1153" t="s">
        <v>30</v>
      </c>
      <c r="C1153">
        <v>201</v>
      </c>
      <c r="D1153">
        <v>8</v>
      </c>
      <c r="E1153">
        <v>1</v>
      </c>
      <c r="F1153" t="s">
        <v>42</v>
      </c>
      <c r="G1153" t="s">
        <v>32</v>
      </c>
      <c r="H1153" t="s">
        <v>33</v>
      </c>
      <c r="I1153" t="s">
        <v>43</v>
      </c>
      <c r="J1153" t="s">
        <v>44</v>
      </c>
      <c r="K1153" t="s">
        <v>113</v>
      </c>
      <c r="L1153" t="s">
        <v>37</v>
      </c>
      <c r="M1153">
        <v>0</v>
      </c>
      <c r="N1153">
        <v>0</v>
      </c>
      <c r="O1153" s="5">
        <v>50671</v>
      </c>
      <c r="P1153" s="5">
        <v>50670</v>
      </c>
      <c r="Q1153">
        <f>30.5-12.5</f>
        <v>18</v>
      </c>
      <c r="R1153" t="s">
        <v>64</v>
      </c>
      <c r="T1153">
        <v>19</v>
      </c>
      <c r="U1153">
        <v>89</v>
      </c>
      <c r="V1153">
        <v>18</v>
      </c>
      <c r="W1153">
        <v>12.5</v>
      </c>
      <c r="X1153">
        <v>27.4</v>
      </c>
      <c r="Z1153" t="s">
        <v>39</v>
      </c>
      <c r="AB1153" t="s">
        <v>47</v>
      </c>
      <c r="AC1153" t="s">
        <v>87</v>
      </c>
    </row>
    <row r="1154" spans="1:30" x14ac:dyDescent="0.35">
      <c r="A1154" s="4">
        <v>42557</v>
      </c>
      <c r="B1154" t="s">
        <v>30</v>
      </c>
      <c r="C1154">
        <v>201</v>
      </c>
      <c r="D1154">
        <v>9</v>
      </c>
      <c r="E1154">
        <v>1</v>
      </c>
      <c r="F1154" t="s">
        <v>42</v>
      </c>
      <c r="G1154" t="s">
        <v>32</v>
      </c>
      <c r="H1154" t="s">
        <v>33</v>
      </c>
      <c r="I1154" t="s">
        <v>43</v>
      </c>
      <c r="J1154" t="s">
        <v>35</v>
      </c>
      <c r="K1154" t="s">
        <v>113</v>
      </c>
      <c r="L1154" t="s">
        <v>37</v>
      </c>
      <c r="M1154">
        <v>0</v>
      </c>
      <c r="N1154">
        <v>1</v>
      </c>
      <c r="O1154" s="5">
        <v>50671</v>
      </c>
      <c r="P1154" s="5">
        <v>50670</v>
      </c>
      <c r="Q1154">
        <v>16.5</v>
      </c>
      <c r="R1154" t="s">
        <v>38</v>
      </c>
      <c r="T1154">
        <v>18</v>
      </c>
      <c r="U1154">
        <v>91</v>
      </c>
      <c r="V1154">
        <v>15.5</v>
      </c>
      <c r="W1154">
        <v>12.2</v>
      </c>
      <c r="X1154">
        <v>27.7</v>
      </c>
      <c r="Z1154" t="s">
        <v>39</v>
      </c>
      <c r="AB1154" t="s">
        <v>47</v>
      </c>
      <c r="AC1154" t="s">
        <v>87</v>
      </c>
    </row>
    <row r="1155" spans="1:30" x14ac:dyDescent="0.35">
      <c r="A1155" s="4">
        <v>42557</v>
      </c>
      <c r="B1155" t="s">
        <v>30</v>
      </c>
      <c r="C1155">
        <v>201</v>
      </c>
      <c r="D1155">
        <v>3</v>
      </c>
      <c r="E1155">
        <v>1</v>
      </c>
      <c r="F1155" t="s">
        <v>42</v>
      </c>
      <c r="G1155" t="s">
        <v>32</v>
      </c>
      <c r="H1155" t="s">
        <v>33</v>
      </c>
      <c r="I1155" t="s">
        <v>43</v>
      </c>
      <c r="J1155" t="s">
        <v>35</v>
      </c>
      <c r="K1155" t="s">
        <v>36</v>
      </c>
      <c r="L1155" t="s">
        <v>37</v>
      </c>
      <c r="M1155">
        <v>0</v>
      </c>
      <c r="N1155">
        <v>1</v>
      </c>
      <c r="O1155" s="5">
        <v>50675</v>
      </c>
      <c r="P1155" s="5">
        <v>50674</v>
      </c>
      <c r="Q1155">
        <f>31-9</f>
        <v>22</v>
      </c>
      <c r="R1155" t="s">
        <v>38</v>
      </c>
      <c r="T1155">
        <v>19.5</v>
      </c>
      <c r="U1155">
        <v>82</v>
      </c>
      <c r="V1155">
        <v>16</v>
      </c>
      <c r="W1155">
        <v>12.7</v>
      </c>
      <c r="X1155">
        <v>31</v>
      </c>
      <c r="Z1155" t="s">
        <v>39</v>
      </c>
      <c r="AB1155" t="s">
        <v>47</v>
      </c>
      <c r="AC1155" t="s">
        <v>87</v>
      </c>
      <c r="AD1155" t="s">
        <v>195</v>
      </c>
    </row>
    <row r="1156" spans="1:30" x14ac:dyDescent="0.35">
      <c r="A1156" s="4">
        <v>42557</v>
      </c>
      <c r="B1156" t="s">
        <v>30</v>
      </c>
      <c r="C1156">
        <v>203</v>
      </c>
      <c r="D1156">
        <v>5</v>
      </c>
      <c r="E1156">
        <v>2</v>
      </c>
      <c r="F1156" t="s">
        <v>42</v>
      </c>
      <c r="G1156" t="s">
        <v>32</v>
      </c>
      <c r="H1156" t="s">
        <v>33</v>
      </c>
      <c r="I1156" t="s">
        <v>43</v>
      </c>
      <c r="J1156" t="s">
        <v>44</v>
      </c>
      <c r="K1156" t="s">
        <v>36</v>
      </c>
      <c r="L1156" t="s">
        <v>37</v>
      </c>
      <c r="M1156">
        <v>0</v>
      </c>
      <c r="N1156">
        <v>0</v>
      </c>
      <c r="O1156" s="5" t="s">
        <v>153</v>
      </c>
      <c r="P1156" s="5" t="s">
        <v>154</v>
      </c>
      <c r="Q1156">
        <f>29-9.5</f>
        <v>19.5</v>
      </c>
      <c r="R1156" t="s">
        <v>38</v>
      </c>
      <c r="T1156">
        <v>19</v>
      </c>
      <c r="U1156">
        <v>92</v>
      </c>
      <c r="V1156">
        <v>16</v>
      </c>
      <c r="W1156">
        <v>13.1</v>
      </c>
      <c r="X1156">
        <v>28.5</v>
      </c>
      <c r="Z1156" t="s">
        <v>39</v>
      </c>
      <c r="AB1156" t="s">
        <v>47</v>
      </c>
      <c r="AC1156" t="s">
        <v>87</v>
      </c>
    </row>
    <row r="1157" spans="1:30" x14ac:dyDescent="0.35">
      <c r="A1157" s="4">
        <v>42557</v>
      </c>
      <c r="B1157" t="s">
        <v>30</v>
      </c>
      <c r="C1157">
        <v>113</v>
      </c>
      <c r="D1157">
        <v>8</v>
      </c>
      <c r="E1157">
        <v>2</v>
      </c>
      <c r="F1157" t="s">
        <v>31</v>
      </c>
      <c r="G1157" t="s">
        <v>32</v>
      </c>
      <c r="H1157" t="s">
        <v>33</v>
      </c>
      <c r="I1157" t="s">
        <v>34</v>
      </c>
      <c r="J1157" t="s">
        <v>44</v>
      </c>
      <c r="K1157" t="s">
        <v>113</v>
      </c>
      <c r="L1157" t="s">
        <v>37</v>
      </c>
      <c r="M1157">
        <v>0</v>
      </c>
      <c r="N1157">
        <v>0</v>
      </c>
      <c r="O1157" s="5">
        <v>50482</v>
      </c>
      <c r="P1157" s="5"/>
      <c r="Q1157">
        <f>129-48</f>
        <v>81</v>
      </c>
      <c r="R1157" t="s">
        <v>38</v>
      </c>
      <c r="T1157">
        <v>29</v>
      </c>
      <c r="W1157">
        <v>21.6</v>
      </c>
      <c r="X1157">
        <v>40.200000000000003</v>
      </c>
      <c r="Z1157" t="s">
        <v>39</v>
      </c>
      <c r="AB1157" t="s">
        <v>47</v>
      </c>
      <c r="AC1157" t="s">
        <v>87</v>
      </c>
    </row>
    <row r="1158" spans="1:30" x14ac:dyDescent="0.35">
      <c r="A1158" s="4">
        <v>42557</v>
      </c>
      <c r="B1158" t="s">
        <v>30</v>
      </c>
      <c r="C1158">
        <v>402</v>
      </c>
      <c r="D1158">
        <v>1</v>
      </c>
      <c r="E1158">
        <v>2</v>
      </c>
      <c r="F1158" t="s">
        <v>31</v>
      </c>
      <c r="G1158" t="s">
        <v>32</v>
      </c>
      <c r="H1158" t="s">
        <v>33</v>
      </c>
      <c r="I1158" t="s">
        <v>34</v>
      </c>
      <c r="J1158" t="s">
        <v>44</v>
      </c>
      <c r="K1158" t="s">
        <v>88</v>
      </c>
      <c r="L1158" t="s">
        <v>45</v>
      </c>
      <c r="M1158">
        <v>0</v>
      </c>
      <c r="N1158">
        <v>0</v>
      </c>
      <c r="O1158" s="5">
        <v>50551</v>
      </c>
      <c r="P1158" s="5"/>
      <c r="Q1158">
        <f>107-48</f>
        <v>59</v>
      </c>
      <c r="R1158" t="s">
        <v>46</v>
      </c>
      <c r="S1158" t="s">
        <v>39</v>
      </c>
      <c r="T1158">
        <v>29</v>
      </c>
      <c r="Z1158" t="s">
        <v>39</v>
      </c>
      <c r="AB1158" t="s">
        <v>47</v>
      </c>
      <c r="AC1158" t="s">
        <v>87</v>
      </c>
    </row>
    <row r="1159" spans="1:30" x14ac:dyDescent="0.35">
      <c r="A1159" s="4">
        <v>42557</v>
      </c>
      <c r="B1159" t="s">
        <v>30</v>
      </c>
      <c r="C1159">
        <v>402</v>
      </c>
      <c r="D1159">
        <v>2</v>
      </c>
      <c r="E1159">
        <v>1</v>
      </c>
      <c r="F1159" t="s">
        <v>31</v>
      </c>
      <c r="G1159" t="s">
        <v>32</v>
      </c>
      <c r="H1159" t="s">
        <v>33</v>
      </c>
      <c r="I1159" t="s">
        <v>58</v>
      </c>
      <c r="J1159" t="s">
        <v>44</v>
      </c>
      <c r="K1159" t="s">
        <v>36</v>
      </c>
      <c r="L1159" t="s">
        <v>45</v>
      </c>
      <c r="M1159">
        <v>0</v>
      </c>
      <c r="N1159">
        <v>0</v>
      </c>
      <c r="O1159" s="5">
        <v>50528</v>
      </c>
      <c r="P1159" s="5"/>
      <c r="Q1159">
        <v>29</v>
      </c>
      <c r="R1159" t="s">
        <v>119</v>
      </c>
      <c r="S1159" t="s">
        <v>39</v>
      </c>
      <c r="T1159">
        <v>18</v>
      </c>
      <c r="W1159">
        <v>12.6</v>
      </c>
      <c r="X1159">
        <v>29.1</v>
      </c>
      <c r="Z1159" t="s">
        <v>39</v>
      </c>
      <c r="AB1159" t="s">
        <v>47</v>
      </c>
      <c r="AC1159" t="s">
        <v>87</v>
      </c>
    </row>
    <row r="1160" spans="1:30" x14ac:dyDescent="0.35">
      <c r="A1160" s="4">
        <v>42557</v>
      </c>
      <c r="B1160" t="s">
        <v>30</v>
      </c>
      <c r="C1160">
        <v>201</v>
      </c>
      <c r="D1160">
        <v>7</v>
      </c>
      <c r="E1160">
        <v>2</v>
      </c>
      <c r="F1160" t="s">
        <v>42</v>
      </c>
      <c r="G1160" t="s">
        <v>32</v>
      </c>
      <c r="H1160" t="s">
        <v>33</v>
      </c>
      <c r="I1160" t="s">
        <v>58</v>
      </c>
      <c r="J1160" t="s">
        <v>35</v>
      </c>
      <c r="K1160" t="s">
        <v>36</v>
      </c>
      <c r="L1160" t="s">
        <v>37</v>
      </c>
      <c r="M1160">
        <v>0</v>
      </c>
      <c r="N1160">
        <v>1</v>
      </c>
      <c r="O1160" s="5">
        <v>50672</v>
      </c>
      <c r="P1160" s="5"/>
      <c r="Q1160">
        <f>34-13</f>
        <v>21</v>
      </c>
      <c r="R1160" t="s">
        <v>38</v>
      </c>
      <c r="T1160">
        <v>17</v>
      </c>
      <c r="W1160">
        <v>12.7</v>
      </c>
      <c r="X1160">
        <v>25.9</v>
      </c>
      <c r="Z1160" t="s">
        <v>39</v>
      </c>
      <c r="AB1160" t="s">
        <v>47</v>
      </c>
      <c r="AC1160" t="s">
        <v>87</v>
      </c>
    </row>
    <row r="1161" spans="1:30" x14ac:dyDescent="0.35">
      <c r="A1161" s="4">
        <v>42557</v>
      </c>
      <c r="B1161" t="s">
        <v>30</v>
      </c>
      <c r="C1161">
        <v>201</v>
      </c>
      <c r="D1161">
        <v>6</v>
      </c>
      <c r="E1161">
        <v>1</v>
      </c>
      <c r="F1161" t="s">
        <v>42</v>
      </c>
      <c r="G1161" t="s">
        <v>32</v>
      </c>
      <c r="H1161" t="s">
        <v>33</v>
      </c>
      <c r="I1161" t="s">
        <v>58</v>
      </c>
      <c r="J1161" t="s">
        <v>35</v>
      </c>
      <c r="K1161" t="s">
        <v>36</v>
      </c>
      <c r="L1161" t="s">
        <v>45</v>
      </c>
      <c r="M1161">
        <v>0</v>
      </c>
      <c r="N1161">
        <v>1</v>
      </c>
      <c r="O1161" s="5">
        <v>50673</v>
      </c>
      <c r="P1161" s="5"/>
      <c r="Q1161">
        <v>23</v>
      </c>
      <c r="R1161" t="s">
        <v>79</v>
      </c>
      <c r="S1161" t="s">
        <v>39</v>
      </c>
      <c r="T1161">
        <v>17</v>
      </c>
      <c r="W1161">
        <v>13.2</v>
      </c>
      <c r="X1161">
        <v>26.3</v>
      </c>
      <c r="Z1161" t="s">
        <v>39</v>
      </c>
      <c r="AB1161" t="s">
        <v>47</v>
      </c>
      <c r="AC1161" t="s">
        <v>87</v>
      </c>
    </row>
    <row r="1162" spans="1:30" x14ac:dyDescent="0.35">
      <c r="A1162" s="4">
        <v>42557</v>
      </c>
      <c r="B1162" t="s">
        <v>30</v>
      </c>
      <c r="C1162">
        <v>203</v>
      </c>
      <c r="D1162">
        <v>3</v>
      </c>
      <c r="E1162">
        <v>2</v>
      </c>
      <c r="F1162" t="s">
        <v>42</v>
      </c>
      <c r="G1162" t="s">
        <v>32</v>
      </c>
      <c r="H1162" t="s">
        <v>33</v>
      </c>
      <c r="I1162" t="s">
        <v>65</v>
      </c>
      <c r="J1162" t="s">
        <v>35</v>
      </c>
      <c r="K1162" t="s">
        <v>36</v>
      </c>
      <c r="L1162" t="s">
        <v>37</v>
      </c>
      <c r="M1162">
        <v>0</v>
      </c>
      <c r="N1162">
        <v>1</v>
      </c>
      <c r="O1162" s="5">
        <v>50666</v>
      </c>
      <c r="P1162" s="5"/>
      <c r="Q1162">
        <f>230-90</f>
        <v>140</v>
      </c>
      <c r="R1162" t="s">
        <v>64</v>
      </c>
      <c r="T1162">
        <v>45</v>
      </c>
      <c r="W1162">
        <v>25.5</v>
      </c>
      <c r="X1162">
        <v>46.8</v>
      </c>
      <c r="Z1162" t="s">
        <v>39</v>
      </c>
      <c r="AB1162" t="s">
        <v>47</v>
      </c>
      <c r="AC1162" t="s">
        <v>87</v>
      </c>
    </row>
    <row r="1163" spans="1:30" x14ac:dyDescent="0.35">
      <c r="A1163" s="4">
        <v>42557</v>
      </c>
      <c r="B1163" t="s">
        <v>30</v>
      </c>
      <c r="C1163">
        <v>203</v>
      </c>
      <c r="D1163">
        <v>2</v>
      </c>
      <c r="E1163">
        <v>2</v>
      </c>
      <c r="F1163" t="s">
        <v>42</v>
      </c>
      <c r="G1163" t="s">
        <v>32</v>
      </c>
      <c r="H1163" t="s">
        <v>33</v>
      </c>
      <c r="I1163" t="s">
        <v>65</v>
      </c>
      <c r="J1163" t="s">
        <v>35</v>
      </c>
      <c r="K1163" t="s">
        <v>88</v>
      </c>
      <c r="L1163" t="s">
        <v>45</v>
      </c>
      <c r="M1163">
        <v>0</v>
      </c>
      <c r="N1163">
        <v>1</v>
      </c>
      <c r="O1163" s="5">
        <v>50669</v>
      </c>
      <c r="P1163" s="5"/>
      <c r="Q1163">
        <f>205-90</f>
        <v>115</v>
      </c>
      <c r="R1163" t="s">
        <v>46</v>
      </c>
      <c r="S1163" t="s">
        <v>39</v>
      </c>
      <c r="T1163">
        <v>42</v>
      </c>
      <c r="W1163">
        <v>24.2</v>
      </c>
      <c r="X1163">
        <v>45.4</v>
      </c>
      <c r="Z1163" t="s">
        <v>39</v>
      </c>
      <c r="AB1163" t="s">
        <v>47</v>
      </c>
      <c r="AC1163" t="s">
        <v>87</v>
      </c>
    </row>
    <row r="1164" spans="1:30" x14ac:dyDescent="0.35">
      <c r="A1164" s="4">
        <v>42557</v>
      </c>
      <c r="B1164" t="s">
        <v>30</v>
      </c>
      <c r="C1164">
        <v>304</v>
      </c>
      <c r="D1164">
        <v>5</v>
      </c>
      <c r="E1164">
        <v>2</v>
      </c>
      <c r="F1164" t="s">
        <v>31</v>
      </c>
      <c r="G1164" t="s">
        <v>32</v>
      </c>
      <c r="H1164" t="s">
        <v>33</v>
      </c>
      <c r="I1164" t="s">
        <v>55</v>
      </c>
      <c r="J1164" t="s">
        <v>66</v>
      </c>
      <c r="O1164" s="5"/>
      <c r="P1164" s="5"/>
    </row>
    <row r="1165" spans="1:30" x14ac:dyDescent="0.35">
      <c r="A1165" s="4">
        <v>42557</v>
      </c>
      <c r="B1165" t="s">
        <v>30</v>
      </c>
      <c r="C1165">
        <v>201</v>
      </c>
      <c r="D1165">
        <v>4</v>
      </c>
      <c r="E1165">
        <v>1</v>
      </c>
      <c r="F1165" t="s">
        <v>42</v>
      </c>
      <c r="G1165" t="s">
        <v>32</v>
      </c>
      <c r="H1165" t="s">
        <v>33</v>
      </c>
      <c r="I1165" t="s">
        <v>55</v>
      </c>
      <c r="J1165" t="s">
        <v>66</v>
      </c>
      <c r="O1165" s="5"/>
      <c r="P1165" s="5"/>
    </row>
    <row r="1166" spans="1:30" x14ac:dyDescent="0.35">
      <c r="A1166" s="4">
        <v>42557</v>
      </c>
      <c r="B1166" t="s">
        <v>30</v>
      </c>
      <c r="C1166">
        <v>203</v>
      </c>
      <c r="D1166">
        <v>9</v>
      </c>
      <c r="E1166">
        <v>1</v>
      </c>
      <c r="F1166" t="s">
        <v>42</v>
      </c>
      <c r="G1166" t="s">
        <v>32</v>
      </c>
      <c r="H1166" t="s">
        <v>33</v>
      </c>
      <c r="I1166" t="s">
        <v>55</v>
      </c>
      <c r="J1166" t="s">
        <v>66</v>
      </c>
      <c r="O1166" s="5"/>
      <c r="P1166" s="5"/>
    </row>
    <row r="1167" spans="1:30" x14ac:dyDescent="0.35">
      <c r="A1167" s="4">
        <v>42557</v>
      </c>
      <c r="B1167" t="s">
        <v>30</v>
      </c>
      <c r="C1167">
        <v>112</v>
      </c>
      <c r="D1167">
        <v>1</v>
      </c>
      <c r="E1167">
        <v>1</v>
      </c>
      <c r="F1167" t="s">
        <v>31</v>
      </c>
      <c r="G1167" t="s">
        <v>32</v>
      </c>
      <c r="H1167" t="s">
        <v>33</v>
      </c>
      <c r="I1167" t="s">
        <v>84</v>
      </c>
      <c r="O1167" s="5"/>
      <c r="P1167" s="5"/>
    </row>
    <row r="1168" spans="1:30" x14ac:dyDescent="0.35">
      <c r="A1168" s="4">
        <v>42557</v>
      </c>
      <c r="B1168" t="s">
        <v>30</v>
      </c>
      <c r="C1168">
        <v>112</v>
      </c>
      <c r="D1168">
        <v>1</v>
      </c>
      <c r="E1168">
        <v>2</v>
      </c>
      <c r="F1168" t="s">
        <v>31</v>
      </c>
      <c r="G1168" t="s">
        <v>32</v>
      </c>
      <c r="H1168" t="s">
        <v>33</v>
      </c>
      <c r="I1168" t="s">
        <v>84</v>
      </c>
      <c r="O1168" s="5"/>
      <c r="P1168" s="5"/>
    </row>
    <row r="1169" spans="1:16" x14ac:dyDescent="0.35">
      <c r="A1169" s="4">
        <v>42557</v>
      </c>
      <c r="B1169" t="s">
        <v>30</v>
      </c>
      <c r="C1169">
        <v>112</v>
      </c>
      <c r="D1169">
        <v>2</v>
      </c>
      <c r="E1169">
        <v>1</v>
      </c>
      <c r="F1169" t="s">
        <v>31</v>
      </c>
      <c r="G1169" t="s">
        <v>32</v>
      </c>
      <c r="H1169" t="s">
        <v>33</v>
      </c>
      <c r="I1169" t="s">
        <v>84</v>
      </c>
      <c r="O1169" s="5"/>
      <c r="P1169" s="5"/>
    </row>
    <row r="1170" spans="1:16" x14ac:dyDescent="0.35">
      <c r="A1170" s="4">
        <v>42557</v>
      </c>
      <c r="B1170" t="s">
        <v>30</v>
      </c>
      <c r="C1170">
        <v>112</v>
      </c>
      <c r="D1170">
        <v>2</v>
      </c>
      <c r="E1170">
        <v>2</v>
      </c>
      <c r="F1170" t="s">
        <v>31</v>
      </c>
      <c r="G1170" t="s">
        <v>32</v>
      </c>
      <c r="H1170" t="s">
        <v>33</v>
      </c>
      <c r="I1170" t="s">
        <v>84</v>
      </c>
      <c r="O1170" s="5"/>
      <c r="P1170" s="5"/>
    </row>
    <row r="1171" spans="1:16" x14ac:dyDescent="0.35">
      <c r="A1171" s="4">
        <v>42557</v>
      </c>
      <c r="B1171" t="s">
        <v>30</v>
      </c>
      <c r="C1171">
        <v>112</v>
      </c>
      <c r="D1171">
        <v>3</v>
      </c>
      <c r="E1171">
        <v>1</v>
      </c>
      <c r="F1171" t="s">
        <v>31</v>
      </c>
      <c r="G1171" t="s">
        <v>32</v>
      </c>
      <c r="H1171" t="s">
        <v>33</v>
      </c>
      <c r="I1171" t="s">
        <v>84</v>
      </c>
      <c r="O1171" s="5"/>
      <c r="P1171" s="5"/>
    </row>
    <row r="1172" spans="1:16" x14ac:dyDescent="0.35">
      <c r="A1172" s="4">
        <v>42557</v>
      </c>
      <c r="B1172" t="s">
        <v>30</v>
      </c>
      <c r="C1172">
        <v>112</v>
      </c>
      <c r="D1172">
        <v>3</v>
      </c>
      <c r="E1172">
        <v>2</v>
      </c>
      <c r="F1172" t="s">
        <v>31</v>
      </c>
      <c r="G1172" t="s">
        <v>32</v>
      </c>
      <c r="H1172" t="s">
        <v>33</v>
      </c>
      <c r="I1172" t="s">
        <v>84</v>
      </c>
      <c r="O1172" s="5"/>
      <c r="P1172" s="5"/>
    </row>
    <row r="1173" spans="1:16" x14ac:dyDescent="0.35">
      <c r="A1173" s="4">
        <v>42557</v>
      </c>
      <c r="B1173" t="s">
        <v>30</v>
      </c>
      <c r="C1173">
        <v>112</v>
      </c>
      <c r="D1173">
        <v>4</v>
      </c>
      <c r="E1173">
        <v>1</v>
      </c>
      <c r="F1173" t="s">
        <v>31</v>
      </c>
      <c r="G1173" t="s">
        <v>32</v>
      </c>
      <c r="H1173" t="s">
        <v>33</v>
      </c>
      <c r="I1173" t="s">
        <v>84</v>
      </c>
      <c r="O1173" s="5"/>
      <c r="P1173" s="5"/>
    </row>
    <row r="1174" spans="1:16" x14ac:dyDescent="0.35">
      <c r="A1174" s="4">
        <v>42557</v>
      </c>
      <c r="B1174" t="s">
        <v>30</v>
      </c>
      <c r="C1174">
        <v>112</v>
      </c>
      <c r="D1174">
        <v>4</v>
      </c>
      <c r="E1174">
        <v>2</v>
      </c>
      <c r="F1174" t="s">
        <v>31</v>
      </c>
      <c r="G1174" t="s">
        <v>32</v>
      </c>
      <c r="H1174" t="s">
        <v>33</v>
      </c>
      <c r="I1174" t="s">
        <v>84</v>
      </c>
      <c r="O1174" s="5"/>
      <c r="P1174" s="5"/>
    </row>
    <row r="1175" spans="1:16" x14ac:dyDescent="0.35">
      <c r="A1175" s="4">
        <v>42557</v>
      </c>
      <c r="B1175" t="s">
        <v>30</v>
      </c>
      <c r="C1175">
        <v>112</v>
      </c>
      <c r="D1175">
        <v>7</v>
      </c>
      <c r="E1175">
        <v>1</v>
      </c>
      <c r="F1175" t="s">
        <v>31</v>
      </c>
      <c r="G1175" t="s">
        <v>32</v>
      </c>
      <c r="H1175" t="s">
        <v>33</v>
      </c>
      <c r="I1175" t="s">
        <v>84</v>
      </c>
      <c r="O1175" s="5"/>
      <c r="P1175" s="5"/>
    </row>
    <row r="1176" spans="1:16" x14ac:dyDescent="0.35">
      <c r="A1176" s="4">
        <v>42557</v>
      </c>
      <c r="B1176" t="s">
        <v>30</v>
      </c>
      <c r="C1176">
        <v>112</v>
      </c>
      <c r="D1176">
        <v>7</v>
      </c>
      <c r="E1176">
        <v>2</v>
      </c>
      <c r="F1176" t="s">
        <v>31</v>
      </c>
      <c r="G1176" t="s">
        <v>32</v>
      </c>
      <c r="H1176" t="s">
        <v>33</v>
      </c>
      <c r="I1176" t="s">
        <v>84</v>
      </c>
      <c r="O1176" s="5"/>
      <c r="P1176" s="5"/>
    </row>
    <row r="1177" spans="1:16" x14ac:dyDescent="0.35">
      <c r="A1177" s="4">
        <v>42557</v>
      </c>
      <c r="B1177" t="s">
        <v>30</v>
      </c>
      <c r="C1177">
        <v>112</v>
      </c>
      <c r="D1177">
        <v>8</v>
      </c>
      <c r="E1177">
        <v>1</v>
      </c>
      <c r="F1177" t="s">
        <v>31</v>
      </c>
      <c r="G1177" t="s">
        <v>32</v>
      </c>
      <c r="H1177" t="s">
        <v>33</v>
      </c>
      <c r="I1177" t="s">
        <v>84</v>
      </c>
      <c r="O1177" s="5"/>
      <c r="P1177" s="5"/>
    </row>
    <row r="1178" spans="1:16" x14ac:dyDescent="0.35">
      <c r="A1178" s="4">
        <v>42557</v>
      </c>
      <c r="B1178" t="s">
        <v>30</v>
      </c>
      <c r="C1178">
        <v>112</v>
      </c>
      <c r="D1178">
        <v>8</v>
      </c>
      <c r="E1178">
        <v>2</v>
      </c>
      <c r="F1178" t="s">
        <v>31</v>
      </c>
      <c r="G1178" t="s">
        <v>32</v>
      </c>
      <c r="H1178" t="s">
        <v>33</v>
      </c>
      <c r="I1178" t="s">
        <v>84</v>
      </c>
      <c r="O1178" s="5"/>
      <c r="P1178" s="5"/>
    </row>
    <row r="1179" spans="1:16" x14ac:dyDescent="0.35">
      <c r="A1179" s="4">
        <v>42557</v>
      </c>
      <c r="B1179" t="s">
        <v>30</v>
      </c>
      <c r="C1179">
        <v>112</v>
      </c>
      <c r="D1179">
        <v>9</v>
      </c>
      <c r="E1179">
        <v>1</v>
      </c>
      <c r="F1179" t="s">
        <v>31</v>
      </c>
      <c r="G1179" t="s">
        <v>32</v>
      </c>
      <c r="H1179" t="s">
        <v>33</v>
      </c>
      <c r="I1179" t="s">
        <v>84</v>
      </c>
      <c r="O1179" s="5"/>
      <c r="P1179" s="5"/>
    </row>
    <row r="1180" spans="1:16" x14ac:dyDescent="0.35">
      <c r="A1180" s="4">
        <v>42557</v>
      </c>
      <c r="B1180" t="s">
        <v>30</v>
      </c>
      <c r="C1180">
        <v>112</v>
      </c>
      <c r="D1180">
        <v>9</v>
      </c>
      <c r="E1180">
        <v>2</v>
      </c>
      <c r="F1180" t="s">
        <v>31</v>
      </c>
      <c r="G1180" t="s">
        <v>32</v>
      </c>
      <c r="H1180" t="s">
        <v>33</v>
      </c>
      <c r="I1180" t="s">
        <v>84</v>
      </c>
      <c r="O1180" s="5"/>
      <c r="P1180" s="5"/>
    </row>
    <row r="1181" spans="1:16" x14ac:dyDescent="0.35">
      <c r="A1181" s="4">
        <v>42557</v>
      </c>
      <c r="B1181" t="s">
        <v>30</v>
      </c>
      <c r="C1181">
        <v>112</v>
      </c>
      <c r="D1181">
        <v>10</v>
      </c>
      <c r="E1181">
        <v>1</v>
      </c>
      <c r="F1181" t="s">
        <v>31</v>
      </c>
      <c r="G1181" t="s">
        <v>32</v>
      </c>
      <c r="H1181" t="s">
        <v>33</v>
      </c>
      <c r="I1181" t="s">
        <v>84</v>
      </c>
      <c r="O1181" s="5"/>
      <c r="P1181" s="5"/>
    </row>
    <row r="1182" spans="1:16" x14ac:dyDescent="0.35">
      <c r="A1182" s="4">
        <v>42557</v>
      </c>
      <c r="B1182" t="s">
        <v>30</v>
      </c>
      <c r="C1182">
        <v>112</v>
      </c>
      <c r="D1182">
        <v>10</v>
      </c>
      <c r="E1182">
        <v>2</v>
      </c>
      <c r="F1182" t="s">
        <v>31</v>
      </c>
      <c r="G1182" t="s">
        <v>32</v>
      </c>
      <c r="H1182" t="s">
        <v>33</v>
      </c>
      <c r="I1182" t="s">
        <v>84</v>
      </c>
      <c r="O1182" s="5"/>
      <c r="P1182" s="5"/>
    </row>
    <row r="1183" spans="1:16" x14ac:dyDescent="0.35">
      <c r="A1183" s="4">
        <v>42557</v>
      </c>
      <c r="B1183" t="s">
        <v>30</v>
      </c>
      <c r="C1183">
        <v>304</v>
      </c>
      <c r="D1183">
        <v>9</v>
      </c>
      <c r="E1183">
        <v>1</v>
      </c>
      <c r="F1183" t="s">
        <v>31</v>
      </c>
      <c r="G1183" t="s">
        <v>32</v>
      </c>
      <c r="H1183" t="s">
        <v>33</v>
      </c>
      <c r="I1183" t="s">
        <v>84</v>
      </c>
      <c r="O1183" s="5"/>
      <c r="P1183" s="5"/>
    </row>
    <row r="1184" spans="1:16" x14ac:dyDescent="0.35">
      <c r="A1184" s="4">
        <v>42557</v>
      </c>
      <c r="B1184" t="s">
        <v>30</v>
      </c>
      <c r="C1184">
        <v>304</v>
      </c>
      <c r="D1184">
        <v>7</v>
      </c>
      <c r="E1184">
        <v>1</v>
      </c>
      <c r="F1184" t="s">
        <v>31</v>
      </c>
      <c r="G1184" t="s">
        <v>32</v>
      </c>
      <c r="H1184" t="s">
        <v>33</v>
      </c>
      <c r="I1184" t="s">
        <v>84</v>
      </c>
      <c r="O1184" s="5"/>
      <c r="P1184" s="5"/>
    </row>
    <row r="1185" spans="1:16" x14ac:dyDescent="0.35">
      <c r="A1185" s="4">
        <v>42557</v>
      </c>
      <c r="B1185" t="s">
        <v>30</v>
      </c>
      <c r="C1185">
        <v>111</v>
      </c>
      <c r="D1185">
        <v>5</v>
      </c>
      <c r="E1185">
        <v>1</v>
      </c>
      <c r="F1185" t="s">
        <v>31</v>
      </c>
      <c r="G1185" t="s">
        <v>32</v>
      </c>
      <c r="H1185" t="s">
        <v>33</v>
      </c>
      <c r="I1185" t="s">
        <v>59</v>
      </c>
      <c r="O1185" s="5"/>
      <c r="P1185" s="5"/>
    </row>
    <row r="1186" spans="1:16" x14ac:dyDescent="0.35">
      <c r="A1186" s="4">
        <v>42557</v>
      </c>
      <c r="B1186" t="s">
        <v>30</v>
      </c>
      <c r="C1186">
        <v>112</v>
      </c>
      <c r="D1186">
        <v>5</v>
      </c>
      <c r="E1186">
        <v>1</v>
      </c>
      <c r="F1186" t="s">
        <v>31</v>
      </c>
      <c r="G1186" t="s">
        <v>32</v>
      </c>
      <c r="H1186" t="s">
        <v>33</v>
      </c>
      <c r="I1186" t="s">
        <v>59</v>
      </c>
      <c r="O1186" s="5"/>
      <c r="P1186" s="5"/>
    </row>
    <row r="1187" spans="1:16" x14ac:dyDescent="0.35">
      <c r="A1187" s="4">
        <v>42557</v>
      </c>
      <c r="B1187" t="s">
        <v>30</v>
      </c>
      <c r="C1187">
        <v>112</v>
      </c>
      <c r="D1187">
        <v>5</v>
      </c>
      <c r="E1187">
        <v>2</v>
      </c>
      <c r="F1187" t="s">
        <v>31</v>
      </c>
      <c r="G1187" t="s">
        <v>32</v>
      </c>
      <c r="H1187" t="s">
        <v>33</v>
      </c>
      <c r="I1187" t="s">
        <v>59</v>
      </c>
      <c r="O1187" s="5"/>
      <c r="P1187" s="5"/>
    </row>
    <row r="1188" spans="1:16" x14ac:dyDescent="0.35">
      <c r="A1188" s="4">
        <v>42557</v>
      </c>
      <c r="B1188" t="s">
        <v>30</v>
      </c>
      <c r="C1188">
        <v>112</v>
      </c>
      <c r="D1188">
        <v>6</v>
      </c>
      <c r="E1188">
        <v>1</v>
      </c>
      <c r="F1188" t="s">
        <v>31</v>
      </c>
      <c r="G1188" t="s">
        <v>32</v>
      </c>
      <c r="H1188" t="s">
        <v>33</v>
      </c>
      <c r="I1188" t="s">
        <v>59</v>
      </c>
      <c r="O1188" s="5"/>
      <c r="P1188" s="5"/>
    </row>
    <row r="1189" spans="1:16" x14ac:dyDescent="0.35">
      <c r="A1189" s="4">
        <v>42557</v>
      </c>
      <c r="B1189" t="s">
        <v>30</v>
      </c>
      <c r="C1189">
        <v>112</v>
      </c>
      <c r="D1189">
        <v>6</v>
      </c>
      <c r="E1189">
        <v>2</v>
      </c>
      <c r="F1189" t="s">
        <v>31</v>
      </c>
      <c r="G1189" t="s">
        <v>32</v>
      </c>
      <c r="H1189" t="s">
        <v>33</v>
      </c>
      <c r="I1189" t="s">
        <v>59</v>
      </c>
      <c r="O1189" s="5"/>
      <c r="P1189" s="5"/>
    </row>
    <row r="1190" spans="1:16" x14ac:dyDescent="0.35">
      <c r="A1190" s="4">
        <v>42557</v>
      </c>
      <c r="B1190" t="s">
        <v>30</v>
      </c>
      <c r="C1190">
        <v>113</v>
      </c>
      <c r="D1190">
        <v>8</v>
      </c>
      <c r="E1190">
        <v>1</v>
      </c>
      <c r="F1190" t="s">
        <v>31</v>
      </c>
      <c r="G1190" t="s">
        <v>32</v>
      </c>
      <c r="H1190" t="s">
        <v>33</v>
      </c>
      <c r="I1190" t="s">
        <v>59</v>
      </c>
      <c r="O1190" s="5"/>
      <c r="P1190" s="5"/>
    </row>
    <row r="1191" spans="1:16" x14ac:dyDescent="0.35">
      <c r="A1191" s="4">
        <v>42557</v>
      </c>
      <c r="B1191" t="s">
        <v>30</v>
      </c>
      <c r="C1191">
        <v>402</v>
      </c>
      <c r="D1191">
        <v>4</v>
      </c>
      <c r="E1191">
        <v>1</v>
      </c>
      <c r="F1191" t="s">
        <v>31</v>
      </c>
      <c r="G1191" t="s">
        <v>32</v>
      </c>
      <c r="H1191" t="s">
        <v>33</v>
      </c>
      <c r="I1191" t="s">
        <v>59</v>
      </c>
      <c r="O1191" s="5"/>
      <c r="P1191" s="5"/>
    </row>
    <row r="1192" spans="1:16" x14ac:dyDescent="0.35">
      <c r="A1192" s="4">
        <v>42557</v>
      </c>
      <c r="B1192" t="s">
        <v>30</v>
      </c>
      <c r="C1192">
        <v>402</v>
      </c>
      <c r="D1192">
        <v>7</v>
      </c>
      <c r="E1192">
        <v>1</v>
      </c>
      <c r="F1192" t="s">
        <v>31</v>
      </c>
      <c r="G1192" t="s">
        <v>32</v>
      </c>
      <c r="H1192" t="s">
        <v>33</v>
      </c>
      <c r="I1192" t="s">
        <v>59</v>
      </c>
      <c r="O1192" s="5"/>
      <c r="P1192" s="5"/>
    </row>
    <row r="1193" spans="1:16" x14ac:dyDescent="0.35">
      <c r="A1193" s="4">
        <v>42557</v>
      </c>
      <c r="B1193" t="s">
        <v>30</v>
      </c>
      <c r="C1193">
        <v>402</v>
      </c>
      <c r="D1193">
        <v>8</v>
      </c>
      <c r="E1193">
        <v>1</v>
      </c>
      <c r="F1193" t="s">
        <v>31</v>
      </c>
      <c r="G1193" t="s">
        <v>32</v>
      </c>
      <c r="H1193" t="s">
        <v>33</v>
      </c>
      <c r="I1193" t="s">
        <v>59</v>
      </c>
      <c r="O1193" s="5"/>
      <c r="P1193" s="5"/>
    </row>
    <row r="1194" spans="1:16" x14ac:dyDescent="0.35">
      <c r="A1194" s="4">
        <v>42557</v>
      </c>
      <c r="B1194" t="s">
        <v>30</v>
      </c>
      <c r="C1194">
        <v>304</v>
      </c>
      <c r="D1194">
        <v>8</v>
      </c>
      <c r="E1194">
        <v>1</v>
      </c>
      <c r="F1194" t="s">
        <v>31</v>
      </c>
      <c r="G1194" t="s">
        <v>32</v>
      </c>
      <c r="H1194" t="s">
        <v>33</v>
      </c>
      <c r="I1194" t="s">
        <v>59</v>
      </c>
      <c r="O1194" s="5"/>
      <c r="P1194" s="5"/>
    </row>
    <row r="1195" spans="1:16" x14ac:dyDescent="0.35">
      <c r="A1195" s="4">
        <v>42557</v>
      </c>
      <c r="B1195" t="s">
        <v>30</v>
      </c>
      <c r="C1195">
        <v>304</v>
      </c>
      <c r="D1195">
        <v>6</v>
      </c>
      <c r="E1195">
        <v>1</v>
      </c>
      <c r="F1195" t="s">
        <v>31</v>
      </c>
      <c r="G1195" t="s">
        <v>32</v>
      </c>
      <c r="H1195" t="s">
        <v>33</v>
      </c>
      <c r="I1195" t="s">
        <v>59</v>
      </c>
      <c r="O1195" s="5"/>
      <c r="P1195" s="5"/>
    </row>
    <row r="1196" spans="1:16" x14ac:dyDescent="0.35">
      <c r="A1196" s="4">
        <v>42557</v>
      </c>
      <c r="B1196" t="s">
        <v>30</v>
      </c>
      <c r="C1196">
        <v>304</v>
      </c>
      <c r="D1196">
        <v>4</v>
      </c>
      <c r="E1196">
        <v>1</v>
      </c>
      <c r="F1196" t="s">
        <v>31</v>
      </c>
      <c r="G1196" t="s">
        <v>32</v>
      </c>
      <c r="H1196" t="s">
        <v>33</v>
      </c>
      <c r="I1196" t="s">
        <v>59</v>
      </c>
      <c r="O1196" s="5"/>
      <c r="P1196" s="5"/>
    </row>
    <row r="1197" spans="1:16" x14ac:dyDescent="0.35">
      <c r="A1197" s="4">
        <v>42557</v>
      </c>
      <c r="B1197" t="s">
        <v>30</v>
      </c>
      <c r="C1197">
        <v>201</v>
      </c>
      <c r="D1197">
        <v>2</v>
      </c>
      <c r="E1197">
        <v>1</v>
      </c>
      <c r="F1197" t="s">
        <v>42</v>
      </c>
      <c r="G1197" t="s">
        <v>32</v>
      </c>
      <c r="H1197" t="s">
        <v>33</v>
      </c>
      <c r="I1197" t="s">
        <v>59</v>
      </c>
      <c r="O1197" s="5"/>
      <c r="P1197" s="5"/>
    </row>
    <row r="1198" spans="1:16" x14ac:dyDescent="0.35">
      <c r="A1198" s="4">
        <v>42557</v>
      </c>
      <c r="B1198" t="s">
        <v>30</v>
      </c>
      <c r="C1198">
        <v>203</v>
      </c>
      <c r="D1198">
        <v>1</v>
      </c>
      <c r="E1198">
        <v>1</v>
      </c>
      <c r="F1198" t="s">
        <v>42</v>
      </c>
      <c r="G1198" t="s">
        <v>32</v>
      </c>
      <c r="H1198" t="s">
        <v>33</v>
      </c>
      <c r="I1198" t="s">
        <v>59</v>
      </c>
      <c r="O1198" s="5"/>
      <c r="P1198" s="5"/>
    </row>
    <row r="1199" spans="1:16" x14ac:dyDescent="0.35">
      <c r="A1199" s="4">
        <v>42557</v>
      </c>
      <c r="B1199" t="s">
        <v>30</v>
      </c>
      <c r="C1199">
        <v>203</v>
      </c>
      <c r="D1199">
        <v>1</v>
      </c>
      <c r="E1199">
        <v>2</v>
      </c>
      <c r="F1199" t="s">
        <v>42</v>
      </c>
      <c r="G1199" t="s">
        <v>32</v>
      </c>
      <c r="H1199" t="s">
        <v>33</v>
      </c>
      <c r="I1199" t="s">
        <v>59</v>
      </c>
      <c r="O1199" s="5"/>
      <c r="P1199" s="5"/>
    </row>
    <row r="1200" spans="1:16" x14ac:dyDescent="0.35">
      <c r="A1200" s="4">
        <v>42557</v>
      </c>
      <c r="B1200" t="s">
        <v>30</v>
      </c>
      <c r="C1200">
        <v>203</v>
      </c>
      <c r="D1200">
        <v>2</v>
      </c>
      <c r="E1200">
        <v>1</v>
      </c>
      <c r="F1200" t="s">
        <v>42</v>
      </c>
      <c r="G1200" t="s">
        <v>32</v>
      </c>
      <c r="H1200" t="s">
        <v>33</v>
      </c>
      <c r="I1200" t="s">
        <v>59</v>
      </c>
      <c r="O1200" s="5"/>
      <c r="P1200" s="5"/>
    </row>
    <row r="1201" spans="1:29" x14ac:dyDescent="0.35">
      <c r="A1201" s="4">
        <v>42557</v>
      </c>
      <c r="B1201" t="s">
        <v>30</v>
      </c>
      <c r="C1201">
        <v>203</v>
      </c>
      <c r="D1201">
        <v>4</v>
      </c>
      <c r="E1201">
        <v>1</v>
      </c>
      <c r="F1201" t="s">
        <v>42</v>
      </c>
      <c r="G1201" t="s">
        <v>32</v>
      </c>
      <c r="H1201" t="s">
        <v>33</v>
      </c>
      <c r="I1201" t="s">
        <v>59</v>
      </c>
      <c r="O1201" s="5"/>
      <c r="P1201" s="5"/>
    </row>
    <row r="1202" spans="1:29" x14ac:dyDescent="0.35">
      <c r="A1202" s="4">
        <v>42557</v>
      </c>
      <c r="B1202" t="s">
        <v>30</v>
      </c>
      <c r="C1202">
        <v>203</v>
      </c>
      <c r="D1202">
        <v>4</v>
      </c>
      <c r="E1202">
        <v>2</v>
      </c>
      <c r="F1202" t="s">
        <v>42</v>
      </c>
      <c r="G1202" t="s">
        <v>32</v>
      </c>
      <c r="H1202" t="s">
        <v>33</v>
      </c>
      <c r="I1202" t="s">
        <v>59</v>
      </c>
      <c r="O1202" s="5"/>
      <c r="P1202" s="5"/>
    </row>
    <row r="1203" spans="1:29" x14ac:dyDescent="0.35">
      <c r="A1203" s="4">
        <v>42557</v>
      </c>
      <c r="B1203" t="s">
        <v>30</v>
      </c>
      <c r="C1203">
        <v>203</v>
      </c>
      <c r="D1203">
        <v>5</v>
      </c>
      <c r="E1203">
        <v>1</v>
      </c>
      <c r="F1203" t="s">
        <v>42</v>
      </c>
      <c r="G1203" t="s">
        <v>32</v>
      </c>
      <c r="H1203" t="s">
        <v>33</v>
      </c>
      <c r="I1203" t="s">
        <v>59</v>
      </c>
      <c r="O1203" s="5"/>
      <c r="P1203" s="5"/>
    </row>
    <row r="1204" spans="1:29" x14ac:dyDescent="0.35">
      <c r="A1204" s="4">
        <v>42557</v>
      </c>
      <c r="B1204" t="s">
        <v>30</v>
      </c>
      <c r="C1204">
        <v>203</v>
      </c>
      <c r="D1204">
        <v>6</v>
      </c>
      <c r="E1204">
        <v>1</v>
      </c>
      <c r="F1204" t="s">
        <v>42</v>
      </c>
      <c r="G1204" t="s">
        <v>32</v>
      </c>
      <c r="H1204" t="s">
        <v>33</v>
      </c>
      <c r="I1204" t="s">
        <v>59</v>
      </c>
      <c r="O1204" s="5"/>
      <c r="P1204" s="5"/>
    </row>
    <row r="1205" spans="1:29" x14ac:dyDescent="0.35">
      <c r="A1205" s="4">
        <v>42557</v>
      </c>
      <c r="B1205" t="s">
        <v>30</v>
      </c>
      <c r="C1205">
        <v>203</v>
      </c>
      <c r="D1205">
        <v>6</v>
      </c>
      <c r="E1205">
        <v>2</v>
      </c>
      <c r="F1205" t="s">
        <v>42</v>
      </c>
      <c r="G1205" t="s">
        <v>32</v>
      </c>
      <c r="H1205" t="s">
        <v>33</v>
      </c>
      <c r="I1205" t="s">
        <v>59</v>
      </c>
      <c r="O1205" s="5"/>
      <c r="P1205" s="5"/>
    </row>
    <row r="1206" spans="1:29" x14ac:dyDescent="0.35">
      <c r="A1206" s="4">
        <v>42557</v>
      </c>
      <c r="B1206" t="s">
        <v>30</v>
      </c>
      <c r="C1206">
        <v>203</v>
      </c>
      <c r="D1206">
        <v>7</v>
      </c>
      <c r="E1206">
        <v>1</v>
      </c>
      <c r="F1206" t="s">
        <v>42</v>
      </c>
      <c r="G1206" t="s">
        <v>32</v>
      </c>
      <c r="H1206" t="s">
        <v>33</v>
      </c>
      <c r="I1206" t="s">
        <v>59</v>
      </c>
      <c r="O1206" s="5"/>
      <c r="P1206" s="5"/>
    </row>
    <row r="1207" spans="1:29" x14ac:dyDescent="0.35">
      <c r="A1207" s="4">
        <v>42557</v>
      </c>
      <c r="B1207" t="s">
        <v>30</v>
      </c>
      <c r="C1207">
        <v>202</v>
      </c>
      <c r="D1207">
        <v>1</v>
      </c>
      <c r="E1207">
        <v>1</v>
      </c>
      <c r="F1207" t="s">
        <v>42</v>
      </c>
      <c r="G1207" t="s">
        <v>32</v>
      </c>
      <c r="H1207" t="s">
        <v>33</v>
      </c>
      <c r="I1207" t="s">
        <v>59</v>
      </c>
      <c r="O1207" s="5"/>
      <c r="P1207" s="5"/>
    </row>
    <row r="1208" spans="1:29" x14ac:dyDescent="0.35">
      <c r="A1208" s="4">
        <v>42557</v>
      </c>
      <c r="B1208" t="s">
        <v>30</v>
      </c>
      <c r="C1208">
        <v>202</v>
      </c>
      <c r="D1208">
        <v>1</v>
      </c>
      <c r="E1208">
        <v>2</v>
      </c>
      <c r="F1208" t="s">
        <v>42</v>
      </c>
      <c r="G1208" t="s">
        <v>32</v>
      </c>
      <c r="H1208" t="s">
        <v>33</v>
      </c>
      <c r="I1208" t="s">
        <v>59</v>
      </c>
      <c r="O1208" s="5"/>
      <c r="P1208" s="5"/>
    </row>
    <row r="1209" spans="1:29" x14ac:dyDescent="0.35">
      <c r="A1209" s="4">
        <v>42557</v>
      </c>
      <c r="B1209" t="s">
        <v>30</v>
      </c>
      <c r="C1209">
        <v>202</v>
      </c>
      <c r="D1209">
        <v>3</v>
      </c>
      <c r="E1209">
        <v>1</v>
      </c>
      <c r="F1209" t="s">
        <v>42</v>
      </c>
      <c r="G1209" t="s">
        <v>32</v>
      </c>
      <c r="H1209" t="s">
        <v>33</v>
      </c>
      <c r="I1209" t="s">
        <v>59</v>
      </c>
      <c r="O1209" s="5"/>
      <c r="P1209" s="5"/>
    </row>
    <row r="1210" spans="1:29" x14ac:dyDescent="0.35">
      <c r="A1210" s="4">
        <v>42557</v>
      </c>
      <c r="B1210" t="s">
        <v>30</v>
      </c>
      <c r="C1210">
        <v>202</v>
      </c>
      <c r="D1210">
        <v>4</v>
      </c>
      <c r="E1210">
        <v>1</v>
      </c>
      <c r="F1210" t="s">
        <v>42</v>
      </c>
      <c r="G1210" t="s">
        <v>32</v>
      </c>
      <c r="H1210" t="s">
        <v>33</v>
      </c>
      <c r="I1210" t="s">
        <v>59</v>
      </c>
      <c r="O1210" s="5"/>
      <c r="P1210" s="5"/>
    </row>
    <row r="1211" spans="1:29" x14ac:dyDescent="0.35">
      <c r="A1211" s="4">
        <v>42557</v>
      </c>
      <c r="B1211" t="s">
        <v>30</v>
      </c>
      <c r="C1211">
        <v>111</v>
      </c>
      <c r="D1211">
        <v>5</v>
      </c>
      <c r="E1211">
        <v>2</v>
      </c>
      <c r="F1211" t="s">
        <v>31</v>
      </c>
      <c r="G1211" t="s">
        <v>32</v>
      </c>
      <c r="H1211" t="s">
        <v>33</v>
      </c>
      <c r="I1211" t="s">
        <v>94</v>
      </c>
      <c r="J1211" t="s">
        <v>35</v>
      </c>
      <c r="K1211" t="s">
        <v>36</v>
      </c>
      <c r="L1211" t="s">
        <v>45</v>
      </c>
      <c r="M1211">
        <v>0</v>
      </c>
      <c r="N1211">
        <v>1</v>
      </c>
      <c r="O1211" s="5">
        <v>50555</v>
      </c>
      <c r="P1211" s="5"/>
      <c r="Q1211">
        <v>23</v>
      </c>
      <c r="R1211" t="s">
        <v>143</v>
      </c>
      <c r="S1211" t="s">
        <v>102</v>
      </c>
      <c r="T1211">
        <v>20</v>
      </c>
      <c r="W1211">
        <v>12.9</v>
      </c>
      <c r="X1211">
        <v>26.5</v>
      </c>
      <c r="Z1211" t="s">
        <v>39</v>
      </c>
      <c r="AB1211" t="s">
        <v>47</v>
      </c>
      <c r="AC1211" t="s">
        <v>87</v>
      </c>
    </row>
    <row r="1212" spans="1:29" x14ac:dyDescent="0.35">
      <c r="A1212" s="4">
        <v>42557</v>
      </c>
      <c r="B1212" t="s">
        <v>30</v>
      </c>
      <c r="C1212">
        <v>402</v>
      </c>
      <c r="D1212">
        <v>1</v>
      </c>
      <c r="E1212">
        <v>1</v>
      </c>
      <c r="F1212" t="s">
        <v>31</v>
      </c>
      <c r="G1212" t="s">
        <v>32</v>
      </c>
      <c r="H1212" t="s">
        <v>33</v>
      </c>
      <c r="I1212" t="s">
        <v>94</v>
      </c>
      <c r="J1212" t="s">
        <v>35</v>
      </c>
      <c r="K1212" t="s">
        <v>36</v>
      </c>
      <c r="L1212" t="s">
        <v>45</v>
      </c>
      <c r="M1212">
        <v>0</v>
      </c>
      <c r="N1212">
        <v>1</v>
      </c>
      <c r="O1212" s="5">
        <v>50560</v>
      </c>
      <c r="P1212" s="5"/>
      <c r="Q1212">
        <f>34-9</f>
        <v>25</v>
      </c>
      <c r="R1212" t="s">
        <v>161</v>
      </c>
      <c r="S1212" t="s">
        <v>102</v>
      </c>
      <c r="T1212">
        <v>29</v>
      </c>
      <c r="W1212">
        <v>12.1</v>
      </c>
      <c r="X1212">
        <v>25.8</v>
      </c>
      <c r="Z1212" t="s">
        <v>39</v>
      </c>
      <c r="AB1212" t="s">
        <v>47</v>
      </c>
      <c r="AC1212" t="s">
        <v>87</v>
      </c>
    </row>
    <row r="1213" spans="1:29" x14ac:dyDescent="0.35">
      <c r="A1213" s="4">
        <v>42557</v>
      </c>
      <c r="B1213" t="s">
        <v>30</v>
      </c>
      <c r="C1213">
        <v>203</v>
      </c>
      <c r="D1213">
        <v>7</v>
      </c>
      <c r="E1213">
        <v>2</v>
      </c>
      <c r="F1213" t="s">
        <v>42</v>
      </c>
      <c r="G1213" t="s">
        <v>32</v>
      </c>
      <c r="H1213" t="s">
        <v>33</v>
      </c>
      <c r="I1213" t="s">
        <v>94</v>
      </c>
      <c r="J1213" t="s">
        <v>44</v>
      </c>
      <c r="K1213" t="s">
        <v>36</v>
      </c>
      <c r="L1213" t="s">
        <v>45</v>
      </c>
      <c r="M1213">
        <v>0</v>
      </c>
      <c r="N1213">
        <v>0</v>
      </c>
      <c r="O1213" s="5">
        <v>50631</v>
      </c>
      <c r="P1213" s="5"/>
      <c r="Q1213">
        <f>33-9.5</f>
        <v>23.5</v>
      </c>
      <c r="R1213" t="s">
        <v>74</v>
      </c>
      <c r="S1213" t="s">
        <v>102</v>
      </c>
      <c r="T1213">
        <v>27</v>
      </c>
      <c r="W1213">
        <v>12.1</v>
      </c>
      <c r="X1213">
        <v>27.7</v>
      </c>
      <c r="Z1213" t="s">
        <v>39</v>
      </c>
      <c r="AB1213" t="s">
        <v>47</v>
      </c>
      <c r="AC1213" t="s">
        <v>87</v>
      </c>
    </row>
    <row r="1214" spans="1:29" x14ac:dyDescent="0.35">
      <c r="A1214" s="4">
        <v>42557</v>
      </c>
      <c r="B1214" t="s">
        <v>30</v>
      </c>
      <c r="C1214">
        <v>201</v>
      </c>
      <c r="D1214">
        <v>4</v>
      </c>
      <c r="E1214">
        <v>2</v>
      </c>
      <c r="F1214" t="s">
        <v>42</v>
      </c>
      <c r="G1214" t="s">
        <v>32</v>
      </c>
      <c r="H1214" t="s">
        <v>33</v>
      </c>
      <c r="I1214" t="s">
        <v>94</v>
      </c>
      <c r="J1214" t="s">
        <v>44</v>
      </c>
      <c r="K1214" t="s">
        <v>36</v>
      </c>
      <c r="L1214" t="s">
        <v>45</v>
      </c>
      <c r="M1214">
        <v>0</v>
      </c>
      <c r="N1214">
        <v>0</v>
      </c>
      <c r="O1214" s="5" t="s">
        <v>196</v>
      </c>
      <c r="P1214" s="5"/>
      <c r="Q1214">
        <f>33.5-9</f>
        <v>24.5</v>
      </c>
      <c r="R1214" t="s">
        <v>74</v>
      </c>
      <c r="S1214" t="s">
        <v>102</v>
      </c>
      <c r="T1214">
        <v>28</v>
      </c>
      <c r="W1214">
        <v>12.9</v>
      </c>
      <c r="X1214">
        <v>27.55</v>
      </c>
      <c r="Z1214" t="s">
        <v>39</v>
      </c>
      <c r="AB1214" t="s">
        <v>47</v>
      </c>
      <c r="AC1214" t="s">
        <v>87</v>
      </c>
    </row>
    <row r="1215" spans="1:29" x14ac:dyDescent="0.35">
      <c r="A1215" s="4">
        <v>42557</v>
      </c>
      <c r="B1215" t="s">
        <v>30</v>
      </c>
      <c r="C1215">
        <v>402</v>
      </c>
      <c r="D1215">
        <v>9</v>
      </c>
      <c r="E1215">
        <v>1</v>
      </c>
      <c r="F1215" t="s">
        <v>31</v>
      </c>
      <c r="G1215" t="s">
        <v>32</v>
      </c>
      <c r="H1215" t="s">
        <v>33</v>
      </c>
      <c r="I1215" t="s">
        <v>94</v>
      </c>
      <c r="J1215" t="s">
        <v>44</v>
      </c>
      <c r="K1215" t="s">
        <v>36</v>
      </c>
      <c r="L1215" t="s">
        <v>45</v>
      </c>
      <c r="M1215">
        <v>0</v>
      </c>
      <c r="N1215">
        <v>0</v>
      </c>
      <c r="O1215" s="5"/>
      <c r="P1215" s="5">
        <v>50554</v>
      </c>
      <c r="Q1215">
        <f>32-9</f>
        <v>23</v>
      </c>
      <c r="R1215" t="s">
        <v>145</v>
      </c>
      <c r="S1215" t="s">
        <v>102</v>
      </c>
      <c r="T1215">
        <v>30</v>
      </c>
      <c r="W1215">
        <v>12.3</v>
      </c>
      <c r="X1215">
        <v>26.8</v>
      </c>
      <c r="Z1215" t="s">
        <v>39</v>
      </c>
      <c r="AB1215" t="s">
        <v>47</v>
      </c>
      <c r="AC1215" t="s">
        <v>87</v>
      </c>
    </row>
    <row r="1216" spans="1:29" x14ac:dyDescent="0.35">
      <c r="A1216" s="4">
        <v>42557</v>
      </c>
      <c r="B1216" t="s">
        <v>30</v>
      </c>
      <c r="C1216">
        <v>402</v>
      </c>
      <c r="D1216">
        <v>9</v>
      </c>
      <c r="E1216">
        <v>2</v>
      </c>
      <c r="F1216" t="s">
        <v>31</v>
      </c>
      <c r="G1216" t="s">
        <v>32</v>
      </c>
      <c r="H1216" t="s">
        <v>33</v>
      </c>
      <c r="I1216" t="s">
        <v>94</v>
      </c>
      <c r="J1216" t="s">
        <v>122</v>
      </c>
      <c r="O1216" s="5"/>
      <c r="P1216" s="5"/>
    </row>
    <row r="1217" spans="1:30" x14ac:dyDescent="0.35">
      <c r="A1217" s="4">
        <v>42557</v>
      </c>
      <c r="B1217" t="s">
        <v>30</v>
      </c>
      <c r="C1217">
        <v>304</v>
      </c>
      <c r="D1217">
        <v>8</v>
      </c>
      <c r="E1217">
        <v>2</v>
      </c>
      <c r="F1217" t="s">
        <v>31</v>
      </c>
      <c r="G1217" t="s">
        <v>32</v>
      </c>
      <c r="H1217" t="s">
        <v>33</v>
      </c>
      <c r="I1217" t="s">
        <v>94</v>
      </c>
      <c r="J1217" t="s">
        <v>35</v>
      </c>
      <c r="K1217" t="s">
        <v>36</v>
      </c>
      <c r="M1217">
        <v>0</v>
      </c>
      <c r="N1217">
        <v>1</v>
      </c>
      <c r="O1217" s="5"/>
      <c r="P1217" s="5">
        <v>50563</v>
      </c>
      <c r="AB1217" t="s">
        <v>47</v>
      </c>
      <c r="AC1217" t="s">
        <v>87</v>
      </c>
      <c r="AD1217" t="s">
        <v>197</v>
      </c>
    </row>
    <row r="1218" spans="1:30" x14ac:dyDescent="0.35">
      <c r="A1218" s="4">
        <v>42558</v>
      </c>
      <c r="B1218" t="s">
        <v>30</v>
      </c>
      <c r="C1218">
        <v>201</v>
      </c>
      <c r="D1218">
        <v>2</v>
      </c>
      <c r="E1218">
        <v>1</v>
      </c>
      <c r="F1218" t="s">
        <v>42</v>
      </c>
      <c r="G1218" t="s">
        <v>32</v>
      </c>
      <c r="H1218" t="s">
        <v>33</v>
      </c>
      <c r="I1218" t="s">
        <v>43</v>
      </c>
      <c r="J1218" t="s">
        <v>44</v>
      </c>
      <c r="K1218" t="s">
        <v>36</v>
      </c>
      <c r="L1218" t="s">
        <v>37</v>
      </c>
      <c r="M1218">
        <v>0</v>
      </c>
      <c r="N1218">
        <v>0</v>
      </c>
      <c r="O1218" s="5">
        <v>50335</v>
      </c>
      <c r="P1218" s="5">
        <v>50334</v>
      </c>
      <c r="Q1218">
        <f>31-9</f>
        <v>22</v>
      </c>
      <c r="R1218" t="s">
        <v>38</v>
      </c>
      <c r="T1218">
        <v>19</v>
      </c>
      <c r="U1218">
        <v>92</v>
      </c>
      <c r="V1218">
        <v>17</v>
      </c>
      <c r="W1218">
        <v>13.6</v>
      </c>
      <c r="X1218">
        <v>29.4</v>
      </c>
      <c r="Z1218" t="s">
        <v>39</v>
      </c>
      <c r="AB1218" t="s">
        <v>86</v>
      </c>
      <c r="AC1218" t="s">
        <v>137</v>
      </c>
    </row>
    <row r="1219" spans="1:30" x14ac:dyDescent="0.35">
      <c r="A1219" s="4">
        <v>42558</v>
      </c>
      <c r="B1219" t="s">
        <v>30</v>
      </c>
      <c r="C1219">
        <v>111</v>
      </c>
      <c r="D1219">
        <v>3</v>
      </c>
      <c r="E1219">
        <v>2</v>
      </c>
      <c r="F1219" t="s">
        <v>31</v>
      </c>
      <c r="G1219" t="s">
        <v>32</v>
      </c>
      <c r="H1219" t="s">
        <v>33</v>
      </c>
      <c r="I1219" t="s">
        <v>43</v>
      </c>
      <c r="J1219" t="s">
        <v>44</v>
      </c>
      <c r="K1219" t="s">
        <v>36</v>
      </c>
      <c r="L1219" t="s">
        <v>45</v>
      </c>
      <c r="M1219">
        <v>0</v>
      </c>
      <c r="N1219">
        <v>0</v>
      </c>
      <c r="O1219" s="5">
        <v>50348</v>
      </c>
      <c r="P1219" s="5">
        <v>50347</v>
      </c>
      <c r="Q1219">
        <f>30.5-9.5</f>
        <v>21</v>
      </c>
      <c r="R1219" t="s">
        <v>145</v>
      </c>
      <c r="S1219" t="s">
        <v>102</v>
      </c>
      <c r="T1219">
        <f>20</f>
        <v>20</v>
      </c>
      <c r="U1219">
        <v>82</v>
      </c>
      <c r="V1219">
        <v>15</v>
      </c>
      <c r="W1219">
        <v>12.9</v>
      </c>
      <c r="X1219">
        <v>27.5</v>
      </c>
      <c r="Z1219" t="s">
        <v>39</v>
      </c>
      <c r="AB1219" t="s">
        <v>86</v>
      </c>
      <c r="AC1219" t="s">
        <v>137</v>
      </c>
    </row>
    <row r="1220" spans="1:30" x14ac:dyDescent="0.35">
      <c r="A1220" s="4">
        <v>42558</v>
      </c>
      <c r="B1220" t="s">
        <v>30</v>
      </c>
      <c r="C1220">
        <v>202</v>
      </c>
      <c r="D1220">
        <v>6</v>
      </c>
      <c r="E1220">
        <v>2</v>
      </c>
      <c r="F1220" t="s">
        <v>42</v>
      </c>
      <c r="G1220" t="s">
        <v>32</v>
      </c>
      <c r="H1220" t="s">
        <v>33</v>
      </c>
      <c r="I1220" t="s">
        <v>43</v>
      </c>
      <c r="J1220" t="s">
        <v>44</v>
      </c>
      <c r="K1220" t="s">
        <v>36</v>
      </c>
      <c r="L1220" t="s">
        <v>37</v>
      </c>
      <c r="M1220">
        <v>0</v>
      </c>
      <c r="N1220">
        <v>0</v>
      </c>
      <c r="O1220" s="5">
        <v>50410</v>
      </c>
      <c r="P1220" s="5">
        <v>50412</v>
      </c>
      <c r="Q1220">
        <f>38-14.5</f>
        <v>23.5</v>
      </c>
      <c r="R1220" t="s">
        <v>64</v>
      </c>
      <c r="T1220">
        <v>19</v>
      </c>
      <c r="U1220">
        <v>93.5</v>
      </c>
      <c r="V1220">
        <v>15.5</v>
      </c>
      <c r="W1220">
        <v>13.4</v>
      </c>
      <c r="X1220">
        <v>28.7</v>
      </c>
      <c r="Z1220" t="s">
        <v>39</v>
      </c>
      <c r="AB1220" t="s">
        <v>86</v>
      </c>
      <c r="AC1220" t="s">
        <v>137</v>
      </c>
    </row>
    <row r="1221" spans="1:30" x14ac:dyDescent="0.35">
      <c r="A1221" s="4">
        <v>42558</v>
      </c>
      <c r="B1221" t="s">
        <v>30</v>
      </c>
      <c r="C1221">
        <v>113</v>
      </c>
      <c r="D1221">
        <v>8</v>
      </c>
      <c r="E1221">
        <v>2</v>
      </c>
      <c r="F1221" t="s">
        <v>31</v>
      </c>
      <c r="G1221" t="s">
        <v>32</v>
      </c>
      <c r="H1221" t="s">
        <v>33</v>
      </c>
      <c r="I1221" t="s">
        <v>43</v>
      </c>
      <c r="J1221" t="s">
        <v>44</v>
      </c>
      <c r="K1221" t="s">
        <v>113</v>
      </c>
      <c r="L1221" t="s">
        <v>45</v>
      </c>
      <c r="M1221">
        <v>0</v>
      </c>
      <c r="N1221">
        <v>0</v>
      </c>
      <c r="O1221" s="5">
        <v>50476</v>
      </c>
      <c r="P1221" s="5">
        <v>50473</v>
      </c>
      <c r="Q1221">
        <f>27-9</f>
        <v>18</v>
      </c>
      <c r="R1221" t="s">
        <v>161</v>
      </c>
      <c r="S1221" t="s">
        <v>102</v>
      </c>
      <c r="T1221">
        <v>18</v>
      </c>
      <c r="U1221">
        <v>79</v>
      </c>
      <c r="V1221">
        <v>13</v>
      </c>
      <c r="W1221">
        <v>12.7</v>
      </c>
      <c r="X1221">
        <v>25.8</v>
      </c>
      <c r="Z1221" t="s">
        <v>39</v>
      </c>
      <c r="AB1221" t="s">
        <v>86</v>
      </c>
      <c r="AC1221" t="s">
        <v>137</v>
      </c>
    </row>
    <row r="1222" spans="1:30" x14ac:dyDescent="0.35">
      <c r="A1222" s="4">
        <v>42558</v>
      </c>
      <c r="B1222" t="s">
        <v>30</v>
      </c>
      <c r="C1222">
        <v>203</v>
      </c>
      <c r="D1222">
        <v>4</v>
      </c>
      <c r="E1222">
        <v>1</v>
      </c>
      <c r="F1222" t="s">
        <v>42</v>
      </c>
      <c r="G1222" t="s">
        <v>32</v>
      </c>
      <c r="H1222" t="s">
        <v>33</v>
      </c>
      <c r="I1222" t="s">
        <v>43</v>
      </c>
      <c r="J1222" t="s">
        <v>44</v>
      </c>
      <c r="K1222" t="s">
        <v>36</v>
      </c>
      <c r="L1222" t="s">
        <v>37</v>
      </c>
      <c r="M1222">
        <v>0</v>
      </c>
      <c r="N1222">
        <v>0</v>
      </c>
      <c r="O1222" s="5">
        <v>50491</v>
      </c>
      <c r="P1222" s="5">
        <v>50357</v>
      </c>
      <c r="Q1222">
        <v>21</v>
      </c>
      <c r="R1222" t="s">
        <v>38</v>
      </c>
      <c r="T1222">
        <v>19</v>
      </c>
      <c r="U1222">
        <v>96</v>
      </c>
      <c r="V1222">
        <v>18</v>
      </c>
      <c r="W1222">
        <v>13.1</v>
      </c>
      <c r="X1222">
        <v>29.6</v>
      </c>
      <c r="Z1222" t="s">
        <v>39</v>
      </c>
      <c r="AB1222" t="s">
        <v>86</v>
      </c>
      <c r="AC1222" t="s">
        <v>137</v>
      </c>
    </row>
    <row r="1223" spans="1:30" x14ac:dyDescent="0.35">
      <c r="A1223" s="4">
        <v>42558</v>
      </c>
      <c r="B1223" t="s">
        <v>30</v>
      </c>
      <c r="C1223">
        <v>112</v>
      </c>
      <c r="D1223">
        <v>10</v>
      </c>
      <c r="E1223">
        <v>1</v>
      </c>
      <c r="F1223" t="s">
        <v>31</v>
      </c>
      <c r="G1223" t="s">
        <v>32</v>
      </c>
      <c r="H1223" t="s">
        <v>33</v>
      </c>
      <c r="I1223" t="s">
        <v>43</v>
      </c>
      <c r="J1223" t="s">
        <v>44</v>
      </c>
      <c r="K1223" t="s">
        <v>113</v>
      </c>
      <c r="L1223" t="s">
        <v>37</v>
      </c>
      <c r="M1223">
        <v>0</v>
      </c>
      <c r="N1223">
        <v>0</v>
      </c>
      <c r="O1223" s="5">
        <v>50497</v>
      </c>
      <c r="P1223" s="5">
        <v>50496</v>
      </c>
      <c r="Q1223">
        <v>19</v>
      </c>
      <c r="R1223" t="s">
        <v>38</v>
      </c>
      <c r="T1223">
        <v>20</v>
      </c>
      <c r="U1223">
        <v>72</v>
      </c>
      <c r="V1223">
        <v>14</v>
      </c>
      <c r="W1223">
        <v>12.4</v>
      </c>
      <c r="X1223">
        <v>27.2</v>
      </c>
      <c r="Z1223" t="s">
        <v>39</v>
      </c>
      <c r="AB1223" t="s">
        <v>86</v>
      </c>
      <c r="AC1223" t="s">
        <v>137</v>
      </c>
    </row>
    <row r="1224" spans="1:30" x14ac:dyDescent="0.35">
      <c r="A1224" s="4">
        <v>42558</v>
      </c>
      <c r="B1224" t="s">
        <v>30</v>
      </c>
      <c r="C1224">
        <v>113</v>
      </c>
      <c r="D1224">
        <v>9</v>
      </c>
      <c r="E1224">
        <v>1</v>
      </c>
      <c r="F1224" t="s">
        <v>31</v>
      </c>
      <c r="G1224" t="s">
        <v>32</v>
      </c>
      <c r="H1224" t="s">
        <v>33</v>
      </c>
      <c r="I1224" t="s">
        <v>43</v>
      </c>
      <c r="J1224" t="s">
        <v>35</v>
      </c>
      <c r="K1224" t="s">
        <v>113</v>
      </c>
      <c r="L1224" t="s">
        <v>45</v>
      </c>
      <c r="M1224">
        <v>0</v>
      </c>
      <c r="N1224">
        <v>1</v>
      </c>
      <c r="O1224" s="5">
        <v>50520</v>
      </c>
      <c r="P1224" s="5">
        <v>50519</v>
      </c>
      <c r="R1224" t="s">
        <v>145</v>
      </c>
      <c r="S1224" t="s">
        <v>102</v>
      </c>
      <c r="T1224">
        <v>18</v>
      </c>
      <c r="U1224">
        <v>81</v>
      </c>
      <c r="V1224">
        <v>14</v>
      </c>
      <c r="W1224">
        <v>12.7</v>
      </c>
      <c r="X1224">
        <v>28.8</v>
      </c>
      <c r="Z1224" t="s">
        <v>39</v>
      </c>
      <c r="AB1224" t="s">
        <v>86</v>
      </c>
      <c r="AC1224" t="s">
        <v>137</v>
      </c>
    </row>
    <row r="1225" spans="1:30" x14ac:dyDescent="0.35">
      <c r="A1225" s="4">
        <v>42558</v>
      </c>
      <c r="B1225" t="s">
        <v>30</v>
      </c>
      <c r="C1225">
        <v>112</v>
      </c>
      <c r="D1225">
        <v>7</v>
      </c>
      <c r="E1225">
        <v>2</v>
      </c>
      <c r="F1225" t="s">
        <v>31</v>
      </c>
      <c r="G1225" t="s">
        <v>32</v>
      </c>
      <c r="H1225" t="s">
        <v>33</v>
      </c>
      <c r="I1225" t="s">
        <v>43</v>
      </c>
      <c r="J1225" t="s">
        <v>35</v>
      </c>
      <c r="K1225" t="s">
        <v>36</v>
      </c>
      <c r="L1225" t="s">
        <v>45</v>
      </c>
      <c r="M1225">
        <v>0</v>
      </c>
      <c r="N1225">
        <v>1</v>
      </c>
      <c r="O1225" s="5">
        <v>50523</v>
      </c>
      <c r="P1225" s="5">
        <v>50522</v>
      </c>
      <c r="Q1225">
        <v>20</v>
      </c>
      <c r="R1225" t="s">
        <v>145</v>
      </c>
      <c r="S1225" t="s">
        <v>102</v>
      </c>
      <c r="T1225">
        <v>18.5</v>
      </c>
      <c r="U1225">
        <v>71</v>
      </c>
      <c r="V1225">
        <v>15</v>
      </c>
      <c r="W1225">
        <v>12.9</v>
      </c>
      <c r="X1225">
        <v>27.7</v>
      </c>
      <c r="Z1225" t="s">
        <v>39</v>
      </c>
      <c r="AB1225" t="s">
        <v>86</v>
      </c>
      <c r="AC1225" t="s">
        <v>137</v>
      </c>
    </row>
    <row r="1226" spans="1:30" x14ac:dyDescent="0.35">
      <c r="A1226" s="4">
        <v>42558</v>
      </c>
      <c r="B1226" t="s">
        <v>30</v>
      </c>
      <c r="C1226">
        <v>112</v>
      </c>
      <c r="D1226">
        <v>5</v>
      </c>
      <c r="E1226">
        <v>2</v>
      </c>
      <c r="F1226" t="s">
        <v>31</v>
      </c>
      <c r="G1226" t="s">
        <v>32</v>
      </c>
      <c r="H1226" t="s">
        <v>33</v>
      </c>
      <c r="I1226" t="s">
        <v>43</v>
      </c>
      <c r="J1226" t="s">
        <v>35</v>
      </c>
      <c r="K1226" t="s">
        <v>36</v>
      </c>
      <c r="L1226" t="s">
        <v>37</v>
      </c>
      <c r="M1226">
        <v>0</v>
      </c>
      <c r="N1226">
        <v>1</v>
      </c>
      <c r="O1226" s="5">
        <v>50525</v>
      </c>
      <c r="P1226" s="5">
        <v>50524</v>
      </c>
      <c r="Q1226">
        <f>27.5-9</f>
        <v>18.5</v>
      </c>
      <c r="R1226" t="s">
        <v>38</v>
      </c>
      <c r="T1226">
        <v>18.5</v>
      </c>
      <c r="U1226">
        <v>74</v>
      </c>
      <c r="V1226">
        <v>16</v>
      </c>
      <c r="W1226">
        <v>12.8</v>
      </c>
      <c r="X1226">
        <v>28.6</v>
      </c>
      <c r="Z1226" t="s">
        <v>39</v>
      </c>
      <c r="AB1226" t="s">
        <v>86</v>
      </c>
      <c r="AC1226" t="s">
        <v>137</v>
      </c>
    </row>
    <row r="1227" spans="1:30" x14ac:dyDescent="0.35">
      <c r="A1227" s="4">
        <v>42558</v>
      </c>
      <c r="B1227" t="s">
        <v>30</v>
      </c>
      <c r="C1227">
        <v>111</v>
      </c>
      <c r="D1227">
        <v>9</v>
      </c>
      <c r="E1227">
        <v>2</v>
      </c>
      <c r="F1227" t="s">
        <v>31</v>
      </c>
      <c r="G1227" t="s">
        <v>32</v>
      </c>
      <c r="H1227" t="s">
        <v>33</v>
      </c>
      <c r="I1227" t="s">
        <v>43</v>
      </c>
      <c r="J1227" t="s">
        <v>44</v>
      </c>
      <c r="K1227" t="s">
        <v>88</v>
      </c>
      <c r="L1227" t="s">
        <v>37</v>
      </c>
      <c r="M1227">
        <v>0</v>
      </c>
      <c r="N1227">
        <v>0</v>
      </c>
      <c r="O1227" s="5">
        <v>50530</v>
      </c>
      <c r="P1227" s="5">
        <v>50529</v>
      </c>
      <c r="Q1227">
        <f>28-13</f>
        <v>15</v>
      </c>
      <c r="R1227" t="s">
        <v>64</v>
      </c>
      <c r="T1227">
        <v>20</v>
      </c>
      <c r="V1227">
        <v>13</v>
      </c>
      <c r="W1227">
        <v>12.4</v>
      </c>
      <c r="X1227">
        <v>27.6</v>
      </c>
      <c r="Z1227" t="s">
        <v>39</v>
      </c>
      <c r="AB1227" t="s">
        <v>86</v>
      </c>
      <c r="AC1227" t="s">
        <v>137</v>
      </c>
    </row>
    <row r="1228" spans="1:30" x14ac:dyDescent="0.35">
      <c r="A1228" s="4">
        <v>42558</v>
      </c>
      <c r="B1228" t="s">
        <v>30</v>
      </c>
      <c r="C1228">
        <v>113</v>
      </c>
      <c r="D1228">
        <v>1</v>
      </c>
      <c r="E1228">
        <v>1</v>
      </c>
      <c r="F1228" t="s">
        <v>31</v>
      </c>
      <c r="G1228" t="s">
        <v>32</v>
      </c>
      <c r="H1228" t="s">
        <v>33</v>
      </c>
      <c r="I1228" t="s">
        <v>43</v>
      </c>
      <c r="J1228" t="s">
        <v>44</v>
      </c>
      <c r="K1228" t="s">
        <v>36</v>
      </c>
      <c r="L1228" t="s">
        <v>37</v>
      </c>
      <c r="M1228">
        <v>0</v>
      </c>
      <c r="N1228">
        <v>0</v>
      </c>
      <c r="O1228" s="5">
        <v>50559</v>
      </c>
      <c r="P1228" s="5">
        <v>50558</v>
      </c>
      <c r="Q1228">
        <f>21.5</f>
        <v>21.5</v>
      </c>
      <c r="R1228" t="s">
        <v>38</v>
      </c>
      <c r="T1228">
        <v>21</v>
      </c>
      <c r="U1228">
        <v>81</v>
      </c>
      <c r="V1228">
        <v>16</v>
      </c>
      <c r="W1228">
        <v>13.1</v>
      </c>
      <c r="X1228">
        <v>27.2</v>
      </c>
      <c r="Z1228" t="s">
        <v>39</v>
      </c>
      <c r="AB1228" t="s">
        <v>86</v>
      </c>
      <c r="AC1228" t="s">
        <v>137</v>
      </c>
    </row>
    <row r="1229" spans="1:30" x14ac:dyDescent="0.35">
      <c r="A1229" s="4">
        <v>42558</v>
      </c>
      <c r="B1229" t="s">
        <v>30</v>
      </c>
      <c r="C1229">
        <v>304</v>
      </c>
      <c r="D1229">
        <v>7</v>
      </c>
      <c r="E1229">
        <v>2</v>
      </c>
      <c r="F1229" t="s">
        <v>42</v>
      </c>
      <c r="G1229" t="s">
        <v>32</v>
      </c>
      <c r="H1229" t="s">
        <v>33</v>
      </c>
      <c r="I1229" t="s">
        <v>43</v>
      </c>
      <c r="J1229" t="s">
        <v>44</v>
      </c>
      <c r="K1229" t="s">
        <v>88</v>
      </c>
      <c r="L1229" t="s">
        <v>37</v>
      </c>
      <c r="M1229">
        <v>0</v>
      </c>
      <c r="N1229">
        <v>0</v>
      </c>
      <c r="O1229" s="5">
        <v>50562</v>
      </c>
      <c r="P1229" s="5">
        <v>50561</v>
      </c>
      <c r="Q1229">
        <f>28-16</f>
        <v>12</v>
      </c>
      <c r="R1229" t="s">
        <v>64</v>
      </c>
      <c r="T1229">
        <v>18</v>
      </c>
      <c r="U1229">
        <v>88</v>
      </c>
      <c r="V1229">
        <v>15</v>
      </c>
      <c r="W1229">
        <v>13.2</v>
      </c>
      <c r="X1229">
        <v>27.1</v>
      </c>
      <c r="Z1229" t="s">
        <v>39</v>
      </c>
      <c r="AB1229" t="s">
        <v>86</v>
      </c>
      <c r="AC1229" t="s">
        <v>137</v>
      </c>
    </row>
    <row r="1230" spans="1:30" x14ac:dyDescent="0.35">
      <c r="A1230" s="4">
        <v>42558</v>
      </c>
      <c r="B1230" t="s">
        <v>30</v>
      </c>
      <c r="C1230">
        <v>304</v>
      </c>
      <c r="D1230">
        <v>9</v>
      </c>
      <c r="E1230">
        <v>2</v>
      </c>
      <c r="F1230" t="s">
        <v>42</v>
      </c>
      <c r="G1230" t="s">
        <v>32</v>
      </c>
      <c r="H1230" t="s">
        <v>33</v>
      </c>
      <c r="I1230" t="s">
        <v>43</v>
      </c>
      <c r="J1230" t="s">
        <v>44</v>
      </c>
      <c r="K1230" t="s">
        <v>88</v>
      </c>
      <c r="L1230" t="s">
        <v>45</v>
      </c>
      <c r="M1230">
        <v>0</v>
      </c>
      <c r="N1230">
        <v>0</v>
      </c>
      <c r="O1230" s="5">
        <v>50568</v>
      </c>
      <c r="P1230" s="5">
        <v>50567</v>
      </c>
      <c r="Q1230">
        <v>16</v>
      </c>
      <c r="R1230" t="s">
        <v>46</v>
      </c>
      <c r="S1230" t="s">
        <v>39</v>
      </c>
      <c r="T1230">
        <v>19</v>
      </c>
      <c r="U1230">
        <v>88</v>
      </c>
      <c r="V1230">
        <v>17</v>
      </c>
      <c r="W1230">
        <v>13</v>
      </c>
      <c r="X1230">
        <v>27.7</v>
      </c>
      <c r="Z1230" t="s">
        <v>39</v>
      </c>
      <c r="AB1230" t="s">
        <v>86</v>
      </c>
      <c r="AC1230" t="s">
        <v>137</v>
      </c>
    </row>
    <row r="1231" spans="1:30" x14ac:dyDescent="0.35">
      <c r="A1231" s="4">
        <v>42558</v>
      </c>
      <c r="B1231" t="s">
        <v>30</v>
      </c>
      <c r="C1231">
        <v>111</v>
      </c>
      <c r="D1231">
        <v>4</v>
      </c>
      <c r="E1231">
        <v>1</v>
      </c>
      <c r="F1231" t="s">
        <v>31</v>
      </c>
      <c r="G1231" t="s">
        <v>32</v>
      </c>
      <c r="H1231" t="s">
        <v>33</v>
      </c>
      <c r="I1231" t="s">
        <v>43</v>
      </c>
      <c r="J1231" t="s">
        <v>35</v>
      </c>
      <c r="K1231" t="s">
        <v>36</v>
      </c>
      <c r="L1231" t="s">
        <v>37</v>
      </c>
      <c r="M1231">
        <v>0</v>
      </c>
      <c r="N1231">
        <v>1</v>
      </c>
      <c r="O1231" s="5">
        <v>50572</v>
      </c>
      <c r="P1231" s="5">
        <v>50571</v>
      </c>
      <c r="Q1231">
        <f>35-13</f>
        <v>22</v>
      </c>
      <c r="R1231" t="s">
        <v>38</v>
      </c>
      <c r="T1231">
        <v>23</v>
      </c>
      <c r="U1231">
        <v>83</v>
      </c>
      <c r="V1231">
        <v>17</v>
      </c>
      <c r="W1231">
        <v>13</v>
      </c>
      <c r="X1231">
        <v>28.9</v>
      </c>
      <c r="Z1231" t="s">
        <v>39</v>
      </c>
      <c r="AB1231" t="s">
        <v>86</v>
      </c>
      <c r="AC1231" t="s">
        <v>137</v>
      </c>
    </row>
    <row r="1232" spans="1:30" x14ac:dyDescent="0.35">
      <c r="A1232" s="4">
        <v>42558</v>
      </c>
      <c r="B1232" t="s">
        <v>30</v>
      </c>
      <c r="C1232">
        <v>112</v>
      </c>
      <c r="D1232">
        <v>3</v>
      </c>
      <c r="E1232">
        <v>1</v>
      </c>
      <c r="F1232" t="s">
        <v>31</v>
      </c>
      <c r="G1232" t="s">
        <v>32</v>
      </c>
      <c r="H1232" t="s">
        <v>33</v>
      </c>
      <c r="I1232" t="s">
        <v>43</v>
      </c>
      <c r="J1232" t="s">
        <v>35</v>
      </c>
      <c r="K1232" t="s">
        <v>113</v>
      </c>
      <c r="L1232" t="s">
        <v>37</v>
      </c>
      <c r="M1232">
        <v>0</v>
      </c>
      <c r="N1232">
        <v>1</v>
      </c>
      <c r="O1232" s="5">
        <v>50574</v>
      </c>
      <c r="P1232" s="5">
        <v>50573</v>
      </c>
      <c r="R1232" t="s">
        <v>38</v>
      </c>
      <c r="T1232">
        <v>19</v>
      </c>
      <c r="U1232">
        <v>89</v>
      </c>
      <c r="V1232">
        <v>15</v>
      </c>
      <c r="W1232">
        <v>12.9</v>
      </c>
      <c r="X1232">
        <v>27.8</v>
      </c>
      <c r="Z1232" t="s">
        <v>39</v>
      </c>
      <c r="AB1232" t="s">
        <v>86</v>
      </c>
      <c r="AC1232" t="s">
        <v>137</v>
      </c>
    </row>
    <row r="1233" spans="1:30" x14ac:dyDescent="0.35">
      <c r="A1233" s="4">
        <v>42558</v>
      </c>
      <c r="B1233" t="s">
        <v>30</v>
      </c>
      <c r="C1233">
        <v>112</v>
      </c>
      <c r="D1233">
        <v>9</v>
      </c>
      <c r="E1233">
        <v>2</v>
      </c>
      <c r="F1233" t="s">
        <v>31</v>
      </c>
      <c r="G1233" t="s">
        <v>32</v>
      </c>
      <c r="H1233" t="s">
        <v>33</v>
      </c>
      <c r="I1233" t="s">
        <v>43</v>
      </c>
      <c r="J1233" t="s">
        <v>44</v>
      </c>
      <c r="K1233" t="s">
        <v>36</v>
      </c>
      <c r="L1233" t="s">
        <v>37</v>
      </c>
      <c r="M1233">
        <v>0</v>
      </c>
      <c r="N1233">
        <v>0</v>
      </c>
      <c r="O1233" s="5">
        <v>50595</v>
      </c>
      <c r="P1233" s="5">
        <v>50594</v>
      </c>
      <c r="Q1233">
        <f>32-12</f>
        <v>20</v>
      </c>
      <c r="R1233" t="s">
        <v>38</v>
      </c>
      <c r="T1233">
        <v>21</v>
      </c>
      <c r="U1233">
        <v>82</v>
      </c>
      <c r="V1233">
        <v>16</v>
      </c>
      <c r="W1233">
        <v>12.7</v>
      </c>
      <c r="X1233">
        <v>27.5</v>
      </c>
      <c r="Z1233" t="s">
        <v>39</v>
      </c>
      <c r="AB1233" t="s">
        <v>86</v>
      </c>
      <c r="AC1233" t="s">
        <v>137</v>
      </c>
    </row>
    <row r="1234" spans="1:30" x14ac:dyDescent="0.35">
      <c r="A1234" s="4">
        <v>42558</v>
      </c>
      <c r="B1234" t="s">
        <v>30</v>
      </c>
      <c r="C1234">
        <v>111</v>
      </c>
      <c r="D1234">
        <v>2</v>
      </c>
      <c r="E1234">
        <v>1</v>
      </c>
      <c r="F1234" t="s">
        <v>31</v>
      </c>
      <c r="G1234" t="s">
        <v>32</v>
      </c>
      <c r="H1234" t="s">
        <v>33</v>
      </c>
      <c r="I1234" t="s">
        <v>43</v>
      </c>
      <c r="J1234" t="s">
        <v>44</v>
      </c>
      <c r="K1234" t="s">
        <v>36</v>
      </c>
      <c r="L1234" t="s">
        <v>37</v>
      </c>
      <c r="M1234">
        <v>0</v>
      </c>
      <c r="N1234">
        <v>0</v>
      </c>
      <c r="O1234" s="5">
        <v>50602</v>
      </c>
      <c r="P1234" s="5">
        <v>50601</v>
      </c>
      <c r="Q1234">
        <f>30-9</f>
        <v>21</v>
      </c>
      <c r="R1234" t="s">
        <v>38</v>
      </c>
      <c r="T1234">
        <v>19</v>
      </c>
      <c r="U1234">
        <v>83</v>
      </c>
      <c r="V1234">
        <v>16</v>
      </c>
      <c r="W1234">
        <v>12.9</v>
      </c>
      <c r="X1234">
        <v>28.7</v>
      </c>
      <c r="Z1234" t="s">
        <v>39</v>
      </c>
      <c r="AB1234" t="s">
        <v>97</v>
      </c>
      <c r="AC1234" t="s">
        <v>137</v>
      </c>
    </row>
    <row r="1235" spans="1:30" x14ac:dyDescent="0.35">
      <c r="A1235" s="4">
        <v>42558</v>
      </c>
      <c r="B1235" t="s">
        <v>30</v>
      </c>
      <c r="C1235">
        <v>201</v>
      </c>
      <c r="D1235">
        <v>3</v>
      </c>
      <c r="E1235">
        <v>2</v>
      </c>
      <c r="F1235" t="s">
        <v>42</v>
      </c>
      <c r="G1235" t="s">
        <v>32</v>
      </c>
      <c r="H1235" t="s">
        <v>33</v>
      </c>
      <c r="I1235" t="s">
        <v>43</v>
      </c>
      <c r="J1235" t="s">
        <v>44</v>
      </c>
      <c r="K1235" t="s">
        <v>113</v>
      </c>
      <c r="L1235" t="s">
        <v>45</v>
      </c>
      <c r="M1235">
        <v>0</v>
      </c>
      <c r="N1235">
        <v>0</v>
      </c>
      <c r="O1235" s="5">
        <v>50627</v>
      </c>
      <c r="P1235" s="5">
        <v>50626</v>
      </c>
      <c r="Q1235">
        <f>30-11</f>
        <v>19</v>
      </c>
      <c r="R1235" t="s">
        <v>46</v>
      </c>
      <c r="S1235" t="s">
        <v>39</v>
      </c>
      <c r="T1235">
        <v>19</v>
      </c>
      <c r="U1235">
        <v>85</v>
      </c>
      <c r="V1235">
        <v>17</v>
      </c>
      <c r="Z1235" t="s">
        <v>39</v>
      </c>
      <c r="AB1235" t="s">
        <v>86</v>
      </c>
      <c r="AC1235" t="s">
        <v>137</v>
      </c>
      <c r="AD1235" t="s">
        <v>198</v>
      </c>
    </row>
    <row r="1236" spans="1:30" x14ac:dyDescent="0.35">
      <c r="A1236" s="4">
        <v>42558</v>
      </c>
      <c r="B1236" t="s">
        <v>30</v>
      </c>
      <c r="C1236">
        <v>304</v>
      </c>
      <c r="D1236">
        <v>9</v>
      </c>
      <c r="E1236">
        <v>1</v>
      </c>
      <c r="F1236" t="s">
        <v>42</v>
      </c>
      <c r="G1236" t="s">
        <v>32</v>
      </c>
      <c r="H1236" t="s">
        <v>33</v>
      </c>
      <c r="I1236" t="s">
        <v>43</v>
      </c>
      <c r="J1236" t="s">
        <v>44</v>
      </c>
      <c r="K1236" t="s">
        <v>88</v>
      </c>
      <c r="L1236" t="s">
        <v>37</v>
      </c>
      <c r="M1236">
        <v>0</v>
      </c>
      <c r="N1236">
        <v>0</v>
      </c>
      <c r="O1236" s="5">
        <v>50650</v>
      </c>
      <c r="P1236" s="5">
        <v>50649</v>
      </c>
      <c r="Q1236">
        <v>14</v>
      </c>
      <c r="R1236" t="s">
        <v>64</v>
      </c>
      <c r="T1236">
        <v>19</v>
      </c>
      <c r="U1236">
        <v>85</v>
      </c>
      <c r="V1236">
        <v>14</v>
      </c>
      <c r="W1236">
        <v>12.5</v>
      </c>
      <c r="X1236">
        <v>27.7</v>
      </c>
      <c r="Z1236" t="s">
        <v>39</v>
      </c>
      <c r="AB1236" t="s">
        <v>86</v>
      </c>
      <c r="AC1236" t="s">
        <v>137</v>
      </c>
    </row>
    <row r="1237" spans="1:30" x14ac:dyDescent="0.35">
      <c r="A1237" s="4">
        <v>42558</v>
      </c>
      <c r="B1237" t="s">
        <v>30</v>
      </c>
      <c r="C1237">
        <v>201</v>
      </c>
      <c r="D1237">
        <v>1</v>
      </c>
      <c r="E1237">
        <v>2</v>
      </c>
      <c r="F1237" t="s">
        <v>42</v>
      </c>
      <c r="G1237" t="s">
        <v>32</v>
      </c>
      <c r="H1237" t="s">
        <v>33</v>
      </c>
      <c r="I1237" t="s">
        <v>43</v>
      </c>
      <c r="J1237" t="s">
        <v>35</v>
      </c>
      <c r="K1237" t="s">
        <v>36</v>
      </c>
      <c r="L1237" t="s">
        <v>45</v>
      </c>
      <c r="M1237">
        <v>0</v>
      </c>
      <c r="N1237">
        <v>1</v>
      </c>
      <c r="O1237" s="5">
        <v>50659</v>
      </c>
      <c r="P1237" s="5">
        <v>50658</v>
      </c>
      <c r="Q1237">
        <f>34-9</f>
        <v>25</v>
      </c>
      <c r="R1237" t="s">
        <v>77</v>
      </c>
      <c r="S1237" t="s">
        <v>39</v>
      </c>
      <c r="T1237">
        <v>19.5</v>
      </c>
      <c r="U1237">
        <v>89</v>
      </c>
      <c r="V1237">
        <v>17</v>
      </c>
      <c r="W1237">
        <v>12.6</v>
      </c>
      <c r="X1237">
        <v>30.4</v>
      </c>
      <c r="Z1237" t="s">
        <v>39</v>
      </c>
      <c r="AB1237" t="s">
        <v>86</v>
      </c>
      <c r="AC1237" t="s">
        <v>137</v>
      </c>
    </row>
    <row r="1238" spans="1:30" x14ac:dyDescent="0.35">
      <c r="A1238" s="4">
        <v>42558</v>
      </c>
      <c r="B1238" t="s">
        <v>30</v>
      </c>
      <c r="C1238">
        <v>202</v>
      </c>
      <c r="D1238">
        <v>2</v>
      </c>
      <c r="E1238">
        <v>1</v>
      </c>
      <c r="F1238" t="s">
        <v>42</v>
      </c>
      <c r="G1238" t="s">
        <v>32</v>
      </c>
      <c r="H1238" t="s">
        <v>33</v>
      </c>
      <c r="I1238" t="s">
        <v>43</v>
      </c>
      <c r="J1238" t="s">
        <v>139</v>
      </c>
      <c r="O1238" s="5">
        <v>50663</v>
      </c>
      <c r="P1238" s="5">
        <v>50662</v>
      </c>
      <c r="Z1238" t="s">
        <v>39</v>
      </c>
    </row>
    <row r="1239" spans="1:30" x14ac:dyDescent="0.35">
      <c r="A1239" s="4">
        <v>42558</v>
      </c>
      <c r="B1239" t="s">
        <v>30</v>
      </c>
      <c r="C1239">
        <v>203</v>
      </c>
      <c r="D1239">
        <v>2</v>
      </c>
      <c r="E1239">
        <v>2</v>
      </c>
      <c r="F1239" t="s">
        <v>42</v>
      </c>
      <c r="G1239" t="s">
        <v>32</v>
      </c>
      <c r="H1239" t="s">
        <v>33</v>
      </c>
      <c r="I1239" t="s">
        <v>43</v>
      </c>
      <c r="J1239" t="s">
        <v>44</v>
      </c>
      <c r="K1239" t="s">
        <v>36</v>
      </c>
      <c r="L1239" t="s">
        <v>45</v>
      </c>
      <c r="M1239">
        <v>0</v>
      </c>
      <c r="N1239">
        <v>0</v>
      </c>
      <c r="O1239" s="5">
        <v>50668</v>
      </c>
      <c r="P1239" s="5">
        <v>50667</v>
      </c>
      <c r="Q1239">
        <v>26</v>
      </c>
      <c r="R1239" t="s">
        <v>145</v>
      </c>
      <c r="S1239" t="s">
        <v>102</v>
      </c>
      <c r="T1239">
        <v>18</v>
      </c>
      <c r="U1239">
        <v>100.5</v>
      </c>
      <c r="V1239">
        <v>15</v>
      </c>
      <c r="W1239">
        <v>13.6</v>
      </c>
      <c r="X1239">
        <v>28.7</v>
      </c>
      <c r="Z1239" t="s">
        <v>39</v>
      </c>
      <c r="AB1239" t="s">
        <v>86</v>
      </c>
      <c r="AC1239" t="s">
        <v>137</v>
      </c>
    </row>
    <row r="1240" spans="1:30" x14ac:dyDescent="0.35">
      <c r="A1240" s="4">
        <v>42558</v>
      </c>
      <c r="B1240" t="s">
        <v>30</v>
      </c>
      <c r="C1240">
        <v>201</v>
      </c>
      <c r="D1240">
        <v>9</v>
      </c>
      <c r="E1240">
        <v>2</v>
      </c>
      <c r="F1240" t="s">
        <v>42</v>
      </c>
      <c r="G1240" t="s">
        <v>32</v>
      </c>
      <c r="H1240" t="s">
        <v>33</v>
      </c>
      <c r="I1240" t="s">
        <v>43</v>
      </c>
      <c r="J1240" t="s">
        <v>139</v>
      </c>
      <c r="O1240" s="5"/>
      <c r="P1240" s="5"/>
    </row>
    <row r="1241" spans="1:30" x14ac:dyDescent="0.35">
      <c r="A1241" s="4">
        <v>42558</v>
      </c>
      <c r="B1241" t="s">
        <v>30</v>
      </c>
      <c r="C1241">
        <v>201</v>
      </c>
      <c r="D1241">
        <v>10</v>
      </c>
      <c r="E1241">
        <v>1</v>
      </c>
      <c r="F1241" t="s">
        <v>42</v>
      </c>
      <c r="G1241" t="s">
        <v>32</v>
      </c>
      <c r="H1241" t="s">
        <v>33</v>
      </c>
      <c r="I1241" t="s">
        <v>43</v>
      </c>
      <c r="J1241" t="s">
        <v>139</v>
      </c>
      <c r="O1241" s="5"/>
      <c r="P1241" s="5"/>
    </row>
    <row r="1242" spans="1:30" x14ac:dyDescent="0.35">
      <c r="A1242" s="4">
        <v>42558</v>
      </c>
      <c r="B1242" t="s">
        <v>30</v>
      </c>
      <c r="C1242">
        <v>202</v>
      </c>
      <c r="D1242">
        <v>3</v>
      </c>
      <c r="E1242">
        <v>1</v>
      </c>
      <c r="F1242" t="s">
        <v>42</v>
      </c>
      <c r="G1242" t="s">
        <v>32</v>
      </c>
      <c r="H1242" t="s">
        <v>33</v>
      </c>
      <c r="I1242" t="s">
        <v>43</v>
      </c>
      <c r="J1242" t="s">
        <v>139</v>
      </c>
      <c r="O1242" s="5"/>
      <c r="P1242" s="5"/>
    </row>
    <row r="1243" spans="1:30" x14ac:dyDescent="0.35">
      <c r="A1243" s="4">
        <v>42558</v>
      </c>
      <c r="B1243" t="s">
        <v>30</v>
      </c>
      <c r="C1243">
        <v>202</v>
      </c>
      <c r="D1243">
        <v>3</v>
      </c>
      <c r="E1243">
        <v>2</v>
      </c>
      <c r="F1243" t="s">
        <v>42</v>
      </c>
      <c r="G1243" t="s">
        <v>32</v>
      </c>
      <c r="H1243" t="s">
        <v>33</v>
      </c>
      <c r="I1243" t="s">
        <v>43</v>
      </c>
      <c r="J1243" t="s">
        <v>139</v>
      </c>
      <c r="O1243" s="5"/>
      <c r="P1243" s="5"/>
    </row>
    <row r="1244" spans="1:30" x14ac:dyDescent="0.35">
      <c r="A1244" s="4">
        <v>42558</v>
      </c>
      <c r="B1244" t="s">
        <v>30</v>
      </c>
      <c r="C1244">
        <v>113</v>
      </c>
      <c r="D1244">
        <v>6</v>
      </c>
      <c r="E1244">
        <v>1</v>
      </c>
      <c r="F1244" t="s">
        <v>31</v>
      </c>
      <c r="G1244" t="s">
        <v>32</v>
      </c>
      <c r="H1244" t="s">
        <v>33</v>
      </c>
      <c r="I1244" t="s">
        <v>34</v>
      </c>
      <c r="J1244" t="s">
        <v>44</v>
      </c>
      <c r="K1244" t="s">
        <v>113</v>
      </c>
      <c r="L1244" t="s">
        <v>37</v>
      </c>
      <c r="M1244">
        <v>0</v>
      </c>
      <c r="N1244">
        <v>0</v>
      </c>
      <c r="O1244" s="5">
        <v>50482</v>
      </c>
      <c r="P1244" s="5"/>
      <c r="Q1244">
        <f>130-50</f>
        <v>80</v>
      </c>
      <c r="R1244" t="s">
        <v>38</v>
      </c>
      <c r="T1244">
        <v>29</v>
      </c>
      <c r="W1244">
        <v>20.8</v>
      </c>
      <c r="X1244">
        <v>40.9</v>
      </c>
      <c r="Z1244" t="s">
        <v>39</v>
      </c>
      <c r="AB1244" t="s">
        <v>86</v>
      </c>
      <c r="AC1244" t="s">
        <v>137</v>
      </c>
    </row>
    <row r="1245" spans="1:30" x14ac:dyDescent="0.35">
      <c r="A1245" s="4">
        <v>42558</v>
      </c>
      <c r="B1245" t="s">
        <v>30</v>
      </c>
      <c r="C1245">
        <v>113</v>
      </c>
      <c r="D1245">
        <v>8</v>
      </c>
      <c r="E1245">
        <v>1</v>
      </c>
      <c r="F1245" t="s">
        <v>31</v>
      </c>
      <c r="G1245" t="s">
        <v>32</v>
      </c>
      <c r="H1245" t="s">
        <v>33</v>
      </c>
      <c r="I1245" t="s">
        <v>34</v>
      </c>
      <c r="J1245" t="s">
        <v>44</v>
      </c>
      <c r="K1245" t="s">
        <v>36</v>
      </c>
      <c r="L1245" t="s">
        <v>45</v>
      </c>
      <c r="M1245">
        <v>0</v>
      </c>
      <c r="N1245">
        <v>0</v>
      </c>
      <c r="O1245" s="5">
        <v>50493</v>
      </c>
      <c r="P1245" s="5"/>
      <c r="Q1245">
        <f>132-50</f>
        <v>82</v>
      </c>
      <c r="R1245" t="s">
        <v>161</v>
      </c>
      <c r="S1245" t="s">
        <v>102</v>
      </c>
      <c r="T1245">
        <v>30</v>
      </c>
      <c r="W1245">
        <v>21.6</v>
      </c>
      <c r="X1245">
        <v>39.6</v>
      </c>
      <c r="Z1245" t="s">
        <v>39</v>
      </c>
      <c r="AB1245" t="s">
        <v>86</v>
      </c>
      <c r="AC1245" t="s">
        <v>137</v>
      </c>
    </row>
    <row r="1246" spans="1:30" x14ac:dyDescent="0.35">
      <c r="A1246" s="4">
        <v>42558</v>
      </c>
      <c r="B1246" t="s">
        <v>30</v>
      </c>
      <c r="C1246">
        <v>201</v>
      </c>
      <c r="D1246">
        <v>4</v>
      </c>
      <c r="E1246">
        <v>1</v>
      </c>
      <c r="F1246" t="s">
        <v>42</v>
      </c>
      <c r="G1246" t="s">
        <v>32</v>
      </c>
      <c r="H1246" t="s">
        <v>33</v>
      </c>
      <c r="I1246" t="s">
        <v>34</v>
      </c>
      <c r="J1246" t="s">
        <v>66</v>
      </c>
      <c r="O1246" s="5"/>
      <c r="P1246" s="5"/>
    </row>
    <row r="1247" spans="1:30" x14ac:dyDescent="0.35">
      <c r="A1247" s="4">
        <v>42558</v>
      </c>
      <c r="B1247" t="s">
        <v>30</v>
      </c>
      <c r="C1247">
        <v>402</v>
      </c>
      <c r="D1247">
        <v>10</v>
      </c>
      <c r="E1247">
        <v>1</v>
      </c>
      <c r="F1247" t="s">
        <v>31</v>
      </c>
      <c r="G1247" t="s">
        <v>32</v>
      </c>
      <c r="H1247" t="s">
        <v>33</v>
      </c>
      <c r="I1247" t="s">
        <v>34</v>
      </c>
      <c r="J1247" t="s">
        <v>122</v>
      </c>
      <c r="K1247" t="s">
        <v>36</v>
      </c>
      <c r="L1247" t="s">
        <v>45</v>
      </c>
      <c r="O1247" s="5"/>
      <c r="P1247" s="5"/>
    </row>
    <row r="1248" spans="1:30" x14ac:dyDescent="0.35">
      <c r="A1248" s="4">
        <v>42558</v>
      </c>
      <c r="B1248" t="s">
        <v>30</v>
      </c>
      <c r="C1248">
        <v>112</v>
      </c>
      <c r="D1248">
        <v>6</v>
      </c>
      <c r="E1248">
        <v>2</v>
      </c>
      <c r="F1248" t="s">
        <v>31</v>
      </c>
      <c r="G1248" t="s">
        <v>32</v>
      </c>
      <c r="H1248" t="s">
        <v>33</v>
      </c>
      <c r="I1248" t="s">
        <v>58</v>
      </c>
      <c r="J1248" t="s">
        <v>35</v>
      </c>
      <c r="K1248" t="s">
        <v>88</v>
      </c>
      <c r="L1248" t="s">
        <v>37</v>
      </c>
      <c r="M1248">
        <v>0</v>
      </c>
      <c r="N1248">
        <v>1</v>
      </c>
      <c r="O1248" s="5">
        <v>50575</v>
      </c>
      <c r="P1248" s="5"/>
      <c r="Q1248">
        <f>27-12</f>
        <v>15</v>
      </c>
      <c r="R1248" t="s">
        <v>64</v>
      </c>
      <c r="T1248">
        <v>18</v>
      </c>
      <c r="W1248">
        <v>12.3</v>
      </c>
      <c r="X1248">
        <v>27.3</v>
      </c>
      <c r="Z1248" t="s">
        <v>39</v>
      </c>
      <c r="AB1248" t="s">
        <v>86</v>
      </c>
      <c r="AC1248" t="s">
        <v>137</v>
      </c>
    </row>
    <row r="1249" spans="1:29" x14ac:dyDescent="0.35">
      <c r="A1249" s="4">
        <v>42558</v>
      </c>
      <c r="B1249" t="s">
        <v>30</v>
      </c>
      <c r="C1249">
        <v>203</v>
      </c>
      <c r="D1249">
        <v>9</v>
      </c>
      <c r="E1249">
        <v>2</v>
      </c>
      <c r="F1249" t="s">
        <v>42</v>
      </c>
      <c r="G1249" t="s">
        <v>32</v>
      </c>
      <c r="H1249" t="s">
        <v>33</v>
      </c>
      <c r="I1249" t="s">
        <v>65</v>
      </c>
      <c r="J1249" t="s">
        <v>35</v>
      </c>
      <c r="K1249" t="s">
        <v>36</v>
      </c>
      <c r="L1249" t="s">
        <v>45</v>
      </c>
      <c r="M1249">
        <v>0</v>
      </c>
      <c r="N1249">
        <v>1</v>
      </c>
      <c r="O1249" s="5">
        <v>50654</v>
      </c>
      <c r="P1249" s="5"/>
      <c r="Q1249">
        <f>270-90</f>
        <v>180</v>
      </c>
      <c r="R1249" t="s">
        <v>74</v>
      </c>
      <c r="S1249" t="s">
        <v>102</v>
      </c>
      <c r="T1249">
        <v>43</v>
      </c>
      <c r="W1249">
        <v>26</v>
      </c>
      <c r="X1249">
        <v>48.6</v>
      </c>
      <c r="Z1249" t="s">
        <v>39</v>
      </c>
      <c r="AB1249" t="s">
        <v>86</v>
      </c>
      <c r="AC1249" t="s">
        <v>137</v>
      </c>
    </row>
    <row r="1250" spans="1:29" x14ac:dyDescent="0.35">
      <c r="A1250" s="4">
        <v>42558</v>
      </c>
      <c r="B1250" t="s">
        <v>30</v>
      </c>
      <c r="C1250">
        <v>203</v>
      </c>
      <c r="D1250">
        <v>1</v>
      </c>
      <c r="E1250">
        <v>1</v>
      </c>
      <c r="F1250" t="s">
        <v>42</v>
      </c>
      <c r="G1250" t="s">
        <v>32</v>
      </c>
      <c r="H1250" t="s">
        <v>33</v>
      </c>
      <c r="I1250" t="s">
        <v>55</v>
      </c>
      <c r="J1250" t="s">
        <v>66</v>
      </c>
      <c r="O1250" s="5"/>
      <c r="P1250" s="5"/>
    </row>
    <row r="1251" spans="1:29" x14ac:dyDescent="0.35">
      <c r="A1251" s="4">
        <v>42558</v>
      </c>
      <c r="B1251" t="s">
        <v>30</v>
      </c>
      <c r="C1251">
        <v>203</v>
      </c>
      <c r="D1251">
        <v>8</v>
      </c>
      <c r="E1251">
        <v>2</v>
      </c>
      <c r="F1251" t="s">
        <v>42</v>
      </c>
      <c r="G1251" t="s">
        <v>32</v>
      </c>
      <c r="H1251" t="s">
        <v>33</v>
      </c>
      <c r="I1251" t="s">
        <v>55</v>
      </c>
      <c r="J1251" t="s">
        <v>66</v>
      </c>
      <c r="O1251" s="5"/>
      <c r="P1251" s="5"/>
    </row>
    <row r="1252" spans="1:29" x14ac:dyDescent="0.35">
      <c r="A1252" s="4">
        <v>42558</v>
      </c>
      <c r="B1252" t="s">
        <v>30</v>
      </c>
      <c r="C1252">
        <v>202</v>
      </c>
      <c r="D1252">
        <v>4</v>
      </c>
      <c r="E1252">
        <v>2</v>
      </c>
      <c r="F1252" t="s">
        <v>42</v>
      </c>
      <c r="G1252" t="s">
        <v>32</v>
      </c>
      <c r="H1252" t="s">
        <v>33</v>
      </c>
      <c r="I1252" t="s">
        <v>55</v>
      </c>
      <c r="J1252" t="s">
        <v>66</v>
      </c>
      <c r="O1252" s="5"/>
      <c r="P1252" s="5"/>
    </row>
    <row r="1253" spans="1:29" x14ac:dyDescent="0.35">
      <c r="A1253" s="4">
        <v>42558</v>
      </c>
      <c r="B1253" t="s">
        <v>30</v>
      </c>
      <c r="C1253">
        <v>304</v>
      </c>
      <c r="D1253">
        <v>2</v>
      </c>
      <c r="E1253">
        <v>1</v>
      </c>
      <c r="F1253" t="s">
        <v>42</v>
      </c>
      <c r="G1253" t="s">
        <v>32</v>
      </c>
      <c r="H1253" t="s">
        <v>33</v>
      </c>
      <c r="I1253" t="s">
        <v>72</v>
      </c>
      <c r="J1253" t="s">
        <v>66</v>
      </c>
      <c r="O1253" s="5"/>
      <c r="P1253" s="5"/>
    </row>
    <row r="1254" spans="1:29" x14ac:dyDescent="0.35">
      <c r="A1254" s="4">
        <v>42558</v>
      </c>
      <c r="B1254" t="s">
        <v>30</v>
      </c>
      <c r="C1254">
        <v>201</v>
      </c>
      <c r="D1254">
        <v>7</v>
      </c>
      <c r="E1254">
        <v>1</v>
      </c>
      <c r="F1254" t="s">
        <v>42</v>
      </c>
      <c r="G1254" t="s">
        <v>32</v>
      </c>
      <c r="H1254" t="s">
        <v>33</v>
      </c>
      <c r="I1254" t="s">
        <v>84</v>
      </c>
      <c r="O1254" s="5"/>
      <c r="P1254" s="5"/>
    </row>
    <row r="1255" spans="1:29" x14ac:dyDescent="0.35">
      <c r="A1255" s="4">
        <v>42558</v>
      </c>
      <c r="B1255" t="s">
        <v>30</v>
      </c>
      <c r="C1255">
        <v>201</v>
      </c>
      <c r="D1255">
        <v>7</v>
      </c>
      <c r="E1255">
        <v>2</v>
      </c>
      <c r="F1255" t="s">
        <v>42</v>
      </c>
      <c r="G1255" t="s">
        <v>32</v>
      </c>
      <c r="H1255" t="s">
        <v>33</v>
      </c>
      <c r="I1255" t="s">
        <v>84</v>
      </c>
      <c r="O1255" s="5"/>
      <c r="P1255" s="5"/>
    </row>
    <row r="1256" spans="1:29" x14ac:dyDescent="0.35">
      <c r="A1256" s="4">
        <v>42558</v>
      </c>
      <c r="B1256" t="s">
        <v>30</v>
      </c>
      <c r="C1256">
        <v>201</v>
      </c>
      <c r="D1256">
        <v>8</v>
      </c>
      <c r="E1256">
        <v>2</v>
      </c>
      <c r="F1256" t="s">
        <v>42</v>
      </c>
      <c r="G1256" t="s">
        <v>32</v>
      </c>
      <c r="H1256" t="s">
        <v>33</v>
      </c>
      <c r="I1256" t="s">
        <v>84</v>
      </c>
      <c r="O1256" s="5"/>
      <c r="P1256" s="5"/>
    </row>
    <row r="1257" spans="1:29" x14ac:dyDescent="0.35">
      <c r="A1257" s="4">
        <v>42558</v>
      </c>
      <c r="B1257" t="s">
        <v>30</v>
      </c>
      <c r="C1257">
        <v>202</v>
      </c>
      <c r="D1257">
        <v>4</v>
      </c>
      <c r="E1257">
        <v>1</v>
      </c>
      <c r="F1257" t="s">
        <v>42</v>
      </c>
      <c r="G1257" t="s">
        <v>32</v>
      </c>
      <c r="H1257" t="s">
        <v>33</v>
      </c>
      <c r="I1257" t="s">
        <v>84</v>
      </c>
      <c r="O1257" s="5"/>
      <c r="P1257" s="5"/>
    </row>
    <row r="1258" spans="1:29" x14ac:dyDescent="0.35">
      <c r="A1258" s="4">
        <v>42558</v>
      </c>
      <c r="B1258" t="s">
        <v>30</v>
      </c>
      <c r="C1258">
        <v>111</v>
      </c>
      <c r="D1258">
        <v>1</v>
      </c>
      <c r="E1258">
        <v>1</v>
      </c>
      <c r="F1258" t="s">
        <v>31</v>
      </c>
      <c r="G1258" t="s">
        <v>32</v>
      </c>
      <c r="H1258" t="s">
        <v>33</v>
      </c>
      <c r="I1258" t="s">
        <v>84</v>
      </c>
      <c r="O1258" s="5"/>
      <c r="P1258" s="5"/>
    </row>
    <row r="1259" spans="1:29" x14ac:dyDescent="0.35">
      <c r="A1259" s="4">
        <v>42558</v>
      </c>
      <c r="B1259" t="s">
        <v>30</v>
      </c>
      <c r="C1259">
        <v>112</v>
      </c>
      <c r="D1259">
        <v>1</v>
      </c>
      <c r="E1259">
        <v>2</v>
      </c>
      <c r="F1259" t="s">
        <v>31</v>
      </c>
      <c r="G1259" t="s">
        <v>32</v>
      </c>
      <c r="H1259" t="s">
        <v>33</v>
      </c>
      <c r="I1259" t="s">
        <v>84</v>
      </c>
      <c r="O1259" s="5"/>
      <c r="P1259" s="5"/>
    </row>
    <row r="1260" spans="1:29" x14ac:dyDescent="0.35">
      <c r="A1260" s="4">
        <v>42558</v>
      </c>
      <c r="B1260" t="s">
        <v>30</v>
      </c>
      <c r="C1260">
        <v>112</v>
      </c>
      <c r="D1260">
        <v>2</v>
      </c>
      <c r="E1260">
        <v>1</v>
      </c>
      <c r="F1260" t="s">
        <v>31</v>
      </c>
      <c r="G1260" t="s">
        <v>32</v>
      </c>
      <c r="H1260" t="s">
        <v>33</v>
      </c>
      <c r="I1260" t="s">
        <v>84</v>
      </c>
      <c r="O1260" s="5"/>
      <c r="P1260" s="5"/>
    </row>
    <row r="1261" spans="1:29" x14ac:dyDescent="0.35">
      <c r="A1261" s="4">
        <v>42558</v>
      </c>
      <c r="B1261" t="s">
        <v>30</v>
      </c>
      <c r="C1261">
        <v>112</v>
      </c>
      <c r="D1261">
        <v>4</v>
      </c>
      <c r="E1261">
        <v>1</v>
      </c>
      <c r="F1261" t="s">
        <v>31</v>
      </c>
      <c r="G1261" t="s">
        <v>32</v>
      </c>
      <c r="H1261" t="s">
        <v>33</v>
      </c>
      <c r="I1261" t="s">
        <v>84</v>
      </c>
      <c r="O1261" s="5"/>
      <c r="P1261" s="5"/>
    </row>
    <row r="1262" spans="1:29" x14ac:dyDescent="0.35">
      <c r="A1262" s="4">
        <v>42558</v>
      </c>
      <c r="B1262" t="s">
        <v>30</v>
      </c>
      <c r="C1262">
        <v>402</v>
      </c>
      <c r="D1262">
        <v>1</v>
      </c>
      <c r="E1262">
        <v>1</v>
      </c>
      <c r="F1262" t="s">
        <v>31</v>
      </c>
      <c r="G1262" t="s">
        <v>32</v>
      </c>
      <c r="H1262" t="s">
        <v>33</v>
      </c>
      <c r="I1262" t="s">
        <v>84</v>
      </c>
      <c r="O1262" s="5"/>
      <c r="P1262" s="5"/>
    </row>
    <row r="1263" spans="1:29" x14ac:dyDescent="0.35">
      <c r="A1263" s="4">
        <v>42558</v>
      </c>
      <c r="B1263" t="s">
        <v>30</v>
      </c>
      <c r="C1263">
        <v>402</v>
      </c>
      <c r="D1263">
        <v>2</v>
      </c>
      <c r="E1263">
        <v>1</v>
      </c>
      <c r="F1263" t="s">
        <v>31</v>
      </c>
      <c r="G1263" t="s">
        <v>32</v>
      </c>
      <c r="H1263" t="s">
        <v>33</v>
      </c>
      <c r="I1263" t="s">
        <v>84</v>
      </c>
      <c r="O1263" s="5"/>
      <c r="P1263" s="5"/>
    </row>
    <row r="1264" spans="1:29" x14ac:dyDescent="0.35">
      <c r="A1264" s="4">
        <v>42558</v>
      </c>
      <c r="B1264" t="s">
        <v>30</v>
      </c>
      <c r="C1264">
        <v>402</v>
      </c>
      <c r="D1264">
        <v>2</v>
      </c>
      <c r="E1264">
        <v>2</v>
      </c>
      <c r="F1264" t="s">
        <v>31</v>
      </c>
      <c r="G1264" t="s">
        <v>32</v>
      </c>
      <c r="H1264" t="s">
        <v>33</v>
      </c>
      <c r="I1264" t="s">
        <v>84</v>
      </c>
      <c r="O1264" s="5"/>
      <c r="P1264" s="5"/>
    </row>
    <row r="1265" spans="1:16" x14ac:dyDescent="0.35">
      <c r="A1265" s="4">
        <v>42558</v>
      </c>
      <c r="B1265" t="s">
        <v>30</v>
      </c>
      <c r="C1265">
        <v>402</v>
      </c>
      <c r="D1265">
        <v>3</v>
      </c>
      <c r="E1265">
        <v>1</v>
      </c>
      <c r="F1265" t="s">
        <v>31</v>
      </c>
      <c r="G1265" t="s">
        <v>32</v>
      </c>
      <c r="H1265" t="s">
        <v>33</v>
      </c>
      <c r="I1265" t="s">
        <v>84</v>
      </c>
      <c r="O1265" s="5"/>
      <c r="P1265" s="5"/>
    </row>
    <row r="1266" spans="1:16" x14ac:dyDescent="0.35">
      <c r="A1266" s="4">
        <v>42558</v>
      </c>
      <c r="B1266" t="s">
        <v>30</v>
      </c>
      <c r="C1266">
        <v>402</v>
      </c>
      <c r="D1266">
        <v>4</v>
      </c>
      <c r="E1266">
        <v>1</v>
      </c>
      <c r="F1266" t="s">
        <v>31</v>
      </c>
      <c r="G1266" t="s">
        <v>32</v>
      </c>
      <c r="H1266" t="s">
        <v>33</v>
      </c>
      <c r="I1266" t="s">
        <v>84</v>
      </c>
      <c r="O1266" s="5"/>
      <c r="P1266" s="5"/>
    </row>
    <row r="1267" spans="1:16" x14ac:dyDescent="0.35">
      <c r="A1267" s="4">
        <v>42558</v>
      </c>
      <c r="B1267" t="s">
        <v>30</v>
      </c>
      <c r="C1267">
        <v>402</v>
      </c>
      <c r="D1267">
        <v>5</v>
      </c>
      <c r="E1267">
        <v>1</v>
      </c>
      <c r="F1267" t="s">
        <v>31</v>
      </c>
      <c r="G1267" t="s">
        <v>32</v>
      </c>
      <c r="H1267" t="s">
        <v>33</v>
      </c>
      <c r="I1267" t="s">
        <v>84</v>
      </c>
      <c r="O1267" s="5"/>
      <c r="P1267" s="5"/>
    </row>
    <row r="1268" spans="1:16" x14ac:dyDescent="0.35">
      <c r="A1268" s="4">
        <v>42558</v>
      </c>
      <c r="B1268" t="s">
        <v>30</v>
      </c>
      <c r="C1268">
        <v>402</v>
      </c>
      <c r="D1268">
        <v>5</v>
      </c>
      <c r="E1268">
        <v>2</v>
      </c>
      <c r="F1268" t="s">
        <v>31</v>
      </c>
      <c r="G1268" t="s">
        <v>32</v>
      </c>
      <c r="H1268" t="s">
        <v>33</v>
      </c>
      <c r="I1268" t="s">
        <v>84</v>
      </c>
      <c r="O1268" s="5"/>
      <c r="P1268" s="5"/>
    </row>
    <row r="1269" spans="1:16" x14ac:dyDescent="0.35">
      <c r="A1269" s="4">
        <v>42558</v>
      </c>
      <c r="B1269" t="s">
        <v>30</v>
      </c>
      <c r="C1269">
        <v>402</v>
      </c>
      <c r="D1269">
        <v>6</v>
      </c>
      <c r="E1269">
        <v>1</v>
      </c>
      <c r="F1269" t="s">
        <v>31</v>
      </c>
      <c r="G1269" t="s">
        <v>32</v>
      </c>
      <c r="H1269" t="s">
        <v>33</v>
      </c>
      <c r="I1269" t="s">
        <v>84</v>
      </c>
      <c r="O1269" s="5"/>
      <c r="P1269" s="5"/>
    </row>
    <row r="1270" spans="1:16" x14ac:dyDescent="0.35">
      <c r="A1270" s="4">
        <v>42558</v>
      </c>
      <c r="B1270" t="s">
        <v>30</v>
      </c>
      <c r="C1270">
        <v>402</v>
      </c>
      <c r="D1270">
        <v>6</v>
      </c>
      <c r="E1270">
        <v>2</v>
      </c>
      <c r="F1270" t="s">
        <v>31</v>
      </c>
      <c r="G1270" t="s">
        <v>32</v>
      </c>
      <c r="H1270" t="s">
        <v>33</v>
      </c>
      <c r="I1270" t="s">
        <v>84</v>
      </c>
      <c r="O1270" s="5"/>
      <c r="P1270" s="5"/>
    </row>
    <row r="1271" spans="1:16" x14ac:dyDescent="0.35">
      <c r="A1271" s="4">
        <v>42558</v>
      </c>
      <c r="B1271" t="s">
        <v>30</v>
      </c>
      <c r="C1271">
        <v>402</v>
      </c>
      <c r="D1271">
        <v>7</v>
      </c>
      <c r="E1271">
        <v>1</v>
      </c>
      <c r="F1271" t="s">
        <v>31</v>
      </c>
      <c r="G1271" t="s">
        <v>32</v>
      </c>
      <c r="H1271" t="s">
        <v>33</v>
      </c>
      <c r="I1271" t="s">
        <v>84</v>
      </c>
      <c r="O1271" s="5"/>
      <c r="P1271" s="5"/>
    </row>
    <row r="1272" spans="1:16" x14ac:dyDescent="0.35">
      <c r="A1272" s="4">
        <v>42558</v>
      </c>
      <c r="B1272" t="s">
        <v>30</v>
      </c>
      <c r="C1272">
        <v>402</v>
      </c>
      <c r="D1272">
        <v>7</v>
      </c>
      <c r="E1272">
        <v>2</v>
      </c>
      <c r="F1272" t="s">
        <v>31</v>
      </c>
      <c r="G1272" t="s">
        <v>32</v>
      </c>
      <c r="H1272" t="s">
        <v>33</v>
      </c>
      <c r="I1272" t="s">
        <v>84</v>
      </c>
      <c r="O1272" s="5"/>
      <c r="P1272" s="5"/>
    </row>
    <row r="1273" spans="1:16" x14ac:dyDescent="0.35">
      <c r="A1273" s="4">
        <v>42558</v>
      </c>
      <c r="B1273" t="s">
        <v>30</v>
      </c>
      <c r="C1273">
        <v>402</v>
      </c>
      <c r="D1273">
        <v>8</v>
      </c>
      <c r="E1273">
        <v>2</v>
      </c>
      <c r="F1273" t="s">
        <v>31</v>
      </c>
      <c r="G1273" t="s">
        <v>32</v>
      </c>
      <c r="H1273" t="s">
        <v>33</v>
      </c>
      <c r="I1273" t="s">
        <v>84</v>
      </c>
      <c r="O1273" s="5"/>
      <c r="P1273" s="5"/>
    </row>
    <row r="1274" spans="1:16" x14ac:dyDescent="0.35">
      <c r="A1274" s="4">
        <v>42558</v>
      </c>
      <c r="B1274" t="s">
        <v>30</v>
      </c>
      <c r="C1274">
        <v>402</v>
      </c>
      <c r="D1274">
        <v>9</v>
      </c>
      <c r="E1274">
        <v>1</v>
      </c>
      <c r="F1274" t="s">
        <v>31</v>
      </c>
      <c r="G1274" t="s">
        <v>32</v>
      </c>
      <c r="H1274" t="s">
        <v>33</v>
      </c>
      <c r="I1274" t="s">
        <v>84</v>
      </c>
      <c r="O1274" s="5"/>
      <c r="P1274" s="5"/>
    </row>
    <row r="1275" spans="1:16" x14ac:dyDescent="0.35">
      <c r="A1275" s="4">
        <v>42558</v>
      </c>
      <c r="B1275" t="s">
        <v>30</v>
      </c>
      <c r="C1275">
        <v>402</v>
      </c>
      <c r="D1275">
        <v>9</v>
      </c>
      <c r="E1275">
        <v>2</v>
      </c>
      <c r="F1275" t="s">
        <v>31</v>
      </c>
      <c r="G1275" t="s">
        <v>32</v>
      </c>
      <c r="H1275" t="s">
        <v>33</v>
      </c>
      <c r="I1275" t="s">
        <v>84</v>
      </c>
      <c r="O1275" s="5"/>
      <c r="P1275" s="5"/>
    </row>
    <row r="1276" spans="1:16" x14ac:dyDescent="0.35">
      <c r="A1276" s="4">
        <v>42558</v>
      </c>
      <c r="B1276" t="s">
        <v>30</v>
      </c>
      <c r="C1276">
        <v>201</v>
      </c>
      <c r="D1276">
        <v>1</v>
      </c>
      <c r="E1276">
        <v>1</v>
      </c>
      <c r="F1276" t="s">
        <v>42</v>
      </c>
      <c r="G1276" t="s">
        <v>32</v>
      </c>
      <c r="H1276" t="s">
        <v>33</v>
      </c>
      <c r="I1276" t="s">
        <v>59</v>
      </c>
      <c r="O1276" s="5"/>
      <c r="P1276" s="5"/>
    </row>
    <row r="1277" spans="1:16" x14ac:dyDescent="0.35">
      <c r="A1277" s="4">
        <v>42558</v>
      </c>
      <c r="B1277" t="s">
        <v>30</v>
      </c>
      <c r="C1277">
        <v>201</v>
      </c>
      <c r="D1277">
        <v>2</v>
      </c>
      <c r="E1277">
        <v>2</v>
      </c>
      <c r="F1277" t="s">
        <v>42</v>
      </c>
      <c r="G1277" t="s">
        <v>32</v>
      </c>
      <c r="H1277" t="s">
        <v>33</v>
      </c>
      <c r="I1277" t="s">
        <v>59</v>
      </c>
      <c r="O1277" s="5"/>
      <c r="P1277" s="5"/>
    </row>
    <row r="1278" spans="1:16" x14ac:dyDescent="0.35">
      <c r="A1278" s="4">
        <v>42558</v>
      </c>
      <c r="B1278" t="s">
        <v>30</v>
      </c>
      <c r="C1278">
        <v>201</v>
      </c>
      <c r="D1278">
        <v>3</v>
      </c>
      <c r="E1278">
        <v>1</v>
      </c>
      <c r="F1278" t="s">
        <v>42</v>
      </c>
      <c r="G1278" t="s">
        <v>32</v>
      </c>
      <c r="H1278" t="s">
        <v>33</v>
      </c>
      <c r="I1278" t="s">
        <v>59</v>
      </c>
      <c r="O1278" s="5"/>
      <c r="P1278" s="5"/>
    </row>
    <row r="1279" spans="1:16" x14ac:dyDescent="0.35">
      <c r="A1279" s="4">
        <v>42558</v>
      </c>
      <c r="B1279" t="s">
        <v>30</v>
      </c>
      <c r="C1279">
        <v>201</v>
      </c>
      <c r="D1279">
        <v>5</v>
      </c>
      <c r="E1279">
        <v>1</v>
      </c>
      <c r="F1279" t="s">
        <v>42</v>
      </c>
      <c r="G1279" t="s">
        <v>32</v>
      </c>
      <c r="H1279" t="s">
        <v>33</v>
      </c>
      <c r="I1279" t="s">
        <v>59</v>
      </c>
      <c r="O1279" s="5"/>
      <c r="P1279" s="5"/>
    </row>
    <row r="1280" spans="1:16" x14ac:dyDescent="0.35">
      <c r="A1280" s="4">
        <v>42558</v>
      </c>
      <c r="B1280" t="s">
        <v>30</v>
      </c>
      <c r="C1280">
        <v>201</v>
      </c>
      <c r="D1280">
        <v>5</v>
      </c>
      <c r="E1280">
        <v>2</v>
      </c>
      <c r="F1280" t="s">
        <v>42</v>
      </c>
      <c r="G1280" t="s">
        <v>32</v>
      </c>
      <c r="H1280" t="s">
        <v>33</v>
      </c>
      <c r="I1280" t="s">
        <v>59</v>
      </c>
      <c r="O1280" s="5"/>
      <c r="P1280" s="5"/>
    </row>
    <row r="1281" spans="1:30" x14ac:dyDescent="0.35">
      <c r="A1281" s="4">
        <v>42558</v>
      </c>
      <c r="B1281" t="s">
        <v>30</v>
      </c>
      <c r="C1281">
        <v>201</v>
      </c>
      <c r="D1281">
        <v>6</v>
      </c>
      <c r="E1281">
        <v>1</v>
      </c>
      <c r="F1281" t="s">
        <v>42</v>
      </c>
      <c r="G1281" t="s">
        <v>32</v>
      </c>
      <c r="H1281" t="s">
        <v>33</v>
      </c>
      <c r="I1281" t="s">
        <v>59</v>
      </c>
      <c r="O1281" s="5"/>
      <c r="P1281" s="5"/>
    </row>
    <row r="1282" spans="1:30" x14ac:dyDescent="0.35">
      <c r="A1282" s="4">
        <v>42558</v>
      </c>
      <c r="B1282" t="s">
        <v>30</v>
      </c>
      <c r="C1282">
        <v>201</v>
      </c>
      <c r="D1282">
        <v>8</v>
      </c>
      <c r="E1282">
        <v>1</v>
      </c>
      <c r="F1282" t="s">
        <v>42</v>
      </c>
      <c r="G1282" t="s">
        <v>32</v>
      </c>
      <c r="H1282" t="s">
        <v>33</v>
      </c>
      <c r="I1282" t="s">
        <v>59</v>
      </c>
      <c r="O1282" s="5"/>
      <c r="P1282" s="5"/>
    </row>
    <row r="1283" spans="1:30" x14ac:dyDescent="0.35">
      <c r="A1283" s="4">
        <v>42558</v>
      </c>
      <c r="B1283" t="s">
        <v>30</v>
      </c>
      <c r="C1283">
        <v>201</v>
      </c>
      <c r="D1283">
        <v>9</v>
      </c>
      <c r="E1283">
        <v>1</v>
      </c>
      <c r="F1283" t="s">
        <v>42</v>
      </c>
      <c r="G1283" t="s">
        <v>32</v>
      </c>
      <c r="H1283" t="s">
        <v>33</v>
      </c>
      <c r="I1283" t="s">
        <v>59</v>
      </c>
      <c r="O1283" s="5"/>
      <c r="P1283" s="5"/>
    </row>
    <row r="1284" spans="1:30" x14ac:dyDescent="0.35">
      <c r="A1284" s="4">
        <v>42558</v>
      </c>
      <c r="B1284" t="s">
        <v>30</v>
      </c>
      <c r="C1284">
        <v>203</v>
      </c>
      <c r="D1284">
        <v>4</v>
      </c>
      <c r="E1284">
        <v>2</v>
      </c>
      <c r="F1284" t="s">
        <v>42</v>
      </c>
      <c r="G1284" t="s">
        <v>32</v>
      </c>
      <c r="H1284" t="s">
        <v>33</v>
      </c>
      <c r="I1284" t="s">
        <v>59</v>
      </c>
      <c r="O1284" s="5"/>
      <c r="P1284" s="5"/>
    </row>
    <row r="1285" spans="1:30" x14ac:dyDescent="0.35">
      <c r="A1285" s="4">
        <v>42558</v>
      </c>
      <c r="B1285" t="s">
        <v>30</v>
      </c>
      <c r="C1285">
        <v>203</v>
      </c>
      <c r="D1285">
        <v>5</v>
      </c>
      <c r="E1285">
        <v>1</v>
      </c>
      <c r="F1285" t="s">
        <v>42</v>
      </c>
      <c r="G1285" t="s">
        <v>32</v>
      </c>
      <c r="H1285" t="s">
        <v>33</v>
      </c>
      <c r="I1285" t="s">
        <v>59</v>
      </c>
      <c r="O1285" s="5"/>
      <c r="P1285" s="5"/>
    </row>
    <row r="1286" spans="1:30" x14ac:dyDescent="0.35">
      <c r="A1286" s="4">
        <v>42558</v>
      </c>
      <c r="B1286" t="s">
        <v>30</v>
      </c>
      <c r="C1286">
        <v>203</v>
      </c>
      <c r="D1286">
        <v>5</v>
      </c>
      <c r="E1286">
        <v>2</v>
      </c>
      <c r="F1286" t="s">
        <v>42</v>
      </c>
      <c r="G1286" t="s">
        <v>32</v>
      </c>
      <c r="H1286" t="s">
        <v>33</v>
      </c>
      <c r="I1286" t="s">
        <v>59</v>
      </c>
      <c r="O1286" s="5"/>
      <c r="P1286" s="5"/>
    </row>
    <row r="1287" spans="1:30" x14ac:dyDescent="0.35">
      <c r="A1287" s="4">
        <v>42558</v>
      </c>
      <c r="B1287" t="s">
        <v>30</v>
      </c>
      <c r="C1287">
        <v>203</v>
      </c>
      <c r="D1287">
        <v>6</v>
      </c>
      <c r="E1287">
        <v>1</v>
      </c>
      <c r="F1287" t="s">
        <v>42</v>
      </c>
      <c r="G1287" t="s">
        <v>32</v>
      </c>
      <c r="H1287" t="s">
        <v>33</v>
      </c>
      <c r="I1287" t="s">
        <v>59</v>
      </c>
      <c r="O1287" s="5"/>
      <c r="P1287" s="5"/>
    </row>
    <row r="1288" spans="1:30" x14ac:dyDescent="0.35">
      <c r="A1288" s="4">
        <v>42558</v>
      </c>
      <c r="B1288" t="s">
        <v>30</v>
      </c>
      <c r="C1288">
        <v>203</v>
      </c>
      <c r="D1288">
        <v>6</v>
      </c>
      <c r="E1288">
        <v>2</v>
      </c>
      <c r="F1288" t="s">
        <v>42</v>
      </c>
      <c r="G1288" t="s">
        <v>32</v>
      </c>
      <c r="H1288" t="s">
        <v>33</v>
      </c>
      <c r="I1288" t="s">
        <v>59</v>
      </c>
      <c r="O1288" s="5"/>
      <c r="P1288" s="5"/>
    </row>
    <row r="1289" spans="1:30" x14ac:dyDescent="0.35">
      <c r="A1289" s="4">
        <v>42558</v>
      </c>
      <c r="B1289" t="s">
        <v>30</v>
      </c>
      <c r="C1289">
        <v>203</v>
      </c>
      <c r="D1289">
        <v>7</v>
      </c>
      <c r="E1289">
        <v>1</v>
      </c>
      <c r="F1289" t="s">
        <v>42</v>
      </c>
      <c r="G1289" t="s">
        <v>32</v>
      </c>
      <c r="H1289" t="s">
        <v>33</v>
      </c>
      <c r="I1289" t="s">
        <v>59</v>
      </c>
      <c r="O1289" s="5"/>
      <c r="P1289" s="5"/>
    </row>
    <row r="1290" spans="1:30" x14ac:dyDescent="0.35">
      <c r="A1290" s="4">
        <v>42558</v>
      </c>
      <c r="B1290" t="s">
        <v>30</v>
      </c>
      <c r="C1290">
        <v>203</v>
      </c>
      <c r="D1290">
        <v>7</v>
      </c>
      <c r="E1290">
        <v>2</v>
      </c>
      <c r="F1290" t="s">
        <v>42</v>
      </c>
      <c r="G1290" t="s">
        <v>32</v>
      </c>
      <c r="H1290" t="s">
        <v>33</v>
      </c>
      <c r="I1290" t="s">
        <v>59</v>
      </c>
      <c r="O1290" s="5"/>
      <c r="P1290" s="5"/>
    </row>
    <row r="1291" spans="1:30" x14ac:dyDescent="0.35">
      <c r="A1291" s="4">
        <v>42558</v>
      </c>
      <c r="B1291" t="s">
        <v>30</v>
      </c>
      <c r="C1291">
        <v>203</v>
      </c>
      <c r="D1291">
        <v>8</v>
      </c>
      <c r="E1291">
        <v>1</v>
      </c>
      <c r="F1291" t="s">
        <v>42</v>
      </c>
      <c r="G1291" t="s">
        <v>32</v>
      </c>
      <c r="H1291" t="s">
        <v>33</v>
      </c>
      <c r="I1291" t="s">
        <v>59</v>
      </c>
      <c r="O1291" s="5"/>
      <c r="P1291" s="5"/>
    </row>
    <row r="1292" spans="1:30" x14ac:dyDescent="0.35">
      <c r="A1292" s="4">
        <v>42558</v>
      </c>
      <c r="B1292" t="s">
        <v>30</v>
      </c>
      <c r="C1292">
        <v>203</v>
      </c>
      <c r="D1292">
        <v>9</v>
      </c>
      <c r="E1292">
        <v>1</v>
      </c>
      <c r="F1292" t="s">
        <v>42</v>
      </c>
      <c r="G1292" t="s">
        <v>32</v>
      </c>
      <c r="H1292" t="s">
        <v>33</v>
      </c>
      <c r="I1292" t="s">
        <v>59</v>
      </c>
      <c r="O1292" s="5"/>
      <c r="P1292" s="5"/>
    </row>
    <row r="1293" spans="1:30" x14ac:dyDescent="0.35">
      <c r="A1293" s="4">
        <v>42558</v>
      </c>
      <c r="B1293" t="s">
        <v>30</v>
      </c>
      <c r="C1293">
        <v>203</v>
      </c>
      <c r="D1293">
        <v>10</v>
      </c>
      <c r="E1293">
        <v>1</v>
      </c>
      <c r="F1293" t="s">
        <v>42</v>
      </c>
      <c r="G1293" t="s">
        <v>32</v>
      </c>
      <c r="H1293" t="s">
        <v>33</v>
      </c>
      <c r="I1293" t="s">
        <v>59</v>
      </c>
      <c r="O1293" s="5"/>
      <c r="P1293" s="5"/>
    </row>
    <row r="1294" spans="1:30" x14ac:dyDescent="0.35">
      <c r="A1294" s="4">
        <v>42558</v>
      </c>
      <c r="B1294" t="s">
        <v>30</v>
      </c>
      <c r="C1294">
        <v>202</v>
      </c>
      <c r="D1294">
        <v>1</v>
      </c>
      <c r="E1294">
        <v>1</v>
      </c>
      <c r="F1294" t="s">
        <v>42</v>
      </c>
      <c r="G1294" t="s">
        <v>32</v>
      </c>
      <c r="H1294" t="s">
        <v>33</v>
      </c>
      <c r="I1294" t="s">
        <v>59</v>
      </c>
      <c r="O1294" s="5"/>
      <c r="P1294" s="5"/>
    </row>
    <row r="1295" spans="1:30" x14ac:dyDescent="0.35">
      <c r="A1295" s="4">
        <v>42558</v>
      </c>
      <c r="B1295" t="s">
        <v>30</v>
      </c>
      <c r="C1295">
        <v>202</v>
      </c>
      <c r="D1295">
        <v>1</v>
      </c>
      <c r="E1295">
        <v>2</v>
      </c>
      <c r="F1295" t="s">
        <v>42</v>
      </c>
      <c r="G1295" t="s">
        <v>32</v>
      </c>
      <c r="H1295" t="s">
        <v>33</v>
      </c>
      <c r="I1295" t="s">
        <v>59</v>
      </c>
      <c r="O1295" s="5"/>
      <c r="P1295" s="5"/>
    </row>
    <row r="1296" spans="1:30" x14ac:dyDescent="0.35">
      <c r="A1296" s="4">
        <v>42558</v>
      </c>
      <c r="B1296" t="s">
        <v>30</v>
      </c>
      <c r="C1296">
        <v>202</v>
      </c>
      <c r="D1296">
        <v>2</v>
      </c>
      <c r="E1296">
        <v>2</v>
      </c>
      <c r="F1296" t="s">
        <v>42</v>
      </c>
      <c r="G1296" t="s">
        <v>32</v>
      </c>
      <c r="H1296" t="s">
        <v>33</v>
      </c>
      <c r="I1296" t="s">
        <v>59</v>
      </c>
      <c r="O1296" s="5"/>
      <c r="P1296" s="5"/>
      <c r="AD1296" t="s">
        <v>199</v>
      </c>
    </row>
    <row r="1297" spans="1:30" x14ac:dyDescent="0.35">
      <c r="A1297" s="4">
        <v>42558</v>
      </c>
      <c r="B1297" t="s">
        <v>30</v>
      </c>
      <c r="C1297">
        <v>202</v>
      </c>
      <c r="D1297">
        <v>5</v>
      </c>
      <c r="E1297">
        <v>1</v>
      </c>
      <c r="F1297" t="s">
        <v>42</v>
      </c>
      <c r="G1297" t="s">
        <v>32</v>
      </c>
      <c r="H1297" t="s">
        <v>33</v>
      </c>
      <c r="I1297" t="s">
        <v>59</v>
      </c>
      <c r="O1297" s="5"/>
      <c r="P1297" s="5"/>
      <c r="AD1297" t="s">
        <v>199</v>
      </c>
    </row>
    <row r="1298" spans="1:30" x14ac:dyDescent="0.35">
      <c r="A1298" s="4">
        <v>42558</v>
      </c>
      <c r="B1298" t="s">
        <v>30</v>
      </c>
      <c r="C1298">
        <v>304</v>
      </c>
      <c r="D1298">
        <v>1</v>
      </c>
      <c r="E1298">
        <v>1</v>
      </c>
      <c r="F1298" t="s">
        <v>42</v>
      </c>
      <c r="G1298" t="s">
        <v>32</v>
      </c>
      <c r="H1298" t="s">
        <v>33</v>
      </c>
      <c r="I1298" t="s">
        <v>59</v>
      </c>
      <c r="O1298" s="5"/>
      <c r="P1298" s="5"/>
    </row>
    <row r="1299" spans="1:30" x14ac:dyDescent="0.35">
      <c r="A1299" s="4">
        <v>42558</v>
      </c>
      <c r="B1299" t="s">
        <v>30</v>
      </c>
      <c r="C1299">
        <v>304</v>
      </c>
      <c r="D1299">
        <v>1</v>
      </c>
      <c r="E1299">
        <v>2</v>
      </c>
      <c r="F1299" t="s">
        <v>42</v>
      </c>
      <c r="G1299" t="s">
        <v>32</v>
      </c>
      <c r="H1299" t="s">
        <v>33</v>
      </c>
      <c r="I1299" t="s">
        <v>59</v>
      </c>
      <c r="O1299" s="5"/>
      <c r="P1299" s="5"/>
    </row>
    <row r="1300" spans="1:30" x14ac:dyDescent="0.35">
      <c r="A1300" s="4">
        <v>42558</v>
      </c>
      <c r="B1300" t="s">
        <v>30</v>
      </c>
      <c r="C1300">
        <v>304</v>
      </c>
      <c r="D1300">
        <v>2</v>
      </c>
      <c r="E1300">
        <v>2</v>
      </c>
      <c r="F1300" t="s">
        <v>42</v>
      </c>
      <c r="G1300" t="s">
        <v>32</v>
      </c>
      <c r="H1300" t="s">
        <v>33</v>
      </c>
      <c r="I1300" t="s">
        <v>59</v>
      </c>
      <c r="O1300" s="5"/>
      <c r="P1300" s="5"/>
    </row>
    <row r="1301" spans="1:30" x14ac:dyDescent="0.35">
      <c r="A1301" s="4">
        <v>42558</v>
      </c>
      <c r="B1301" t="s">
        <v>30</v>
      </c>
      <c r="C1301">
        <v>304</v>
      </c>
      <c r="D1301">
        <v>3</v>
      </c>
      <c r="E1301">
        <v>1</v>
      </c>
      <c r="F1301" t="s">
        <v>42</v>
      </c>
      <c r="G1301" t="s">
        <v>32</v>
      </c>
      <c r="H1301" t="s">
        <v>33</v>
      </c>
      <c r="I1301" t="s">
        <v>59</v>
      </c>
      <c r="O1301" s="5"/>
      <c r="P1301" s="5"/>
    </row>
    <row r="1302" spans="1:30" x14ac:dyDescent="0.35">
      <c r="A1302" s="4">
        <v>42558</v>
      </c>
      <c r="B1302" t="s">
        <v>30</v>
      </c>
      <c r="C1302">
        <v>304</v>
      </c>
      <c r="D1302">
        <v>3</v>
      </c>
      <c r="E1302">
        <v>2</v>
      </c>
      <c r="F1302" t="s">
        <v>42</v>
      </c>
      <c r="G1302" t="s">
        <v>32</v>
      </c>
      <c r="H1302" t="s">
        <v>33</v>
      </c>
      <c r="I1302" t="s">
        <v>59</v>
      </c>
      <c r="O1302" s="5"/>
      <c r="P1302" s="5"/>
    </row>
    <row r="1303" spans="1:30" x14ac:dyDescent="0.35">
      <c r="A1303" s="4">
        <v>42558</v>
      </c>
      <c r="B1303" t="s">
        <v>30</v>
      </c>
      <c r="C1303">
        <v>304</v>
      </c>
      <c r="D1303">
        <v>4</v>
      </c>
      <c r="E1303">
        <v>1</v>
      </c>
      <c r="F1303" t="s">
        <v>42</v>
      </c>
      <c r="G1303" t="s">
        <v>32</v>
      </c>
      <c r="H1303" t="s">
        <v>33</v>
      </c>
      <c r="I1303" t="s">
        <v>59</v>
      </c>
      <c r="O1303" s="5"/>
      <c r="P1303" s="5"/>
    </row>
    <row r="1304" spans="1:30" x14ac:dyDescent="0.35">
      <c r="A1304" s="4">
        <v>42558</v>
      </c>
      <c r="B1304" t="s">
        <v>30</v>
      </c>
      <c r="C1304">
        <v>304</v>
      </c>
      <c r="D1304">
        <v>4</v>
      </c>
      <c r="E1304">
        <v>2</v>
      </c>
      <c r="F1304" t="s">
        <v>42</v>
      </c>
      <c r="G1304" t="s">
        <v>32</v>
      </c>
      <c r="H1304" t="s">
        <v>33</v>
      </c>
      <c r="I1304" t="s">
        <v>59</v>
      </c>
      <c r="O1304" s="5"/>
      <c r="P1304" s="5"/>
    </row>
    <row r="1305" spans="1:30" x14ac:dyDescent="0.35">
      <c r="A1305" s="4">
        <v>42558</v>
      </c>
      <c r="B1305" t="s">
        <v>30</v>
      </c>
      <c r="C1305">
        <v>304</v>
      </c>
      <c r="D1305">
        <v>5</v>
      </c>
      <c r="E1305">
        <v>1</v>
      </c>
      <c r="F1305" t="s">
        <v>42</v>
      </c>
      <c r="G1305" t="s">
        <v>32</v>
      </c>
      <c r="H1305" t="s">
        <v>33</v>
      </c>
      <c r="I1305" t="s">
        <v>59</v>
      </c>
      <c r="O1305" s="5"/>
      <c r="P1305" s="5"/>
    </row>
    <row r="1306" spans="1:30" x14ac:dyDescent="0.35">
      <c r="A1306" s="4">
        <v>42558</v>
      </c>
      <c r="B1306" t="s">
        <v>30</v>
      </c>
      <c r="C1306">
        <v>304</v>
      </c>
      <c r="D1306">
        <v>7</v>
      </c>
      <c r="E1306">
        <v>1</v>
      </c>
      <c r="F1306" t="s">
        <v>42</v>
      </c>
      <c r="G1306" t="s">
        <v>32</v>
      </c>
      <c r="H1306" t="s">
        <v>33</v>
      </c>
      <c r="I1306" t="s">
        <v>59</v>
      </c>
      <c r="O1306" s="5"/>
      <c r="P1306" s="5"/>
    </row>
    <row r="1307" spans="1:30" x14ac:dyDescent="0.35">
      <c r="A1307" s="4">
        <v>42558</v>
      </c>
      <c r="B1307" t="s">
        <v>30</v>
      </c>
      <c r="C1307">
        <v>304</v>
      </c>
      <c r="D1307">
        <v>8</v>
      </c>
      <c r="E1307">
        <v>1</v>
      </c>
      <c r="F1307" t="s">
        <v>42</v>
      </c>
      <c r="G1307" t="s">
        <v>32</v>
      </c>
      <c r="H1307" t="s">
        <v>33</v>
      </c>
      <c r="I1307" t="s">
        <v>59</v>
      </c>
      <c r="O1307" s="5"/>
      <c r="P1307" s="5"/>
    </row>
    <row r="1308" spans="1:30" x14ac:dyDescent="0.35">
      <c r="A1308" s="4">
        <v>42558</v>
      </c>
      <c r="B1308" t="s">
        <v>30</v>
      </c>
      <c r="C1308">
        <v>304</v>
      </c>
      <c r="D1308">
        <v>8</v>
      </c>
      <c r="E1308">
        <v>2</v>
      </c>
      <c r="F1308" t="s">
        <v>42</v>
      </c>
      <c r="G1308" t="s">
        <v>32</v>
      </c>
      <c r="H1308" t="s">
        <v>33</v>
      </c>
      <c r="I1308" t="s">
        <v>59</v>
      </c>
      <c r="O1308" s="5"/>
      <c r="P1308" s="5"/>
    </row>
    <row r="1309" spans="1:30" x14ac:dyDescent="0.35">
      <c r="A1309" s="4">
        <v>42558</v>
      </c>
      <c r="B1309" t="s">
        <v>30</v>
      </c>
      <c r="C1309">
        <v>304</v>
      </c>
      <c r="D1309">
        <v>10</v>
      </c>
      <c r="E1309">
        <v>1</v>
      </c>
      <c r="F1309" t="s">
        <v>42</v>
      </c>
      <c r="G1309" t="s">
        <v>32</v>
      </c>
      <c r="H1309" t="s">
        <v>33</v>
      </c>
      <c r="I1309" t="s">
        <v>59</v>
      </c>
      <c r="O1309" s="5"/>
      <c r="P1309" s="5"/>
    </row>
    <row r="1310" spans="1:30" x14ac:dyDescent="0.35">
      <c r="A1310" s="4">
        <v>42558</v>
      </c>
      <c r="B1310" t="s">
        <v>30</v>
      </c>
      <c r="C1310">
        <v>111</v>
      </c>
      <c r="D1310">
        <v>3</v>
      </c>
      <c r="E1310">
        <v>1</v>
      </c>
      <c r="F1310" t="s">
        <v>31</v>
      </c>
      <c r="G1310" t="s">
        <v>32</v>
      </c>
      <c r="H1310" t="s">
        <v>33</v>
      </c>
      <c r="I1310" t="s">
        <v>59</v>
      </c>
      <c r="O1310" s="5"/>
      <c r="P1310" s="5"/>
    </row>
    <row r="1311" spans="1:30" x14ac:dyDescent="0.35">
      <c r="A1311" s="4">
        <v>42558</v>
      </c>
      <c r="B1311" t="s">
        <v>30</v>
      </c>
      <c r="C1311">
        <v>111</v>
      </c>
      <c r="D1311">
        <v>9</v>
      </c>
      <c r="E1311">
        <v>1</v>
      </c>
      <c r="F1311" t="s">
        <v>31</v>
      </c>
      <c r="G1311" t="s">
        <v>32</v>
      </c>
      <c r="H1311" t="s">
        <v>33</v>
      </c>
      <c r="I1311" t="s">
        <v>59</v>
      </c>
      <c r="O1311" s="5"/>
      <c r="P1311" s="5"/>
    </row>
    <row r="1312" spans="1:30" x14ac:dyDescent="0.35">
      <c r="A1312" s="4">
        <v>42558</v>
      </c>
      <c r="B1312" t="s">
        <v>30</v>
      </c>
      <c r="C1312">
        <v>111</v>
      </c>
      <c r="D1312">
        <v>10</v>
      </c>
      <c r="E1312">
        <v>1</v>
      </c>
      <c r="F1312" t="s">
        <v>31</v>
      </c>
      <c r="G1312" t="s">
        <v>32</v>
      </c>
      <c r="H1312" t="s">
        <v>33</v>
      </c>
      <c r="I1312" t="s">
        <v>59</v>
      </c>
      <c r="O1312" s="5"/>
      <c r="P1312" s="5"/>
    </row>
    <row r="1313" spans="1:30" x14ac:dyDescent="0.35">
      <c r="A1313" s="4">
        <v>42558</v>
      </c>
      <c r="B1313" t="s">
        <v>30</v>
      </c>
      <c r="C1313">
        <v>112</v>
      </c>
      <c r="D1313">
        <v>1</v>
      </c>
      <c r="E1313">
        <v>1</v>
      </c>
      <c r="F1313" t="s">
        <v>31</v>
      </c>
      <c r="G1313" t="s">
        <v>32</v>
      </c>
      <c r="H1313" t="s">
        <v>33</v>
      </c>
      <c r="I1313" t="s">
        <v>59</v>
      </c>
      <c r="O1313" s="5"/>
      <c r="P1313" s="5"/>
    </row>
    <row r="1314" spans="1:30" x14ac:dyDescent="0.35">
      <c r="A1314" s="4">
        <v>42558</v>
      </c>
      <c r="B1314" t="s">
        <v>30</v>
      </c>
      <c r="C1314">
        <v>112</v>
      </c>
      <c r="D1314">
        <v>5</v>
      </c>
      <c r="E1314">
        <v>1</v>
      </c>
      <c r="F1314" t="s">
        <v>31</v>
      </c>
      <c r="G1314" t="s">
        <v>32</v>
      </c>
      <c r="H1314" t="s">
        <v>33</v>
      </c>
      <c r="I1314" t="s">
        <v>59</v>
      </c>
      <c r="O1314" s="5"/>
      <c r="P1314" s="5"/>
    </row>
    <row r="1315" spans="1:30" x14ac:dyDescent="0.35">
      <c r="A1315" s="4">
        <v>42558</v>
      </c>
      <c r="B1315" t="s">
        <v>30</v>
      </c>
      <c r="C1315">
        <v>112</v>
      </c>
      <c r="D1315">
        <v>6</v>
      </c>
      <c r="E1315">
        <v>1</v>
      </c>
      <c r="F1315" t="s">
        <v>31</v>
      </c>
      <c r="G1315" t="s">
        <v>32</v>
      </c>
      <c r="H1315" t="s">
        <v>33</v>
      </c>
      <c r="I1315" t="s">
        <v>59</v>
      </c>
      <c r="O1315" s="5"/>
      <c r="P1315" s="5"/>
    </row>
    <row r="1316" spans="1:30" x14ac:dyDescent="0.35">
      <c r="A1316" s="4">
        <v>42558</v>
      </c>
      <c r="B1316" t="s">
        <v>30</v>
      </c>
      <c r="C1316">
        <v>112</v>
      </c>
      <c r="D1316">
        <v>7</v>
      </c>
      <c r="E1316">
        <v>1</v>
      </c>
      <c r="F1316" t="s">
        <v>31</v>
      </c>
      <c r="G1316" t="s">
        <v>32</v>
      </c>
      <c r="H1316" t="s">
        <v>33</v>
      </c>
      <c r="I1316" t="s">
        <v>59</v>
      </c>
      <c r="O1316" s="5"/>
      <c r="P1316" s="5"/>
    </row>
    <row r="1317" spans="1:30" x14ac:dyDescent="0.35">
      <c r="A1317" s="4">
        <v>42558</v>
      </c>
      <c r="B1317" t="s">
        <v>30</v>
      </c>
      <c r="C1317">
        <v>112</v>
      </c>
      <c r="D1317">
        <v>8</v>
      </c>
      <c r="E1317">
        <v>1</v>
      </c>
      <c r="F1317" t="s">
        <v>31</v>
      </c>
      <c r="G1317" t="s">
        <v>32</v>
      </c>
      <c r="H1317" t="s">
        <v>33</v>
      </c>
      <c r="I1317" t="s">
        <v>59</v>
      </c>
      <c r="O1317" s="5"/>
      <c r="P1317" s="5"/>
    </row>
    <row r="1318" spans="1:30" x14ac:dyDescent="0.35">
      <c r="A1318" s="4">
        <v>42558</v>
      </c>
      <c r="B1318" t="s">
        <v>30</v>
      </c>
      <c r="C1318">
        <v>112</v>
      </c>
      <c r="D1318">
        <v>9</v>
      </c>
      <c r="E1318">
        <v>1</v>
      </c>
      <c r="F1318" t="s">
        <v>31</v>
      </c>
      <c r="G1318" t="s">
        <v>32</v>
      </c>
      <c r="H1318" t="s">
        <v>33</v>
      </c>
      <c r="I1318" t="s">
        <v>59</v>
      </c>
      <c r="O1318" s="5"/>
      <c r="P1318" s="5"/>
    </row>
    <row r="1319" spans="1:30" x14ac:dyDescent="0.35">
      <c r="A1319" s="4">
        <v>42558</v>
      </c>
      <c r="B1319" t="s">
        <v>30</v>
      </c>
      <c r="C1319">
        <v>113</v>
      </c>
      <c r="D1319">
        <v>2</v>
      </c>
      <c r="E1319">
        <v>1</v>
      </c>
      <c r="F1319" t="s">
        <v>31</v>
      </c>
      <c r="G1319" t="s">
        <v>32</v>
      </c>
      <c r="H1319" t="s">
        <v>33</v>
      </c>
      <c r="I1319" t="s">
        <v>59</v>
      </c>
      <c r="O1319" s="5"/>
      <c r="P1319" s="5"/>
    </row>
    <row r="1320" spans="1:30" x14ac:dyDescent="0.35">
      <c r="A1320" s="4">
        <v>42558</v>
      </c>
      <c r="B1320" t="s">
        <v>30</v>
      </c>
      <c r="C1320">
        <v>113</v>
      </c>
      <c r="D1320">
        <v>10</v>
      </c>
      <c r="E1320">
        <v>1</v>
      </c>
      <c r="F1320" t="s">
        <v>31</v>
      </c>
      <c r="G1320" t="s">
        <v>32</v>
      </c>
      <c r="H1320" t="s">
        <v>33</v>
      </c>
      <c r="I1320" t="s">
        <v>59</v>
      </c>
      <c r="O1320" s="5"/>
      <c r="P1320" s="5"/>
    </row>
    <row r="1321" spans="1:30" x14ac:dyDescent="0.35">
      <c r="A1321" s="4">
        <v>42558</v>
      </c>
      <c r="B1321" t="s">
        <v>30</v>
      </c>
      <c r="C1321">
        <v>113</v>
      </c>
      <c r="D1321">
        <v>10</v>
      </c>
      <c r="E1321">
        <v>2</v>
      </c>
      <c r="F1321" t="s">
        <v>31</v>
      </c>
      <c r="G1321" t="s">
        <v>32</v>
      </c>
      <c r="H1321" t="s">
        <v>33</v>
      </c>
      <c r="I1321" t="s">
        <v>59</v>
      </c>
      <c r="O1321" s="5"/>
      <c r="P1321" s="5"/>
    </row>
    <row r="1322" spans="1:30" x14ac:dyDescent="0.35">
      <c r="A1322" s="4">
        <v>42558</v>
      </c>
      <c r="B1322" t="s">
        <v>30</v>
      </c>
      <c r="C1322">
        <v>402</v>
      </c>
      <c r="D1322">
        <v>1</v>
      </c>
      <c r="E1322">
        <v>2</v>
      </c>
      <c r="F1322" t="s">
        <v>31</v>
      </c>
      <c r="G1322" t="s">
        <v>32</v>
      </c>
      <c r="H1322" t="s">
        <v>33</v>
      </c>
      <c r="I1322" t="s">
        <v>59</v>
      </c>
      <c r="O1322" s="5"/>
      <c r="P1322" s="5"/>
    </row>
    <row r="1323" spans="1:30" x14ac:dyDescent="0.35">
      <c r="A1323" s="4">
        <v>42558</v>
      </c>
      <c r="B1323" t="s">
        <v>30</v>
      </c>
      <c r="C1323">
        <v>402</v>
      </c>
      <c r="D1323">
        <v>8</v>
      </c>
      <c r="E1323">
        <v>1</v>
      </c>
      <c r="F1323" t="s">
        <v>31</v>
      </c>
      <c r="G1323" t="s">
        <v>32</v>
      </c>
      <c r="H1323" t="s">
        <v>33</v>
      </c>
      <c r="I1323" t="s">
        <v>59</v>
      </c>
      <c r="O1323" s="5"/>
      <c r="P1323" s="5"/>
    </row>
    <row r="1324" spans="1:30" x14ac:dyDescent="0.35">
      <c r="A1324" s="4">
        <v>42558</v>
      </c>
      <c r="B1324" t="s">
        <v>30</v>
      </c>
      <c r="C1324">
        <v>112</v>
      </c>
      <c r="D1324">
        <v>8</v>
      </c>
      <c r="E1324">
        <v>2</v>
      </c>
      <c r="F1324" t="s">
        <v>31</v>
      </c>
      <c r="G1324" t="s">
        <v>32</v>
      </c>
      <c r="H1324" t="s">
        <v>33</v>
      </c>
      <c r="I1324" t="s">
        <v>94</v>
      </c>
      <c r="J1324" t="s">
        <v>48</v>
      </c>
      <c r="K1324" t="s">
        <v>36</v>
      </c>
      <c r="L1324" t="s">
        <v>45</v>
      </c>
      <c r="M1324">
        <v>1</v>
      </c>
      <c r="N1324">
        <v>0</v>
      </c>
      <c r="O1324" s="5">
        <v>50494</v>
      </c>
      <c r="P1324" s="5">
        <v>50521</v>
      </c>
      <c r="Q1324">
        <f>34-9</f>
        <v>25</v>
      </c>
      <c r="R1324" t="s">
        <v>145</v>
      </c>
      <c r="S1324" t="s">
        <v>102</v>
      </c>
      <c r="T1324">
        <v>28</v>
      </c>
      <c r="W1324">
        <v>12.9</v>
      </c>
      <c r="X1324">
        <v>27.3</v>
      </c>
      <c r="Z1324" t="s">
        <v>39</v>
      </c>
      <c r="AB1324" t="s">
        <v>86</v>
      </c>
      <c r="AC1324" t="s">
        <v>137</v>
      </c>
      <c r="AD1324" t="s">
        <v>200</v>
      </c>
    </row>
    <row r="1325" spans="1:30" x14ac:dyDescent="0.35">
      <c r="A1325" s="4">
        <v>42558</v>
      </c>
      <c r="B1325" t="s">
        <v>30</v>
      </c>
      <c r="C1325">
        <v>402</v>
      </c>
      <c r="D1325">
        <v>4</v>
      </c>
      <c r="E1325">
        <v>2</v>
      </c>
      <c r="F1325" t="s">
        <v>31</v>
      </c>
      <c r="G1325" t="s">
        <v>32</v>
      </c>
      <c r="H1325" t="s">
        <v>33</v>
      </c>
      <c r="I1325" t="s">
        <v>94</v>
      </c>
      <c r="J1325" t="s">
        <v>35</v>
      </c>
      <c r="K1325" t="s">
        <v>36</v>
      </c>
      <c r="L1325" t="s">
        <v>45</v>
      </c>
      <c r="M1325">
        <v>0</v>
      </c>
      <c r="N1325">
        <v>1</v>
      </c>
      <c r="O1325" s="5">
        <v>50518</v>
      </c>
      <c r="P1325" s="5"/>
      <c r="Q1325">
        <f>36-11</f>
        <v>25</v>
      </c>
      <c r="R1325" t="s">
        <v>145</v>
      </c>
      <c r="S1325" t="s">
        <v>102</v>
      </c>
      <c r="T1325">
        <v>29</v>
      </c>
      <c r="W1325">
        <v>13.3</v>
      </c>
      <c r="X1325">
        <v>27.7</v>
      </c>
      <c r="Z1325" t="s">
        <v>39</v>
      </c>
      <c r="AB1325" t="s">
        <v>86</v>
      </c>
      <c r="AC1325" t="s">
        <v>137</v>
      </c>
    </row>
    <row r="1326" spans="1:30" x14ac:dyDescent="0.35">
      <c r="A1326" s="4">
        <v>42558</v>
      </c>
      <c r="B1326" t="s">
        <v>30</v>
      </c>
      <c r="C1326">
        <v>203</v>
      </c>
      <c r="D1326">
        <v>1</v>
      </c>
      <c r="E1326">
        <v>2</v>
      </c>
      <c r="F1326" t="s">
        <v>42</v>
      </c>
      <c r="G1326" t="s">
        <v>32</v>
      </c>
      <c r="H1326" t="s">
        <v>33</v>
      </c>
      <c r="I1326" t="s">
        <v>94</v>
      </c>
      <c r="J1326" t="s">
        <v>44</v>
      </c>
      <c r="K1326" t="s">
        <v>36</v>
      </c>
      <c r="L1326" t="s">
        <v>45</v>
      </c>
      <c r="M1326">
        <v>0</v>
      </c>
      <c r="N1326">
        <v>0</v>
      </c>
      <c r="O1326" s="5">
        <v>50631</v>
      </c>
      <c r="P1326" s="5"/>
      <c r="Q1326">
        <f>35-10.5</f>
        <v>24.5</v>
      </c>
      <c r="R1326" t="s">
        <v>46</v>
      </c>
      <c r="S1326" t="s">
        <v>39</v>
      </c>
      <c r="T1326">
        <v>28</v>
      </c>
      <c r="W1326">
        <v>12.7</v>
      </c>
      <c r="X1326">
        <v>29.8</v>
      </c>
      <c r="Z1326" t="s">
        <v>39</v>
      </c>
      <c r="AB1326" t="s">
        <v>86</v>
      </c>
      <c r="AC1326" t="s">
        <v>137</v>
      </c>
    </row>
    <row r="1327" spans="1:30" x14ac:dyDescent="0.35">
      <c r="A1327" s="4">
        <v>42558</v>
      </c>
      <c r="B1327" t="s">
        <v>30</v>
      </c>
      <c r="C1327">
        <v>203</v>
      </c>
      <c r="D1327">
        <v>10</v>
      </c>
      <c r="E1327">
        <v>2</v>
      </c>
      <c r="F1327" t="s">
        <v>42</v>
      </c>
      <c r="G1327" t="s">
        <v>32</v>
      </c>
      <c r="H1327" t="s">
        <v>33</v>
      </c>
      <c r="I1327" t="s">
        <v>94</v>
      </c>
      <c r="J1327" t="s">
        <v>44</v>
      </c>
      <c r="K1327" t="s">
        <v>36</v>
      </c>
      <c r="L1327" t="s">
        <v>37</v>
      </c>
      <c r="M1327">
        <v>0</v>
      </c>
      <c r="N1327">
        <v>0</v>
      </c>
      <c r="O1327" s="5">
        <v>50635</v>
      </c>
      <c r="P1327" s="5"/>
      <c r="Q1327">
        <v>22</v>
      </c>
      <c r="R1327" t="s">
        <v>38</v>
      </c>
      <c r="T1327">
        <v>28</v>
      </c>
      <c r="W1327">
        <v>13.3</v>
      </c>
      <c r="X1327">
        <v>27.3</v>
      </c>
      <c r="Z1327" t="s">
        <v>39</v>
      </c>
      <c r="AB1327" t="s">
        <v>97</v>
      </c>
      <c r="AC1327" t="s">
        <v>137</v>
      </c>
    </row>
    <row r="1328" spans="1:30" x14ac:dyDescent="0.35">
      <c r="A1328" s="4">
        <v>42558</v>
      </c>
      <c r="B1328" t="s">
        <v>30</v>
      </c>
      <c r="C1328">
        <v>203</v>
      </c>
      <c r="D1328">
        <v>2</v>
      </c>
      <c r="E1328">
        <v>1</v>
      </c>
      <c r="F1328" t="s">
        <v>42</v>
      </c>
      <c r="G1328" t="s">
        <v>32</v>
      </c>
      <c r="H1328" t="s">
        <v>33</v>
      </c>
      <c r="I1328" t="s">
        <v>94</v>
      </c>
      <c r="J1328" t="s">
        <v>35</v>
      </c>
      <c r="K1328" t="s">
        <v>36</v>
      </c>
      <c r="L1328" t="s">
        <v>37</v>
      </c>
      <c r="M1328">
        <v>0</v>
      </c>
      <c r="N1328">
        <v>1</v>
      </c>
      <c r="O1328" s="5">
        <v>50657</v>
      </c>
      <c r="P1328" s="5"/>
      <c r="Q1328">
        <v>26</v>
      </c>
      <c r="R1328" t="s">
        <v>38</v>
      </c>
      <c r="T1328">
        <v>29</v>
      </c>
      <c r="W1328">
        <v>13.7</v>
      </c>
      <c r="X1328">
        <v>28.2</v>
      </c>
      <c r="Z1328" t="s">
        <v>39</v>
      </c>
      <c r="AB1328" t="s">
        <v>86</v>
      </c>
      <c r="AC1328" t="s">
        <v>137</v>
      </c>
    </row>
    <row r="1329" spans="1:29" x14ac:dyDescent="0.35">
      <c r="A1329" s="4">
        <v>42558</v>
      </c>
      <c r="B1329" t="s">
        <v>30</v>
      </c>
      <c r="C1329">
        <v>203</v>
      </c>
      <c r="D1329">
        <v>3</v>
      </c>
      <c r="E1329">
        <v>1</v>
      </c>
      <c r="F1329" t="s">
        <v>42</v>
      </c>
      <c r="G1329" t="s">
        <v>32</v>
      </c>
      <c r="H1329" t="s">
        <v>33</v>
      </c>
      <c r="I1329" t="s">
        <v>94</v>
      </c>
      <c r="J1329" t="s">
        <v>35</v>
      </c>
      <c r="K1329" t="s">
        <v>36</v>
      </c>
      <c r="L1329" t="s">
        <v>45</v>
      </c>
      <c r="M1329">
        <v>0</v>
      </c>
      <c r="N1329">
        <v>1</v>
      </c>
      <c r="O1329" s="5">
        <v>50676</v>
      </c>
      <c r="P1329" s="5"/>
      <c r="Q1329">
        <f>37-11.5</f>
        <v>25.5</v>
      </c>
      <c r="R1329" t="s">
        <v>38</v>
      </c>
      <c r="T1329">
        <v>28</v>
      </c>
      <c r="W1329">
        <v>13.2</v>
      </c>
      <c r="X1329">
        <v>29.9</v>
      </c>
      <c r="Z1329" t="s">
        <v>39</v>
      </c>
      <c r="AB1329" t="s">
        <v>86</v>
      </c>
      <c r="AC1329" t="s">
        <v>137</v>
      </c>
    </row>
    <row r="1330" spans="1:29" x14ac:dyDescent="0.35">
      <c r="A1330" s="4">
        <v>42563</v>
      </c>
      <c r="B1330" t="s">
        <v>30</v>
      </c>
      <c r="C1330">
        <v>303</v>
      </c>
      <c r="D1330">
        <v>2</v>
      </c>
      <c r="E1330">
        <v>2</v>
      </c>
      <c r="F1330" t="s">
        <v>42</v>
      </c>
      <c r="G1330" t="s">
        <v>32</v>
      </c>
      <c r="H1330" t="s">
        <v>33</v>
      </c>
      <c r="I1330" t="s">
        <v>43</v>
      </c>
      <c r="J1330" t="s">
        <v>44</v>
      </c>
      <c r="K1330" t="s">
        <v>36</v>
      </c>
      <c r="L1330" t="s">
        <v>37</v>
      </c>
      <c r="M1330">
        <v>0</v>
      </c>
      <c r="N1330">
        <v>0</v>
      </c>
      <c r="O1330" s="5">
        <v>50321</v>
      </c>
      <c r="P1330" s="5">
        <v>50320</v>
      </c>
      <c r="Q1330">
        <f>35-11.5</f>
        <v>23.5</v>
      </c>
      <c r="R1330" t="s">
        <v>38</v>
      </c>
      <c r="W1330">
        <v>13.3</v>
      </c>
      <c r="X1330">
        <v>26.8</v>
      </c>
      <c r="Z1330" t="s">
        <v>39</v>
      </c>
      <c r="AB1330" t="s">
        <v>136</v>
      </c>
      <c r="AC1330" t="s">
        <v>87</v>
      </c>
    </row>
    <row r="1331" spans="1:29" x14ac:dyDescent="0.35">
      <c r="A1331" s="4">
        <v>42563</v>
      </c>
      <c r="B1331" t="s">
        <v>30</v>
      </c>
      <c r="C1331">
        <v>701</v>
      </c>
      <c r="D1331">
        <v>6</v>
      </c>
      <c r="E1331">
        <v>1</v>
      </c>
      <c r="F1331" t="s">
        <v>31</v>
      </c>
      <c r="G1331" t="s">
        <v>32</v>
      </c>
      <c r="H1331" t="s">
        <v>33</v>
      </c>
      <c r="I1331" t="s">
        <v>43</v>
      </c>
      <c r="J1331" t="s">
        <v>44</v>
      </c>
      <c r="K1331" t="s">
        <v>112</v>
      </c>
      <c r="L1331" t="s">
        <v>37</v>
      </c>
      <c r="M1331">
        <v>0</v>
      </c>
      <c r="N1331">
        <v>0</v>
      </c>
      <c r="O1331" s="5">
        <v>50370</v>
      </c>
      <c r="P1331" s="5">
        <v>60369</v>
      </c>
      <c r="Q1331">
        <f>29-12</f>
        <v>17</v>
      </c>
      <c r="R1331" t="s">
        <v>38</v>
      </c>
      <c r="T1331">
        <v>18</v>
      </c>
      <c r="U1331">
        <v>71</v>
      </c>
      <c r="V1331">
        <v>15</v>
      </c>
      <c r="W1331">
        <v>12.9</v>
      </c>
      <c r="X1331">
        <v>27.3</v>
      </c>
      <c r="Z1331" t="s">
        <v>39</v>
      </c>
      <c r="AB1331" t="s">
        <v>60</v>
      </c>
      <c r="AC1331" t="s">
        <v>87</v>
      </c>
    </row>
    <row r="1332" spans="1:29" x14ac:dyDescent="0.35">
      <c r="A1332" s="4">
        <v>42563</v>
      </c>
      <c r="B1332" t="s">
        <v>30</v>
      </c>
      <c r="C1332">
        <v>503</v>
      </c>
      <c r="D1332">
        <v>8</v>
      </c>
      <c r="E1332">
        <v>1</v>
      </c>
      <c r="F1332" t="s">
        <v>42</v>
      </c>
      <c r="G1332" t="s">
        <v>32</v>
      </c>
      <c r="H1332" t="s">
        <v>33</v>
      </c>
      <c r="I1332" t="s">
        <v>43</v>
      </c>
      <c r="J1332" t="s">
        <v>44</v>
      </c>
      <c r="K1332" t="s">
        <v>36</v>
      </c>
      <c r="L1332" t="s">
        <v>37</v>
      </c>
      <c r="M1332">
        <v>0</v>
      </c>
      <c r="N1332">
        <v>0</v>
      </c>
      <c r="O1332" s="5">
        <v>50436</v>
      </c>
      <c r="P1332" s="5">
        <v>50435</v>
      </c>
      <c r="Q1332">
        <v>20</v>
      </c>
      <c r="R1332" t="s">
        <v>38</v>
      </c>
      <c r="T1332">
        <v>21</v>
      </c>
      <c r="U1332">
        <v>88</v>
      </c>
      <c r="V1332">
        <v>16</v>
      </c>
      <c r="W1332">
        <v>13.8</v>
      </c>
      <c r="X1332">
        <v>30.1</v>
      </c>
      <c r="Z1332" t="s">
        <v>39</v>
      </c>
      <c r="AB1332" t="s">
        <v>60</v>
      </c>
      <c r="AC1332" t="s">
        <v>87</v>
      </c>
    </row>
    <row r="1333" spans="1:29" x14ac:dyDescent="0.35">
      <c r="A1333" s="4">
        <v>42563</v>
      </c>
      <c r="B1333" t="s">
        <v>30</v>
      </c>
      <c r="C1333">
        <v>501</v>
      </c>
      <c r="D1333">
        <v>9</v>
      </c>
      <c r="E1333">
        <v>1</v>
      </c>
      <c r="F1333" t="s">
        <v>42</v>
      </c>
      <c r="G1333" t="s">
        <v>32</v>
      </c>
      <c r="H1333" t="s">
        <v>33</v>
      </c>
      <c r="I1333" t="s">
        <v>43</v>
      </c>
      <c r="J1333" t="s">
        <v>44</v>
      </c>
      <c r="K1333" t="s">
        <v>113</v>
      </c>
      <c r="L1333" t="s">
        <v>45</v>
      </c>
      <c r="M1333">
        <v>0</v>
      </c>
      <c r="N1333">
        <v>0</v>
      </c>
      <c r="O1333" s="5">
        <v>50448</v>
      </c>
      <c r="P1333" s="5">
        <v>50447</v>
      </c>
      <c r="Q1333">
        <v>20</v>
      </c>
      <c r="R1333" t="s">
        <v>77</v>
      </c>
      <c r="S1333" t="s">
        <v>39</v>
      </c>
      <c r="T1333">
        <v>18</v>
      </c>
      <c r="U1333">
        <v>96</v>
      </c>
      <c r="V1333">
        <v>14</v>
      </c>
      <c r="W1333">
        <v>13</v>
      </c>
      <c r="X1333">
        <v>27.9</v>
      </c>
      <c r="Z1333" t="s">
        <v>39</v>
      </c>
      <c r="AB1333" t="s">
        <v>136</v>
      </c>
      <c r="AC1333" t="s">
        <v>87</v>
      </c>
    </row>
    <row r="1334" spans="1:29" x14ac:dyDescent="0.35">
      <c r="A1334" s="4">
        <v>42563</v>
      </c>
      <c r="B1334" t="s">
        <v>30</v>
      </c>
      <c r="C1334">
        <v>803</v>
      </c>
      <c r="D1334">
        <v>7</v>
      </c>
      <c r="E1334">
        <v>1</v>
      </c>
      <c r="F1334" t="s">
        <v>31</v>
      </c>
      <c r="G1334" t="s">
        <v>32</v>
      </c>
      <c r="H1334" t="s">
        <v>33</v>
      </c>
      <c r="I1334" t="s">
        <v>43</v>
      </c>
      <c r="J1334" t="s">
        <v>44</v>
      </c>
      <c r="K1334" t="s">
        <v>36</v>
      </c>
      <c r="L1334" t="s">
        <v>45</v>
      </c>
      <c r="M1334">
        <v>0</v>
      </c>
      <c r="N1334">
        <v>0</v>
      </c>
      <c r="O1334" s="5">
        <v>50457</v>
      </c>
      <c r="P1334" s="5">
        <v>50456</v>
      </c>
      <c r="Q1334">
        <f>20</f>
        <v>20</v>
      </c>
      <c r="R1334" t="s">
        <v>145</v>
      </c>
      <c r="S1334" t="s">
        <v>102</v>
      </c>
      <c r="T1334">
        <v>20</v>
      </c>
      <c r="U1334">
        <v>86</v>
      </c>
      <c r="V1334">
        <v>15</v>
      </c>
      <c r="W1334">
        <v>12.6</v>
      </c>
      <c r="X1334">
        <v>27.2</v>
      </c>
      <c r="Z1334" t="s">
        <v>39</v>
      </c>
      <c r="AB1334" t="s">
        <v>136</v>
      </c>
      <c r="AC1334" t="s">
        <v>87</v>
      </c>
    </row>
    <row r="1335" spans="1:29" x14ac:dyDescent="0.35">
      <c r="A1335" s="4">
        <v>42563</v>
      </c>
      <c r="B1335" t="s">
        <v>30</v>
      </c>
      <c r="C1335">
        <v>701</v>
      </c>
      <c r="D1335">
        <v>1</v>
      </c>
      <c r="E1335">
        <v>2</v>
      </c>
      <c r="F1335" t="s">
        <v>31</v>
      </c>
      <c r="G1335" t="s">
        <v>32</v>
      </c>
      <c r="H1335" t="s">
        <v>33</v>
      </c>
      <c r="I1335" t="s">
        <v>43</v>
      </c>
      <c r="J1335" t="s">
        <v>44</v>
      </c>
      <c r="K1335" t="s">
        <v>36</v>
      </c>
      <c r="L1335" t="s">
        <v>45</v>
      </c>
      <c r="M1335">
        <v>0</v>
      </c>
      <c r="N1335">
        <v>0</v>
      </c>
      <c r="O1335" s="5">
        <v>50459</v>
      </c>
      <c r="P1335" s="5">
        <v>50458</v>
      </c>
      <c r="Q1335">
        <f>35-9.5</f>
        <v>25.5</v>
      </c>
      <c r="R1335" t="s">
        <v>119</v>
      </c>
      <c r="S1335" t="s">
        <v>39</v>
      </c>
      <c r="T1335">
        <v>18</v>
      </c>
      <c r="U1335">
        <v>75</v>
      </c>
      <c r="V1335">
        <v>16</v>
      </c>
      <c r="W1335">
        <v>12.8</v>
      </c>
      <c r="X1335">
        <v>26.9</v>
      </c>
      <c r="Z1335" t="s">
        <v>39</v>
      </c>
      <c r="AB1335" t="s">
        <v>60</v>
      </c>
      <c r="AC1335" t="s">
        <v>87</v>
      </c>
    </row>
    <row r="1336" spans="1:29" x14ac:dyDescent="0.35">
      <c r="A1336" s="4">
        <v>42563</v>
      </c>
      <c r="B1336" t="s">
        <v>30</v>
      </c>
      <c r="C1336">
        <v>703</v>
      </c>
      <c r="D1336">
        <v>3</v>
      </c>
      <c r="E1336">
        <v>1</v>
      </c>
      <c r="F1336" t="s">
        <v>31</v>
      </c>
      <c r="G1336" t="s">
        <v>32</v>
      </c>
      <c r="H1336" t="s">
        <v>33</v>
      </c>
      <c r="I1336" t="s">
        <v>43</v>
      </c>
      <c r="J1336" t="s">
        <v>44</v>
      </c>
      <c r="K1336" t="s">
        <v>88</v>
      </c>
      <c r="L1336" t="s">
        <v>45</v>
      </c>
      <c r="M1336">
        <v>0</v>
      </c>
      <c r="N1336">
        <v>0</v>
      </c>
      <c r="O1336" s="5">
        <v>50480</v>
      </c>
      <c r="P1336" s="5">
        <v>50479</v>
      </c>
      <c r="Q1336">
        <f>27-13</f>
        <v>14</v>
      </c>
      <c r="R1336" t="s">
        <v>46</v>
      </c>
      <c r="S1336" t="s">
        <v>39</v>
      </c>
      <c r="T1336">
        <v>19</v>
      </c>
      <c r="U1336">
        <v>72</v>
      </c>
      <c r="V1336">
        <v>15</v>
      </c>
      <c r="W1336">
        <v>12.5</v>
      </c>
      <c r="X1336">
        <v>25.6</v>
      </c>
      <c r="Z1336" t="s">
        <v>39</v>
      </c>
      <c r="AB1336" t="s">
        <v>60</v>
      </c>
      <c r="AC1336" t="s">
        <v>87</v>
      </c>
    </row>
    <row r="1337" spans="1:29" x14ac:dyDescent="0.35">
      <c r="A1337" s="4">
        <v>42563</v>
      </c>
      <c r="B1337" t="s">
        <v>30</v>
      </c>
      <c r="C1337">
        <v>703</v>
      </c>
      <c r="D1337">
        <v>10</v>
      </c>
      <c r="E1337">
        <v>2</v>
      </c>
      <c r="F1337" t="s">
        <v>31</v>
      </c>
      <c r="G1337" t="s">
        <v>32</v>
      </c>
      <c r="H1337" t="s">
        <v>33</v>
      </c>
      <c r="I1337" t="s">
        <v>43</v>
      </c>
      <c r="J1337" t="s">
        <v>35</v>
      </c>
      <c r="K1337" t="s">
        <v>88</v>
      </c>
      <c r="L1337" t="s">
        <v>45</v>
      </c>
      <c r="M1337">
        <v>0</v>
      </c>
      <c r="N1337">
        <v>1</v>
      </c>
      <c r="O1337" s="5">
        <v>50517</v>
      </c>
      <c r="P1337" s="5">
        <v>50516</v>
      </c>
      <c r="Q1337">
        <f>24-9</f>
        <v>15</v>
      </c>
      <c r="R1337" t="s">
        <v>46</v>
      </c>
      <c r="S1337" t="s">
        <v>39</v>
      </c>
      <c r="T1337">
        <v>19</v>
      </c>
      <c r="U1337">
        <v>69</v>
      </c>
      <c r="V1337">
        <v>13</v>
      </c>
      <c r="W1337">
        <v>13</v>
      </c>
      <c r="X1337">
        <v>27.1</v>
      </c>
      <c r="Z1337" t="s">
        <v>39</v>
      </c>
      <c r="AB1337" t="s">
        <v>60</v>
      </c>
      <c r="AC1337" t="s">
        <v>87</v>
      </c>
    </row>
    <row r="1338" spans="1:29" x14ac:dyDescent="0.35">
      <c r="A1338" s="4">
        <v>42563</v>
      </c>
      <c r="B1338" t="s">
        <v>30</v>
      </c>
      <c r="C1338">
        <v>503</v>
      </c>
      <c r="D1338">
        <v>8</v>
      </c>
      <c r="E1338">
        <v>2</v>
      </c>
      <c r="F1338" t="s">
        <v>42</v>
      </c>
      <c r="G1338" t="s">
        <v>32</v>
      </c>
      <c r="H1338" t="s">
        <v>33</v>
      </c>
      <c r="I1338" t="s">
        <v>43</v>
      </c>
      <c r="J1338" t="s">
        <v>44</v>
      </c>
      <c r="K1338" t="s">
        <v>113</v>
      </c>
      <c r="L1338" t="s">
        <v>45</v>
      </c>
      <c r="M1338">
        <v>0</v>
      </c>
      <c r="N1338">
        <v>0</v>
      </c>
      <c r="O1338" s="5">
        <v>50550</v>
      </c>
      <c r="P1338" s="5">
        <v>50549</v>
      </c>
      <c r="Q1338">
        <f>26-12</f>
        <v>14</v>
      </c>
      <c r="R1338" t="s">
        <v>46</v>
      </c>
      <c r="S1338" t="s">
        <v>39</v>
      </c>
      <c r="T1338">
        <v>17</v>
      </c>
      <c r="U1338">
        <v>80</v>
      </c>
      <c r="V1338">
        <v>16</v>
      </c>
      <c r="W1338">
        <v>12.9</v>
      </c>
      <c r="X1338">
        <v>24.8</v>
      </c>
      <c r="Z1338" t="s">
        <v>39</v>
      </c>
      <c r="AB1338" t="s">
        <v>60</v>
      </c>
      <c r="AC1338" t="s">
        <v>87</v>
      </c>
    </row>
    <row r="1339" spans="1:29" x14ac:dyDescent="0.35">
      <c r="A1339" s="4">
        <v>42563</v>
      </c>
      <c r="B1339" t="s">
        <v>30</v>
      </c>
      <c r="C1339">
        <v>303</v>
      </c>
      <c r="D1339">
        <v>3</v>
      </c>
      <c r="E1339">
        <v>2</v>
      </c>
      <c r="F1339" t="s">
        <v>42</v>
      </c>
      <c r="G1339" t="s">
        <v>32</v>
      </c>
      <c r="H1339" t="s">
        <v>33</v>
      </c>
      <c r="I1339" t="s">
        <v>43</v>
      </c>
      <c r="J1339" t="s">
        <v>44</v>
      </c>
      <c r="K1339" t="s">
        <v>36</v>
      </c>
      <c r="L1339" t="s">
        <v>45</v>
      </c>
      <c r="M1339">
        <v>0</v>
      </c>
      <c r="N1339">
        <v>0</v>
      </c>
      <c r="O1339" s="5">
        <v>50582</v>
      </c>
      <c r="P1339" s="5">
        <v>50581</v>
      </c>
      <c r="Q1339">
        <v>22</v>
      </c>
      <c r="R1339" t="s">
        <v>79</v>
      </c>
      <c r="S1339" t="s">
        <v>39</v>
      </c>
      <c r="W1339">
        <v>13.6</v>
      </c>
      <c r="X1339">
        <v>29.1</v>
      </c>
      <c r="Z1339" t="s">
        <v>39</v>
      </c>
      <c r="AB1339" t="s">
        <v>60</v>
      </c>
      <c r="AC1339" t="s">
        <v>87</v>
      </c>
    </row>
    <row r="1340" spans="1:29" x14ac:dyDescent="0.35">
      <c r="A1340" s="4">
        <v>42563</v>
      </c>
      <c r="B1340" t="s">
        <v>30</v>
      </c>
      <c r="C1340">
        <v>401</v>
      </c>
      <c r="D1340">
        <v>3</v>
      </c>
      <c r="E1340">
        <v>2</v>
      </c>
      <c r="F1340" t="s">
        <v>42</v>
      </c>
      <c r="G1340" t="s">
        <v>32</v>
      </c>
      <c r="H1340" t="s">
        <v>33</v>
      </c>
      <c r="I1340" t="s">
        <v>43</v>
      </c>
      <c r="J1340" t="s">
        <v>44</v>
      </c>
      <c r="K1340" t="s">
        <v>113</v>
      </c>
      <c r="L1340" t="s">
        <v>37</v>
      </c>
      <c r="M1340">
        <v>0</v>
      </c>
      <c r="N1340">
        <v>0</v>
      </c>
      <c r="O1340" s="5">
        <v>50590</v>
      </c>
      <c r="P1340" s="5">
        <v>50589</v>
      </c>
      <c r="Q1340">
        <v>20</v>
      </c>
      <c r="R1340" t="s">
        <v>38</v>
      </c>
      <c r="W1340">
        <v>12.9</v>
      </c>
      <c r="X1340">
        <v>28.4</v>
      </c>
      <c r="Z1340" t="s">
        <v>39</v>
      </c>
      <c r="AB1340" t="s">
        <v>60</v>
      </c>
      <c r="AC1340" t="s">
        <v>87</v>
      </c>
    </row>
    <row r="1341" spans="1:29" x14ac:dyDescent="0.35">
      <c r="A1341" s="4">
        <v>42563</v>
      </c>
      <c r="B1341" t="s">
        <v>30</v>
      </c>
      <c r="C1341">
        <v>701</v>
      </c>
      <c r="D1341">
        <v>9</v>
      </c>
      <c r="E1341">
        <v>1</v>
      </c>
      <c r="F1341" t="s">
        <v>31</v>
      </c>
      <c r="G1341" t="s">
        <v>32</v>
      </c>
      <c r="H1341" t="s">
        <v>33</v>
      </c>
      <c r="I1341" t="s">
        <v>43</v>
      </c>
      <c r="J1341" t="s">
        <v>44</v>
      </c>
      <c r="K1341" t="s">
        <v>88</v>
      </c>
      <c r="L1341" t="s">
        <v>45</v>
      </c>
      <c r="M1341">
        <v>0</v>
      </c>
      <c r="N1341">
        <v>0</v>
      </c>
      <c r="O1341" s="5">
        <v>50610</v>
      </c>
      <c r="P1341" s="5">
        <v>50609</v>
      </c>
      <c r="Q1341">
        <f>22-9</f>
        <v>13</v>
      </c>
      <c r="R1341" t="s">
        <v>46</v>
      </c>
      <c r="S1341" t="s">
        <v>39</v>
      </c>
      <c r="T1341">
        <v>19</v>
      </c>
      <c r="U1341">
        <v>64</v>
      </c>
      <c r="V1341">
        <v>13</v>
      </c>
      <c r="W1341">
        <v>12.7</v>
      </c>
      <c r="X1341">
        <v>26.6</v>
      </c>
      <c r="Z1341" t="s">
        <v>39</v>
      </c>
      <c r="AB1341" t="s">
        <v>60</v>
      </c>
      <c r="AC1341" t="s">
        <v>87</v>
      </c>
    </row>
    <row r="1342" spans="1:29" x14ac:dyDescent="0.35">
      <c r="A1342" s="4">
        <v>42563</v>
      </c>
      <c r="B1342" t="s">
        <v>30</v>
      </c>
      <c r="C1342">
        <v>801</v>
      </c>
      <c r="D1342">
        <v>4</v>
      </c>
      <c r="E1342">
        <v>1</v>
      </c>
      <c r="F1342" t="s">
        <v>31</v>
      </c>
      <c r="G1342" t="s">
        <v>32</v>
      </c>
      <c r="H1342" t="s">
        <v>33</v>
      </c>
      <c r="I1342" t="s">
        <v>43</v>
      </c>
      <c r="J1342" t="s">
        <v>44</v>
      </c>
      <c r="K1342" t="s">
        <v>113</v>
      </c>
      <c r="L1342" t="s">
        <v>45</v>
      </c>
      <c r="M1342">
        <v>0</v>
      </c>
      <c r="N1342">
        <v>0</v>
      </c>
      <c r="O1342" s="5">
        <v>50614</v>
      </c>
      <c r="P1342" s="5">
        <v>50613</v>
      </c>
      <c r="Q1342">
        <f>34-11</f>
        <v>23</v>
      </c>
      <c r="R1342" t="s">
        <v>119</v>
      </c>
      <c r="S1342" t="s">
        <v>39</v>
      </c>
      <c r="T1342">
        <v>20</v>
      </c>
      <c r="U1342">
        <v>79</v>
      </c>
      <c r="V1342">
        <v>15</v>
      </c>
      <c r="W1342">
        <v>12</v>
      </c>
      <c r="X1342">
        <v>26.7</v>
      </c>
      <c r="Z1342" t="s">
        <v>39</v>
      </c>
      <c r="AB1342" t="s">
        <v>60</v>
      </c>
      <c r="AC1342" t="s">
        <v>87</v>
      </c>
    </row>
    <row r="1343" spans="1:29" x14ac:dyDescent="0.35">
      <c r="A1343" s="4">
        <v>42563</v>
      </c>
      <c r="B1343" t="s">
        <v>30</v>
      </c>
      <c r="C1343">
        <v>901</v>
      </c>
      <c r="D1343">
        <v>9</v>
      </c>
      <c r="E1343">
        <v>1</v>
      </c>
      <c r="F1343" t="s">
        <v>31</v>
      </c>
      <c r="G1343" t="s">
        <v>32</v>
      </c>
      <c r="H1343" t="s">
        <v>33</v>
      </c>
      <c r="I1343" t="s">
        <v>43</v>
      </c>
      <c r="J1343" t="s">
        <v>44</v>
      </c>
      <c r="K1343" t="s">
        <v>36</v>
      </c>
      <c r="L1343" t="s">
        <v>45</v>
      </c>
      <c r="M1343">
        <v>0</v>
      </c>
      <c r="N1343">
        <v>0</v>
      </c>
      <c r="O1343" s="5">
        <v>50617</v>
      </c>
      <c r="P1343" s="5">
        <v>50616</v>
      </c>
      <c r="R1343" t="s">
        <v>145</v>
      </c>
      <c r="S1343" t="s">
        <v>102</v>
      </c>
      <c r="T1343">
        <v>20</v>
      </c>
      <c r="U1343">
        <v>90</v>
      </c>
      <c r="V1343">
        <v>14</v>
      </c>
      <c r="W1343">
        <v>12.8</v>
      </c>
      <c r="X1343">
        <v>27.2</v>
      </c>
      <c r="Z1343" t="s">
        <v>39</v>
      </c>
      <c r="AB1343" t="s">
        <v>136</v>
      </c>
      <c r="AC1343" t="s">
        <v>87</v>
      </c>
    </row>
    <row r="1344" spans="1:29" x14ac:dyDescent="0.35">
      <c r="A1344" s="4">
        <v>42563</v>
      </c>
      <c r="B1344" t="s">
        <v>30</v>
      </c>
      <c r="C1344">
        <v>801</v>
      </c>
      <c r="D1344">
        <v>9</v>
      </c>
      <c r="E1344">
        <v>2</v>
      </c>
      <c r="F1344" t="s">
        <v>31</v>
      </c>
      <c r="G1344" t="s">
        <v>32</v>
      </c>
      <c r="H1344" t="s">
        <v>33</v>
      </c>
      <c r="I1344" t="s">
        <v>43</v>
      </c>
      <c r="J1344" t="s">
        <v>44</v>
      </c>
      <c r="K1344" t="s">
        <v>36</v>
      </c>
      <c r="L1344" t="s">
        <v>37</v>
      </c>
      <c r="M1344">
        <v>0</v>
      </c>
      <c r="N1344">
        <v>0</v>
      </c>
      <c r="O1344" s="5">
        <v>50677</v>
      </c>
      <c r="P1344" s="5">
        <v>50676</v>
      </c>
      <c r="Q1344">
        <v>23</v>
      </c>
      <c r="R1344" t="s">
        <v>38</v>
      </c>
      <c r="T1344">
        <v>19</v>
      </c>
      <c r="U1344">
        <v>82</v>
      </c>
      <c r="V1344">
        <v>16</v>
      </c>
      <c r="W1344">
        <v>12.9</v>
      </c>
      <c r="X1344">
        <v>28.7</v>
      </c>
      <c r="Z1344" t="s">
        <v>39</v>
      </c>
      <c r="AB1344" t="s">
        <v>60</v>
      </c>
      <c r="AC1344" t="s">
        <v>87</v>
      </c>
    </row>
    <row r="1345" spans="1:29" x14ac:dyDescent="0.35">
      <c r="A1345" s="4">
        <v>42563</v>
      </c>
      <c r="B1345" t="s">
        <v>30</v>
      </c>
      <c r="C1345">
        <v>703</v>
      </c>
      <c r="D1345">
        <v>3</v>
      </c>
      <c r="E1345">
        <v>2</v>
      </c>
      <c r="F1345" t="s">
        <v>31</v>
      </c>
      <c r="G1345" t="s">
        <v>32</v>
      </c>
      <c r="H1345" t="s">
        <v>33</v>
      </c>
      <c r="I1345" t="s">
        <v>43</v>
      </c>
      <c r="J1345" t="s">
        <v>44</v>
      </c>
      <c r="K1345" t="s">
        <v>88</v>
      </c>
      <c r="L1345" t="s">
        <v>45</v>
      </c>
      <c r="M1345">
        <v>0</v>
      </c>
      <c r="N1345">
        <v>0</v>
      </c>
      <c r="O1345" s="5">
        <v>50690</v>
      </c>
      <c r="P1345" s="5">
        <v>50689</v>
      </c>
      <c r="Q1345">
        <f>22-9</f>
        <v>13</v>
      </c>
      <c r="R1345" t="s">
        <v>46</v>
      </c>
      <c r="S1345" t="s">
        <v>39</v>
      </c>
      <c r="T1345">
        <v>19</v>
      </c>
      <c r="U1345">
        <v>74</v>
      </c>
      <c r="V1345">
        <v>13</v>
      </c>
      <c r="W1345">
        <v>12.8</v>
      </c>
      <c r="X1345">
        <v>25.3</v>
      </c>
      <c r="Z1345" t="s">
        <v>102</v>
      </c>
      <c r="AA1345" t="s">
        <v>201</v>
      </c>
      <c r="AB1345" t="s">
        <v>60</v>
      </c>
      <c r="AC1345" t="s">
        <v>87</v>
      </c>
    </row>
    <row r="1346" spans="1:29" x14ac:dyDescent="0.35">
      <c r="A1346" s="4">
        <v>42563</v>
      </c>
      <c r="B1346" t="s">
        <v>30</v>
      </c>
      <c r="C1346">
        <v>703</v>
      </c>
      <c r="D1346">
        <v>9</v>
      </c>
      <c r="E1346">
        <v>2</v>
      </c>
      <c r="F1346" t="s">
        <v>31</v>
      </c>
      <c r="G1346" t="s">
        <v>32</v>
      </c>
      <c r="H1346" t="s">
        <v>33</v>
      </c>
      <c r="I1346" t="s">
        <v>43</v>
      </c>
      <c r="J1346" t="s">
        <v>44</v>
      </c>
      <c r="K1346" t="s">
        <v>88</v>
      </c>
      <c r="L1346" t="s">
        <v>45</v>
      </c>
      <c r="M1346">
        <v>0</v>
      </c>
      <c r="N1346">
        <v>0</v>
      </c>
      <c r="O1346" s="5">
        <v>50700</v>
      </c>
      <c r="P1346" s="5">
        <v>50769</v>
      </c>
      <c r="Q1346">
        <f>25.5-13</f>
        <v>12.5</v>
      </c>
      <c r="R1346" t="s">
        <v>46</v>
      </c>
      <c r="S1346" t="s">
        <v>39</v>
      </c>
      <c r="T1346">
        <v>19</v>
      </c>
      <c r="U1346">
        <v>69</v>
      </c>
      <c r="V1346">
        <v>14</v>
      </c>
      <c r="W1346">
        <v>12.6</v>
      </c>
      <c r="X1346">
        <v>26.6</v>
      </c>
      <c r="Z1346" t="s">
        <v>39</v>
      </c>
      <c r="AB1346" t="s">
        <v>60</v>
      </c>
      <c r="AC1346" t="s">
        <v>87</v>
      </c>
    </row>
    <row r="1347" spans="1:29" x14ac:dyDescent="0.35">
      <c r="A1347" s="4">
        <v>42563</v>
      </c>
      <c r="B1347" t="s">
        <v>30</v>
      </c>
      <c r="C1347">
        <v>501</v>
      </c>
      <c r="D1347">
        <v>8</v>
      </c>
      <c r="E1347">
        <v>1</v>
      </c>
      <c r="F1347" t="s">
        <v>42</v>
      </c>
      <c r="G1347" t="s">
        <v>32</v>
      </c>
      <c r="H1347" t="s">
        <v>33</v>
      </c>
      <c r="I1347" t="s">
        <v>43</v>
      </c>
      <c r="J1347" t="s">
        <v>35</v>
      </c>
      <c r="K1347" t="s">
        <v>113</v>
      </c>
      <c r="L1347" t="s">
        <v>45</v>
      </c>
      <c r="M1347">
        <v>0</v>
      </c>
      <c r="N1347">
        <v>1</v>
      </c>
      <c r="O1347" s="5">
        <v>50729</v>
      </c>
      <c r="P1347" s="5">
        <v>50728</v>
      </c>
      <c r="Q1347">
        <f>35-16</f>
        <v>19</v>
      </c>
      <c r="R1347" t="s">
        <v>77</v>
      </c>
      <c r="S1347" t="s">
        <v>39</v>
      </c>
      <c r="T1347">
        <v>18</v>
      </c>
      <c r="U1347">
        <v>90</v>
      </c>
      <c r="V1347">
        <v>15.5</v>
      </c>
      <c r="W1347">
        <v>13.1</v>
      </c>
      <c r="X1347">
        <v>28</v>
      </c>
      <c r="Z1347" t="s">
        <v>39</v>
      </c>
      <c r="AB1347" t="s">
        <v>136</v>
      </c>
      <c r="AC1347" t="s">
        <v>87</v>
      </c>
    </row>
    <row r="1348" spans="1:29" x14ac:dyDescent="0.35">
      <c r="A1348" s="4">
        <v>42563</v>
      </c>
      <c r="B1348" t="s">
        <v>30</v>
      </c>
      <c r="C1348">
        <v>901</v>
      </c>
      <c r="D1348">
        <v>2</v>
      </c>
      <c r="E1348">
        <v>1</v>
      </c>
      <c r="F1348" t="s">
        <v>31</v>
      </c>
      <c r="G1348" t="s">
        <v>32</v>
      </c>
      <c r="H1348" t="s">
        <v>33</v>
      </c>
      <c r="I1348" t="s">
        <v>43</v>
      </c>
      <c r="J1348" t="s">
        <v>44</v>
      </c>
      <c r="K1348" t="s">
        <v>36</v>
      </c>
      <c r="L1348" t="s">
        <v>45</v>
      </c>
      <c r="M1348">
        <v>0</v>
      </c>
      <c r="N1348">
        <v>0</v>
      </c>
      <c r="O1348" s="5" t="s">
        <v>99</v>
      </c>
      <c r="P1348" s="5" t="s">
        <v>171</v>
      </c>
      <c r="Q1348">
        <f>40.5-14</f>
        <v>26.5</v>
      </c>
      <c r="R1348" t="s">
        <v>145</v>
      </c>
      <c r="S1348" t="s">
        <v>102</v>
      </c>
      <c r="T1348">
        <v>19</v>
      </c>
      <c r="U1348">
        <v>89</v>
      </c>
      <c r="V1348">
        <v>16</v>
      </c>
      <c r="W1348">
        <v>13</v>
      </c>
      <c r="X1348">
        <v>27.6</v>
      </c>
      <c r="Z1348" t="s">
        <v>39</v>
      </c>
      <c r="AB1348" t="s">
        <v>136</v>
      </c>
      <c r="AC1348" t="s">
        <v>87</v>
      </c>
    </row>
    <row r="1349" spans="1:29" x14ac:dyDescent="0.35">
      <c r="A1349" s="4">
        <v>42563</v>
      </c>
      <c r="B1349" t="s">
        <v>30</v>
      </c>
      <c r="C1349">
        <v>501</v>
      </c>
      <c r="D1349">
        <v>1</v>
      </c>
      <c r="E1349">
        <v>1</v>
      </c>
      <c r="F1349" t="s">
        <v>42</v>
      </c>
      <c r="G1349" t="s">
        <v>32</v>
      </c>
      <c r="H1349" t="s">
        <v>33</v>
      </c>
      <c r="I1349" t="s">
        <v>34</v>
      </c>
      <c r="J1349" t="s">
        <v>44</v>
      </c>
      <c r="K1349" t="s">
        <v>36</v>
      </c>
      <c r="L1349" t="s">
        <v>45</v>
      </c>
      <c r="M1349">
        <v>0</v>
      </c>
      <c r="N1349">
        <v>0</v>
      </c>
      <c r="O1349" s="5">
        <v>50337</v>
      </c>
      <c r="P1349" s="5"/>
      <c r="Q1349">
        <f>175-90</f>
        <v>85</v>
      </c>
      <c r="R1349" t="s">
        <v>74</v>
      </c>
      <c r="S1349" t="s">
        <v>102</v>
      </c>
      <c r="T1349">
        <v>31</v>
      </c>
      <c r="W1349">
        <v>20.8</v>
      </c>
      <c r="X1349">
        <v>41.3</v>
      </c>
      <c r="Z1349" t="s">
        <v>39</v>
      </c>
      <c r="AB1349" t="s">
        <v>60</v>
      </c>
      <c r="AC1349" t="s">
        <v>87</v>
      </c>
    </row>
    <row r="1350" spans="1:29" x14ac:dyDescent="0.35">
      <c r="A1350" s="4">
        <v>42563</v>
      </c>
      <c r="B1350" t="s">
        <v>30</v>
      </c>
      <c r="C1350">
        <v>803</v>
      </c>
      <c r="D1350">
        <v>8</v>
      </c>
      <c r="E1350">
        <v>1</v>
      </c>
      <c r="F1350" t="s">
        <v>31</v>
      </c>
      <c r="G1350" t="s">
        <v>32</v>
      </c>
      <c r="H1350" t="s">
        <v>33</v>
      </c>
      <c r="I1350" t="s">
        <v>34</v>
      </c>
      <c r="J1350" t="s">
        <v>44</v>
      </c>
      <c r="K1350" t="s">
        <v>36</v>
      </c>
      <c r="L1350" t="s">
        <v>37</v>
      </c>
      <c r="M1350">
        <v>0</v>
      </c>
      <c r="N1350">
        <v>0</v>
      </c>
      <c r="O1350" s="5">
        <v>50391</v>
      </c>
      <c r="P1350" s="5"/>
      <c r="R1350" t="s">
        <v>38</v>
      </c>
      <c r="T1350">
        <v>31</v>
      </c>
      <c r="W1350">
        <v>22.3</v>
      </c>
      <c r="X1350">
        <v>41.1</v>
      </c>
      <c r="Z1350" t="s">
        <v>39</v>
      </c>
      <c r="AB1350" t="s">
        <v>136</v>
      </c>
      <c r="AC1350" t="s">
        <v>87</v>
      </c>
    </row>
    <row r="1351" spans="1:29" x14ac:dyDescent="0.35">
      <c r="A1351" s="4">
        <v>42563</v>
      </c>
      <c r="B1351" t="s">
        <v>30</v>
      </c>
      <c r="C1351">
        <v>803</v>
      </c>
      <c r="D1351">
        <v>5</v>
      </c>
      <c r="E1351">
        <v>1</v>
      </c>
      <c r="F1351" t="s">
        <v>31</v>
      </c>
      <c r="G1351" t="s">
        <v>32</v>
      </c>
      <c r="H1351" t="s">
        <v>33</v>
      </c>
      <c r="I1351" t="s">
        <v>34</v>
      </c>
      <c r="J1351" t="s">
        <v>44</v>
      </c>
      <c r="K1351" t="s">
        <v>113</v>
      </c>
      <c r="L1351" t="s">
        <v>37</v>
      </c>
      <c r="M1351">
        <v>0</v>
      </c>
      <c r="N1351">
        <v>0</v>
      </c>
      <c r="O1351" s="5">
        <v>50463</v>
      </c>
      <c r="P1351" s="5"/>
      <c r="R1351" t="s">
        <v>64</v>
      </c>
      <c r="T1351">
        <v>30</v>
      </c>
      <c r="Z1351" t="s">
        <v>39</v>
      </c>
      <c r="AB1351" t="s">
        <v>136</v>
      </c>
      <c r="AC1351" t="s">
        <v>87</v>
      </c>
    </row>
    <row r="1352" spans="1:29" x14ac:dyDescent="0.35">
      <c r="A1352" s="4">
        <v>42563</v>
      </c>
      <c r="B1352" t="s">
        <v>30</v>
      </c>
      <c r="C1352">
        <v>801</v>
      </c>
      <c r="D1352">
        <v>8</v>
      </c>
      <c r="E1352">
        <v>2</v>
      </c>
      <c r="F1352" t="s">
        <v>31</v>
      </c>
      <c r="G1352" t="s">
        <v>32</v>
      </c>
      <c r="H1352" t="s">
        <v>33</v>
      </c>
      <c r="I1352" t="s">
        <v>34</v>
      </c>
      <c r="J1352" t="s">
        <v>35</v>
      </c>
      <c r="K1352" t="s">
        <v>36</v>
      </c>
      <c r="M1352">
        <v>0</v>
      </c>
      <c r="N1352">
        <v>1</v>
      </c>
      <c r="O1352" s="5">
        <v>50511</v>
      </c>
      <c r="P1352" s="5"/>
      <c r="Z1352" t="s">
        <v>39</v>
      </c>
      <c r="AB1352" t="s">
        <v>60</v>
      </c>
      <c r="AC1352" t="s">
        <v>87</v>
      </c>
    </row>
    <row r="1353" spans="1:29" x14ac:dyDescent="0.35">
      <c r="A1353" s="4">
        <v>42563</v>
      </c>
      <c r="B1353" t="s">
        <v>30</v>
      </c>
      <c r="C1353">
        <v>801</v>
      </c>
      <c r="D1353">
        <v>8</v>
      </c>
      <c r="E1353">
        <v>1</v>
      </c>
      <c r="F1353" t="s">
        <v>31</v>
      </c>
      <c r="G1353" t="s">
        <v>32</v>
      </c>
      <c r="H1353" t="s">
        <v>33</v>
      </c>
      <c r="I1353" t="s">
        <v>34</v>
      </c>
      <c r="J1353" t="s">
        <v>35</v>
      </c>
      <c r="K1353" t="s">
        <v>88</v>
      </c>
      <c r="L1353" t="s">
        <v>45</v>
      </c>
      <c r="M1353">
        <v>0</v>
      </c>
      <c r="N1353">
        <v>1</v>
      </c>
      <c r="O1353" s="5">
        <v>50512</v>
      </c>
      <c r="P1353" s="5"/>
      <c r="R1353" t="s">
        <v>46</v>
      </c>
      <c r="S1353" t="s">
        <v>39</v>
      </c>
      <c r="T1353">
        <v>29</v>
      </c>
      <c r="Z1353" t="s">
        <v>39</v>
      </c>
      <c r="AB1353" t="s">
        <v>60</v>
      </c>
      <c r="AC1353" t="s">
        <v>87</v>
      </c>
    </row>
    <row r="1354" spans="1:29" x14ac:dyDescent="0.35">
      <c r="A1354" s="4">
        <v>42563</v>
      </c>
      <c r="B1354" t="s">
        <v>30</v>
      </c>
      <c r="C1354">
        <v>503</v>
      </c>
      <c r="D1354">
        <v>1</v>
      </c>
      <c r="E1354">
        <v>1</v>
      </c>
      <c r="F1354" t="s">
        <v>42</v>
      </c>
      <c r="G1354" t="s">
        <v>32</v>
      </c>
      <c r="H1354" t="s">
        <v>33</v>
      </c>
      <c r="I1354" t="s">
        <v>34</v>
      </c>
      <c r="J1354" t="s">
        <v>35</v>
      </c>
      <c r="K1354" t="s">
        <v>36</v>
      </c>
      <c r="L1354" t="s">
        <v>37</v>
      </c>
      <c r="M1354">
        <v>0</v>
      </c>
      <c r="N1354">
        <v>1</v>
      </c>
      <c r="O1354" s="5">
        <v>50730</v>
      </c>
      <c r="P1354" s="5"/>
      <c r="Q1354">
        <v>100</v>
      </c>
      <c r="R1354" t="s">
        <v>64</v>
      </c>
      <c r="T1354">
        <v>35</v>
      </c>
      <c r="W1354">
        <v>21.5</v>
      </c>
      <c r="X1354">
        <v>43.7</v>
      </c>
      <c r="Z1354" t="s">
        <v>39</v>
      </c>
      <c r="AB1354" t="s">
        <v>60</v>
      </c>
      <c r="AC1354" t="s">
        <v>87</v>
      </c>
    </row>
    <row r="1355" spans="1:29" x14ac:dyDescent="0.35">
      <c r="A1355" s="4">
        <v>42563</v>
      </c>
      <c r="B1355" t="s">
        <v>30</v>
      </c>
      <c r="C1355">
        <v>701</v>
      </c>
      <c r="D1355">
        <v>4</v>
      </c>
      <c r="E1355">
        <v>1</v>
      </c>
      <c r="F1355" t="s">
        <v>31</v>
      </c>
      <c r="G1355" t="s">
        <v>32</v>
      </c>
      <c r="H1355" t="s">
        <v>33</v>
      </c>
      <c r="I1355" t="s">
        <v>34</v>
      </c>
      <c r="J1355" t="s">
        <v>44</v>
      </c>
      <c r="K1355" t="s">
        <v>36</v>
      </c>
      <c r="L1355" t="s">
        <v>45</v>
      </c>
      <c r="M1355">
        <v>0</v>
      </c>
      <c r="N1355">
        <v>0</v>
      </c>
      <c r="O1355" s="5"/>
      <c r="P1355" s="5" t="s">
        <v>93</v>
      </c>
      <c r="R1355" t="s">
        <v>161</v>
      </c>
      <c r="S1355" t="s">
        <v>102</v>
      </c>
      <c r="T1355">
        <v>31</v>
      </c>
      <c r="Z1355" t="s">
        <v>39</v>
      </c>
      <c r="AB1355" t="s">
        <v>60</v>
      </c>
      <c r="AC1355" t="s">
        <v>87</v>
      </c>
    </row>
    <row r="1356" spans="1:29" x14ac:dyDescent="0.35">
      <c r="A1356" s="4">
        <v>42563</v>
      </c>
      <c r="B1356" t="s">
        <v>30</v>
      </c>
      <c r="C1356">
        <v>401</v>
      </c>
      <c r="D1356">
        <v>6</v>
      </c>
      <c r="E1356">
        <v>2</v>
      </c>
      <c r="F1356" t="s">
        <v>42</v>
      </c>
      <c r="G1356" t="s">
        <v>32</v>
      </c>
      <c r="H1356" t="s">
        <v>33</v>
      </c>
      <c r="I1356" t="s">
        <v>104</v>
      </c>
      <c r="J1356" t="s">
        <v>35</v>
      </c>
      <c r="K1356" t="s">
        <v>36</v>
      </c>
      <c r="L1356" t="s">
        <v>45</v>
      </c>
      <c r="M1356">
        <v>0</v>
      </c>
      <c r="N1356">
        <v>1</v>
      </c>
      <c r="O1356" s="5">
        <v>50733</v>
      </c>
      <c r="P1356" s="5"/>
      <c r="Q1356">
        <v>18</v>
      </c>
      <c r="R1356" t="s">
        <v>74</v>
      </c>
      <c r="S1356" t="s">
        <v>102</v>
      </c>
      <c r="W1356">
        <v>11.7</v>
      </c>
      <c r="X1356">
        <v>27.1</v>
      </c>
      <c r="Z1356" t="s">
        <v>39</v>
      </c>
      <c r="AB1356" t="s">
        <v>60</v>
      </c>
      <c r="AC1356" t="s">
        <v>87</v>
      </c>
    </row>
    <row r="1357" spans="1:29" x14ac:dyDescent="0.35">
      <c r="A1357" s="4">
        <v>42563</v>
      </c>
      <c r="B1357" t="s">
        <v>30</v>
      </c>
      <c r="C1357">
        <v>303</v>
      </c>
      <c r="D1357">
        <v>6</v>
      </c>
      <c r="E1357">
        <v>1</v>
      </c>
      <c r="F1357" t="s">
        <v>42</v>
      </c>
      <c r="G1357" t="s">
        <v>32</v>
      </c>
      <c r="H1357" t="s">
        <v>33</v>
      </c>
      <c r="I1357" t="s">
        <v>58</v>
      </c>
      <c r="J1357" t="s">
        <v>44</v>
      </c>
      <c r="K1357" t="s">
        <v>36</v>
      </c>
      <c r="L1357" t="s">
        <v>37</v>
      </c>
      <c r="M1357">
        <v>0</v>
      </c>
      <c r="N1357">
        <v>0</v>
      </c>
      <c r="O1357" s="5">
        <v>50437</v>
      </c>
      <c r="P1357" s="5"/>
      <c r="Q1357">
        <v>22</v>
      </c>
      <c r="R1357" t="s">
        <v>64</v>
      </c>
      <c r="W1357">
        <v>13</v>
      </c>
      <c r="X1357">
        <v>25.9</v>
      </c>
      <c r="Z1357" t="s">
        <v>102</v>
      </c>
      <c r="AB1357" t="s">
        <v>60</v>
      </c>
      <c r="AC1357" t="s">
        <v>87</v>
      </c>
    </row>
    <row r="1358" spans="1:29" x14ac:dyDescent="0.35">
      <c r="A1358" s="4">
        <v>42563</v>
      </c>
      <c r="B1358" t="s">
        <v>30</v>
      </c>
      <c r="C1358">
        <v>801</v>
      </c>
      <c r="D1358">
        <v>5</v>
      </c>
      <c r="E1358">
        <v>2</v>
      </c>
      <c r="F1358" t="s">
        <v>31</v>
      </c>
      <c r="G1358" t="s">
        <v>32</v>
      </c>
      <c r="H1358" t="s">
        <v>33</v>
      </c>
      <c r="I1358" t="s">
        <v>58</v>
      </c>
      <c r="J1358" t="s">
        <v>35</v>
      </c>
      <c r="K1358" t="s">
        <v>36</v>
      </c>
      <c r="L1358" t="s">
        <v>45</v>
      </c>
      <c r="M1358">
        <v>0</v>
      </c>
      <c r="N1358">
        <v>1</v>
      </c>
      <c r="O1358" s="5">
        <v>50513</v>
      </c>
      <c r="P1358" s="5"/>
      <c r="Q1358">
        <f>34.5-9</f>
        <v>25.5</v>
      </c>
      <c r="R1358" t="s">
        <v>145</v>
      </c>
      <c r="S1358" t="s">
        <v>102</v>
      </c>
      <c r="T1358">
        <v>17</v>
      </c>
      <c r="W1358">
        <v>13.1</v>
      </c>
      <c r="X1358">
        <v>27.1</v>
      </c>
      <c r="Z1358" t="s">
        <v>39</v>
      </c>
      <c r="AB1358" t="s">
        <v>60</v>
      </c>
      <c r="AC1358" t="s">
        <v>87</v>
      </c>
    </row>
    <row r="1359" spans="1:29" x14ac:dyDescent="0.35">
      <c r="A1359" s="4">
        <v>42563</v>
      </c>
      <c r="B1359" t="s">
        <v>30</v>
      </c>
      <c r="C1359">
        <v>801</v>
      </c>
      <c r="D1359">
        <v>3</v>
      </c>
      <c r="E1359">
        <v>2</v>
      </c>
      <c r="F1359" t="s">
        <v>31</v>
      </c>
      <c r="G1359" t="s">
        <v>32</v>
      </c>
      <c r="H1359" t="s">
        <v>33</v>
      </c>
      <c r="I1359" t="s">
        <v>58</v>
      </c>
      <c r="J1359" t="s">
        <v>35</v>
      </c>
      <c r="K1359" t="s">
        <v>36</v>
      </c>
      <c r="L1359" t="s">
        <v>37</v>
      </c>
      <c r="M1359">
        <v>0</v>
      </c>
      <c r="N1359">
        <v>1</v>
      </c>
      <c r="O1359" s="5">
        <v>50514</v>
      </c>
      <c r="P1359" s="5"/>
      <c r="Q1359">
        <f>24-9</f>
        <v>15</v>
      </c>
      <c r="R1359" t="s">
        <v>38</v>
      </c>
      <c r="Z1359" t="s">
        <v>39</v>
      </c>
      <c r="AB1359" t="s">
        <v>60</v>
      </c>
      <c r="AC1359" t="s">
        <v>87</v>
      </c>
    </row>
    <row r="1360" spans="1:29" x14ac:dyDescent="0.35">
      <c r="A1360" s="4">
        <v>42563</v>
      </c>
      <c r="B1360" t="s">
        <v>30</v>
      </c>
      <c r="C1360">
        <v>701</v>
      </c>
      <c r="D1360">
        <v>8</v>
      </c>
      <c r="E1360">
        <v>1</v>
      </c>
      <c r="F1360" t="s">
        <v>31</v>
      </c>
      <c r="G1360" t="s">
        <v>32</v>
      </c>
      <c r="H1360" t="s">
        <v>33</v>
      </c>
      <c r="I1360" t="s">
        <v>58</v>
      </c>
      <c r="J1360" t="s">
        <v>35</v>
      </c>
      <c r="K1360" t="s">
        <v>36</v>
      </c>
      <c r="L1360" t="s">
        <v>37</v>
      </c>
      <c r="M1360">
        <v>0</v>
      </c>
      <c r="N1360">
        <v>1</v>
      </c>
      <c r="O1360" s="5">
        <v>50515</v>
      </c>
      <c r="P1360" s="5"/>
      <c r="Q1360">
        <f>28-9</f>
        <v>19</v>
      </c>
      <c r="R1360" t="s">
        <v>38</v>
      </c>
      <c r="T1360">
        <v>18</v>
      </c>
      <c r="W1360">
        <v>12.8</v>
      </c>
      <c r="X1360">
        <v>28.8</v>
      </c>
      <c r="Z1360" t="s">
        <v>102</v>
      </c>
      <c r="AA1360" t="s">
        <v>202</v>
      </c>
      <c r="AB1360" t="s">
        <v>60</v>
      </c>
      <c r="AC1360" t="s">
        <v>87</v>
      </c>
    </row>
    <row r="1361" spans="1:29" x14ac:dyDescent="0.35">
      <c r="A1361" s="4">
        <v>42563</v>
      </c>
      <c r="B1361" t="s">
        <v>30</v>
      </c>
      <c r="C1361">
        <v>503</v>
      </c>
      <c r="D1361">
        <v>10</v>
      </c>
      <c r="E1361">
        <v>2</v>
      </c>
      <c r="F1361" t="s">
        <v>42</v>
      </c>
      <c r="G1361" t="s">
        <v>32</v>
      </c>
      <c r="H1361" t="s">
        <v>33</v>
      </c>
      <c r="I1361" t="s">
        <v>58</v>
      </c>
      <c r="J1361" t="s">
        <v>44</v>
      </c>
      <c r="K1361" t="s">
        <v>36</v>
      </c>
      <c r="L1361" t="s">
        <v>37</v>
      </c>
      <c r="M1361">
        <v>0</v>
      </c>
      <c r="N1361">
        <v>0</v>
      </c>
      <c r="O1361" s="5">
        <v>50579</v>
      </c>
      <c r="P1361" s="5"/>
      <c r="Q1361">
        <f>40-11</f>
        <v>29</v>
      </c>
      <c r="R1361" t="s">
        <v>38</v>
      </c>
      <c r="T1361">
        <v>17</v>
      </c>
      <c r="W1361">
        <v>13.3</v>
      </c>
      <c r="X1361">
        <v>25.7</v>
      </c>
      <c r="Z1361" t="s">
        <v>39</v>
      </c>
      <c r="AB1361" t="s">
        <v>60</v>
      </c>
      <c r="AC1361" t="s">
        <v>87</v>
      </c>
    </row>
    <row r="1362" spans="1:29" x14ac:dyDescent="0.35">
      <c r="A1362" s="4">
        <v>42563</v>
      </c>
      <c r="B1362" t="s">
        <v>30</v>
      </c>
      <c r="C1362">
        <v>303</v>
      </c>
      <c r="D1362">
        <v>7</v>
      </c>
      <c r="E1362">
        <v>1</v>
      </c>
      <c r="F1362" t="s">
        <v>42</v>
      </c>
      <c r="G1362" t="s">
        <v>32</v>
      </c>
      <c r="H1362" t="s">
        <v>33</v>
      </c>
      <c r="I1362" t="s">
        <v>58</v>
      </c>
      <c r="J1362" t="s">
        <v>35</v>
      </c>
      <c r="K1362" t="s">
        <v>36</v>
      </c>
      <c r="L1362" t="s">
        <v>37</v>
      </c>
      <c r="M1362">
        <v>0</v>
      </c>
      <c r="N1362">
        <v>1</v>
      </c>
      <c r="O1362" s="5">
        <v>50732</v>
      </c>
      <c r="P1362" s="5"/>
      <c r="Q1362">
        <v>25.5</v>
      </c>
      <c r="R1362" t="s">
        <v>38</v>
      </c>
      <c r="W1362">
        <v>13.7</v>
      </c>
      <c r="X1362">
        <v>25.6</v>
      </c>
      <c r="Z1362" t="s">
        <v>102</v>
      </c>
      <c r="AB1362" t="s">
        <v>60</v>
      </c>
      <c r="AC1362" t="s">
        <v>87</v>
      </c>
    </row>
    <row r="1363" spans="1:29" x14ac:dyDescent="0.35">
      <c r="A1363" s="4">
        <v>42563</v>
      </c>
      <c r="B1363" t="s">
        <v>30</v>
      </c>
      <c r="C1363">
        <v>703</v>
      </c>
      <c r="D1363">
        <v>7</v>
      </c>
      <c r="E1363">
        <v>1</v>
      </c>
      <c r="F1363" t="s">
        <v>31</v>
      </c>
      <c r="G1363" t="s">
        <v>32</v>
      </c>
      <c r="H1363" t="s">
        <v>33</v>
      </c>
      <c r="I1363" t="s">
        <v>58</v>
      </c>
      <c r="J1363" t="s">
        <v>122</v>
      </c>
      <c r="O1363" s="5"/>
      <c r="P1363" s="5"/>
    </row>
    <row r="1364" spans="1:29" x14ac:dyDescent="0.35">
      <c r="A1364" s="4">
        <v>42563</v>
      </c>
      <c r="B1364" t="s">
        <v>30</v>
      </c>
      <c r="C1364">
        <v>401</v>
      </c>
      <c r="D1364">
        <v>10</v>
      </c>
      <c r="E1364">
        <v>1</v>
      </c>
      <c r="F1364" t="s">
        <v>42</v>
      </c>
      <c r="G1364" t="s">
        <v>32</v>
      </c>
      <c r="H1364" t="s">
        <v>33</v>
      </c>
      <c r="I1364" t="s">
        <v>65</v>
      </c>
      <c r="J1364" t="s">
        <v>44</v>
      </c>
      <c r="K1364" t="s">
        <v>36</v>
      </c>
      <c r="L1364" t="s">
        <v>37</v>
      </c>
      <c r="M1364">
        <v>0</v>
      </c>
      <c r="N1364">
        <v>0</v>
      </c>
      <c r="O1364" s="5">
        <v>2622</v>
      </c>
      <c r="P1364" s="5">
        <v>2621</v>
      </c>
      <c r="Q1364">
        <f>280-90</f>
        <v>190</v>
      </c>
      <c r="R1364" t="s">
        <v>38</v>
      </c>
      <c r="W1364">
        <v>26.8</v>
      </c>
      <c r="X1364">
        <v>50</v>
      </c>
      <c r="Z1364" t="s">
        <v>39</v>
      </c>
      <c r="AB1364" t="s">
        <v>60</v>
      </c>
      <c r="AC1364" t="s">
        <v>87</v>
      </c>
    </row>
    <row r="1365" spans="1:29" x14ac:dyDescent="0.35">
      <c r="A1365" s="4">
        <v>42563</v>
      </c>
      <c r="B1365" t="s">
        <v>30</v>
      </c>
      <c r="C1365">
        <v>703</v>
      </c>
      <c r="D1365">
        <v>9</v>
      </c>
      <c r="E1365">
        <v>1</v>
      </c>
      <c r="F1365" t="s">
        <v>31</v>
      </c>
      <c r="G1365" t="s">
        <v>32</v>
      </c>
      <c r="H1365" t="s">
        <v>33</v>
      </c>
      <c r="I1365" t="s">
        <v>65</v>
      </c>
      <c r="J1365" t="s">
        <v>44</v>
      </c>
      <c r="K1365" t="s">
        <v>36</v>
      </c>
      <c r="L1365" t="s">
        <v>45</v>
      </c>
      <c r="M1365">
        <v>0</v>
      </c>
      <c r="N1365">
        <v>0</v>
      </c>
      <c r="O1365" s="5">
        <v>50390</v>
      </c>
      <c r="P1365" s="5"/>
      <c r="R1365" t="s">
        <v>145</v>
      </c>
      <c r="S1365" t="s">
        <v>102</v>
      </c>
      <c r="T1365">
        <v>38</v>
      </c>
      <c r="W1365">
        <v>26.8</v>
      </c>
      <c r="X1365">
        <v>46.8</v>
      </c>
      <c r="Z1365" t="s">
        <v>39</v>
      </c>
      <c r="AB1365" t="s">
        <v>60</v>
      </c>
      <c r="AC1365" t="s">
        <v>87</v>
      </c>
    </row>
    <row r="1366" spans="1:29" x14ac:dyDescent="0.35">
      <c r="A1366" s="4">
        <v>42563</v>
      </c>
      <c r="B1366" t="s">
        <v>30</v>
      </c>
      <c r="C1366">
        <v>701</v>
      </c>
      <c r="D1366">
        <v>2</v>
      </c>
      <c r="E1366">
        <v>1</v>
      </c>
      <c r="F1366" t="s">
        <v>31</v>
      </c>
      <c r="G1366" t="s">
        <v>32</v>
      </c>
      <c r="H1366" t="s">
        <v>33</v>
      </c>
      <c r="I1366" t="s">
        <v>65</v>
      </c>
      <c r="J1366" t="s">
        <v>44</v>
      </c>
      <c r="K1366" t="s">
        <v>36</v>
      </c>
      <c r="L1366" t="s">
        <v>37</v>
      </c>
      <c r="M1366">
        <v>0</v>
      </c>
      <c r="N1366">
        <v>0</v>
      </c>
      <c r="O1366" s="5">
        <v>50471</v>
      </c>
      <c r="P1366" s="5"/>
      <c r="R1366" t="s">
        <v>38</v>
      </c>
      <c r="T1366">
        <v>40</v>
      </c>
      <c r="W1366">
        <v>28.2</v>
      </c>
      <c r="X1366">
        <v>47.5</v>
      </c>
      <c r="Z1366" t="s">
        <v>39</v>
      </c>
      <c r="AB1366" t="s">
        <v>60</v>
      </c>
      <c r="AC1366" t="s">
        <v>87</v>
      </c>
    </row>
    <row r="1367" spans="1:29" x14ac:dyDescent="0.35">
      <c r="A1367" s="4">
        <v>42563</v>
      </c>
      <c r="B1367" t="s">
        <v>30</v>
      </c>
      <c r="C1367">
        <v>501</v>
      </c>
      <c r="D1367">
        <v>3</v>
      </c>
      <c r="E1367">
        <v>1</v>
      </c>
      <c r="F1367" t="s">
        <v>42</v>
      </c>
      <c r="G1367" t="s">
        <v>32</v>
      </c>
      <c r="H1367" t="s">
        <v>33</v>
      </c>
      <c r="I1367" t="s">
        <v>65</v>
      </c>
      <c r="J1367" t="s">
        <v>35</v>
      </c>
      <c r="K1367" t="s">
        <v>36</v>
      </c>
      <c r="L1367" t="s">
        <v>45</v>
      </c>
      <c r="M1367">
        <v>0</v>
      </c>
      <c r="N1367">
        <v>1</v>
      </c>
      <c r="O1367" s="5">
        <v>50727</v>
      </c>
      <c r="P1367" s="5"/>
      <c r="Q1367">
        <v>200</v>
      </c>
      <c r="R1367" t="s">
        <v>74</v>
      </c>
      <c r="S1367" t="s">
        <v>102</v>
      </c>
      <c r="T1367">
        <v>39</v>
      </c>
      <c r="W1367">
        <v>27.9</v>
      </c>
      <c r="X1367">
        <v>50.3</v>
      </c>
      <c r="Z1367" t="s">
        <v>39</v>
      </c>
      <c r="AB1367" t="s">
        <v>60</v>
      </c>
      <c r="AC1367" t="s">
        <v>87</v>
      </c>
    </row>
    <row r="1368" spans="1:29" x14ac:dyDescent="0.35">
      <c r="A1368" s="4">
        <v>42563</v>
      </c>
      <c r="B1368" t="s">
        <v>30</v>
      </c>
      <c r="C1368">
        <v>503</v>
      </c>
      <c r="D1368">
        <v>2</v>
      </c>
      <c r="E1368">
        <v>1</v>
      </c>
      <c r="F1368" t="s">
        <v>42</v>
      </c>
      <c r="G1368" t="s">
        <v>32</v>
      </c>
      <c r="H1368" t="s">
        <v>33</v>
      </c>
      <c r="I1368" t="s">
        <v>55</v>
      </c>
      <c r="J1368" t="s">
        <v>123</v>
      </c>
      <c r="O1368" s="5"/>
      <c r="P1368" s="5"/>
    </row>
    <row r="1369" spans="1:29" x14ac:dyDescent="0.35">
      <c r="A1369" s="4">
        <v>42563</v>
      </c>
      <c r="B1369" t="s">
        <v>30</v>
      </c>
      <c r="C1369">
        <v>503</v>
      </c>
      <c r="D1369">
        <v>3</v>
      </c>
      <c r="E1369">
        <v>2</v>
      </c>
      <c r="F1369" t="s">
        <v>42</v>
      </c>
      <c r="G1369" t="s">
        <v>32</v>
      </c>
      <c r="H1369" t="s">
        <v>33</v>
      </c>
      <c r="I1369" t="s">
        <v>55</v>
      </c>
      <c r="J1369" t="s">
        <v>123</v>
      </c>
      <c r="O1369" s="5"/>
      <c r="P1369" s="5"/>
    </row>
    <row r="1370" spans="1:29" x14ac:dyDescent="0.35">
      <c r="A1370" s="4">
        <v>42563</v>
      </c>
      <c r="B1370" t="s">
        <v>30</v>
      </c>
      <c r="C1370">
        <v>303</v>
      </c>
      <c r="D1370">
        <v>6</v>
      </c>
      <c r="E1370">
        <v>2</v>
      </c>
      <c r="F1370" t="s">
        <v>42</v>
      </c>
      <c r="G1370" t="s">
        <v>32</v>
      </c>
      <c r="H1370" t="s">
        <v>33</v>
      </c>
      <c r="I1370" t="s">
        <v>55</v>
      </c>
      <c r="J1370" t="s">
        <v>66</v>
      </c>
      <c r="O1370" s="5"/>
      <c r="P1370" s="5"/>
    </row>
    <row r="1371" spans="1:29" x14ac:dyDescent="0.35">
      <c r="A1371" s="4">
        <v>42563</v>
      </c>
      <c r="B1371" t="s">
        <v>30</v>
      </c>
      <c r="C1371">
        <v>703</v>
      </c>
      <c r="D1371">
        <v>6</v>
      </c>
      <c r="E1371">
        <v>1</v>
      </c>
      <c r="F1371" t="s">
        <v>31</v>
      </c>
      <c r="G1371" t="s">
        <v>32</v>
      </c>
      <c r="H1371" t="s">
        <v>33</v>
      </c>
      <c r="I1371" t="s">
        <v>55</v>
      </c>
      <c r="J1371" t="s">
        <v>66</v>
      </c>
      <c r="O1371" s="5"/>
      <c r="P1371" s="5"/>
    </row>
    <row r="1372" spans="1:29" x14ac:dyDescent="0.35">
      <c r="A1372" s="4">
        <v>42563</v>
      </c>
      <c r="B1372" t="s">
        <v>30</v>
      </c>
      <c r="C1372">
        <v>701</v>
      </c>
      <c r="D1372">
        <v>3</v>
      </c>
      <c r="E1372">
        <v>1</v>
      </c>
      <c r="F1372" t="s">
        <v>31</v>
      </c>
      <c r="G1372" t="s">
        <v>32</v>
      </c>
      <c r="H1372" t="s">
        <v>33</v>
      </c>
      <c r="I1372" t="s">
        <v>55</v>
      </c>
      <c r="J1372" t="s">
        <v>66</v>
      </c>
      <c r="O1372" s="5"/>
      <c r="P1372" s="5"/>
    </row>
    <row r="1373" spans="1:29" x14ac:dyDescent="0.35">
      <c r="A1373" s="4">
        <v>42563</v>
      </c>
      <c r="B1373" t="s">
        <v>30</v>
      </c>
      <c r="C1373">
        <v>801</v>
      </c>
      <c r="D1373">
        <v>3</v>
      </c>
      <c r="E1373">
        <v>1</v>
      </c>
      <c r="F1373" t="s">
        <v>31</v>
      </c>
      <c r="G1373" t="s">
        <v>32</v>
      </c>
      <c r="H1373" t="s">
        <v>33</v>
      </c>
      <c r="I1373" t="s">
        <v>55</v>
      </c>
      <c r="J1373" t="s">
        <v>66</v>
      </c>
      <c r="O1373" s="5"/>
      <c r="P1373" s="5"/>
    </row>
    <row r="1374" spans="1:29" x14ac:dyDescent="0.35">
      <c r="A1374" s="4">
        <v>42563</v>
      </c>
      <c r="B1374" t="s">
        <v>30</v>
      </c>
      <c r="C1374">
        <v>501</v>
      </c>
      <c r="D1374">
        <v>10</v>
      </c>
      <c r="E1374">
        <v>1</v>
      </c>
      <c r="F1374" t="s">
        <v>42</v>
      </c>
      <c r="G1374" t="s">
        <v>32</v>
      </c>
      <c r="H1374" t="s">
        <v>33</v>
      </c>
      <c r="I1374" t="s">
        <v>84</v>
      </c>
      <c r="O1374" s="5"/>
      <c r="P1374" s="5"/>
    </row>
    <row r="1375" spans="1:29" x14ac:dyDescent="0.35">
      <c r="A1375" s="4">
        <v>42563</v>
      </c>
      <c r="B1375" t="s">
        <v>30</v>
      </c>
      <c r="C1375">
        <v>501</v>
      </c>
      <c r="D1375">
        <v>5</v>
      </c>
      <c r="E1375">
        <v>1</v>
      </c>
      <c r="F1375" t="s">
        <v>42</v>
      </c>
      <c r="G1375" t="s">
        <v>32</v>
      </c>
      <c r="H1375" t="s">
        <v>33</v>
      </c>
      <c r="I1375" t="s">
        <v>59</v>
      </c>
      <c r="O1375" s="5"/>
      <c r="P1375" s="5"/>
    </row>
    <row r="1376" spans="1:29" x14ac:dyDescent="0.35">
      <c r="A1376" s="4">
        <v>42563</v>
      </c>
      <c r="B1376" t="s">
        <v>30</v>
      </c>
      <c r="C1376">
        <v>501</v>
      </c>
      <c r="D1376">
        <v>7</v>
      </c>
      <c r="E1376">
        <v>1</v>
      </c>
      <c r="F1376" t="s">
        <v>42</v>
      </c>
      <c r="G1376" t="s">
        <v>32</v>
      </c>
      <c r="H1376" t="s">
        <v>33</v>
      </c>
      <c r="I1376" t="s">
        <v>59</v>
      </c>
      <c r="O1376" s="5"/>
      <c r="P1376" s="5"/>
    </row>
    <row r="1377" spans="1:16" x14ac:dyDescent="0.35">
      <c r="A1377" s="4">
        <v>42563</v>
      </c>
      <c r="B1377" t="s">
        <v>30</v>
      </c>
      <c r="C1377">
        <v>501</v>
      </c>
      <c r="D1377">
        <v>7</v>
      </c>
      <c r="E1377">
        <v>2</v>
      </c>
      <c r="F1377" t="s">
        <v>42</v>
      </c>
      <c r="G1377" t="s">
        <v>32</v>
      </c>
      <c r="H1377" t="s">
        <v>33</v>
      </c>
      <c r="I1377" t="s">
        <v>59</v>
      </c>
      <c r="O1377" s="5"/>
      <c r="P1377" s="5"/>
    </row>
    <row r="1378" spans="1:16" x14ac:dyDescent="0.35">
      <c r="A1378" s="4">
        <v>42563</v>
      </c>
      <c r="B1378" t="s">
        <v>30</v>
      </c>
      <c r="C1378">
        <v>503</v>
      </c>
      <c r="D1378">
        <v>2</v>
      </c>
      <c r="E1378">
        <v>2</v>
      </c>
      <c r="F1378" t="s">
        <v>42</v>
      </c>
      <c r="G1378" t="s">
        <v>32</v>
      </c>
      <c r="H1378" t="s">
        <v>33</v>
      </c>
      <c r="I1378" t="s">
        <v>59</v>
      </c>
      <c r="O1378" s="5"/>
      <c r="P1378" s="5"/>
    </row>
    <row r="1379" spans="1:16" x14ac:dyDescent="0.35">
      <c r="A1379" s="4">
        <v>42563</v>
      </c>
      <c r="B1379" t="s">
        <v>30</v>
      </c>
      <c r="C1379">
        <v>503</v>
      </c>
      <c r="D1379">
        <v>3</v>
      </c>
      <c r="E1379">
        <v>1</v>
      </c>
      <c r="F1379" t="s">
        <v>42</v>
      </c>
      <c r="G1379" t="s">
        <v>32</v>
      </c>
      <c r="H1379" t="s">
        <v>33</v>
      </c>
      <c r="I1379" t="s">
        <v>59</v>
      </c>
      <c r="O1379" s="5"/>
      <c r="P1379" s="5"/>
    </row>
    <row r="1380" spans="1:16" x14ac:dyDescent="0.35">
      <c r="A1380" s="4">
        <v>42563</v>
      </c>
      <c r="B1380" t="s">
        <v>30</v>
      </c>
      <c r="C1380">
        <v>503</v>
      </c>
      <c r="D1380">
        <v>4</v>
      </c>
      <c r="E1380">
        <v>1</v>
      </c>
      <c r="F1380" t="s">
        <v>42</v>
      </c>
      <c r="G1380" t="s">
        <v>32</v>
      </c>
      <c r="H1380" t="s">
        <v>33</v>
      </c>
      <c r="I1380" t="s">
        <v>59</v>
      </c>
      <c r="O1380" s="5"/>
      <c r="P1380" s="5"/>
    </row>
    <row r="1381" spans="1:16" x14ac:dyDescent="0.35">
      <c r="A1381" s="4">
        <v>42563</v>
      </c>
      <c r="B1381" t="s">
        <v>30</v>
      </c>
      <c r="C1381">
        <v>503</v>
      </c>
      <c r="D1381">
        <v>5</v>
      </c>
      <c r="E1381">
        <v>1</v>
      </c>
      <c r="F1381" t="s">
        <v>42</v>
      </c>
      <c r="G1381" t="s">
        <v>32</v>
      </c>
      <c r="H1381" t="s">
        <v>33</v>
      </c>
      <c r="I1381" t="s">
        <v>59</v>
      </c>
      <c r="O1381" s="5"/>
      <c r="P1381" s="5"/>
    </row>
    <row r="1382" spans="1:16" x14ac:dyDescent="0.35">
      <c r="A1382" s="4">
        <v>42563</v>
      </c>
      <c r="B1382" t="s">
        <v>30</v>
      </c>
      <c r="C1382">
        <v>503</v>
      </c>
      <c r="D1382">
        <v>5</v>
      </c>
      <c r="E1382">
        <v>2</v>
      </c>
      <c r="F1382" t="s">
        <v>42</v>
      </c>
      <c r="G1382" t="s">
        <v>32</v>
      </c>
      <c r="H1382" t="s">
        <v>33</v>
      </c>
      <c r="I1382" t="s">
        <v>59</v>
      </c>
      <c r="O1382" s="5"/>
      <c r="P1382" s="5"/>
    </row>
    <row r="1383" spans="1:16" x14ac:dyDescent="0.35">
      <c r="A1383" s="4">
        <v>42563</v>
      </c>
      <c r="B1383" t="s">
        <v>30</v>
      </c>
      <c r="C1383">
        <v>503</v>
      </c>
      <c r="D1383">
        <v>6</v>
      </c>
      <c r="E1383">
        <v>1</v>
      </c>
      <c r="F1383" t="s">
        <v>42</v>
      </c>
      <c r="G1383" t="s">
        <v>32</v>
      </c>
      <c r="H1383" t="s">
        <v>33</v>
      </c>
      <c r="I1383" t="s">
        <v>59</v>
      </c>
      <c r="O1383" s="5"/>
      <c r="P1383" s="5"/>
    </row>
    <row r="1384" spans="1:16" x14ac:dyDescent="0.35">
      <c r="A1384" s="4">
        <v>42563</v>
      </c>
      <c r="B1384" t="s">
        <v>30</v>
      </c>
      <c r="C1384">
        <v>503</v>
      </c>
      <c r="D1384">
        <v>7</v>
      </c>
      <c r="E1384">
        <v>1</v>
      </c>
      <c r="F1384" t="s">
        <v>42</v>
      </c>
      <c r="G1384" t="s">
        <v>32</v>
      </c>
      <c r="H1384" t="s">
        <v>33</v>
      </c>
      <c r="I1384" t="s">
        <v>59</v>
      </c>
      <c r="O1384" s="5"/>
      <c r="P1384" s="5"/>
    </row>
    <row r="1385" spans="1:16" x14ac:dyDescent="0.35">
      <c r="A1385" s="4">
        <v>42563</v>
      </c>
      <c r="B1385" t="s">
        <v>30</v>
      </c>
      <c r="C1385">
        <v>503</v>
      </c>
      <c r="D1385">
        <v>7</v>
      </c>
      <c r="E1385">
        <v>2</v>
      </c>
      <c r="F1385" t="s">
        <v>42</v>
      </c>
      <c r="G1385" t="s">
        <v>32</v>
      </c>
      <c r="H1385" t="s">
        <v>33</v>
      </c>
      <c r="I1385" t="s">
        <v>59</v>
      </c>
      <c r="O1385" s="5"/>
      <c r="P1385" s="5"/>
    </row>
    <row r="1386" spans="1:16" x14ac:dyDescent="0.35">
      <c r="A1386" s="4">
        <v>42563</v>
      </c>
      <c r="B1386" t="s">
        <v>30</v>
      </c>
      <c r="C1386">
        <v>503</v>
      </c>
      <c r="D1386">
        <v>10</v>
      </c>
      <c r="E1386">
        <v>1</v>
      </c>
      <c r="F1386" t="s">
        <v>42</v>
      </c>
      <c r="G1386" t="s">
        <v>32</v>
      </c>
      <c r="H1386" t="s">
        <v>33</v>
      </c>
      <c r="I1386" t="s">
        <v>59</v>
      </c>
      <c r="O1386" s="5"/>
      <c r="P1386" s="5"/>
    </row>
    <row r="1387" spans="1:16" x14ac:dyDescent="0.35">
      <c r="A1387" s="4">
        <v>42563</v>
      </c>
      <c r="B1387" t="s">
        <v>30</v>
      </c>
      <c r="C1387">
        <v>303</v>
      </c>
      <c r="D1387">
        <v>1</v>
      </c>
      <c r="E1387">
        <v>1</v>
      </c>
      <c r="F1387" t="s">
        <v>42</v>
      </c>
      <c r="G1387" t="s">
        <v>32</v>
      </c>
      <c r="H1387" t="s">
        <v>33</v>
      </c>
      <c r="I1387" t="s">
        <v>59</v>
      </c>
      <c r="O1387" s="5"/>
      <c r="P1387" s="5"/>
    </row>
    <row r="1388" spans="1:16" x14ac:dyDescent="0.35">
      <c r="A1388" s="4">
        <v>42563</v>
      </c>
      <c r="B1388" t="s">
        <v>30</v>
      </c>
      <c r="C1388">
        <v>303</v>
      </c>
      <c r="D1388">
        <v>2</v>
      </c>
      <c r="E1388">
        <v>1</v>
      </c>
      <c r="F1388" t="s">
        <v>42</v>
      </c>
      <c r="G1388" t="s">
        <v>32</v>
      </c>
      <c r="H1388" t="s">
        <v>33</v>
      </c>
      <c r="I1388" t="s">
        <v>59</v>
      </c>
      <c r="O1388" s="5"/>
      <c r="P1388" s="5"/>
    </row>
    <row r="1389" spans="1:16" x14ac:dyDescent="0.35">
      <c r="A1389" s="4">
        <v>42563</v>
      </c>
      <c r="B1389" t="s">
        <v>30</v>
      </c>
      <c r="C1389">
        <v>303</v>
      </c>
      <c r="D1389">
        <v>3</v>
      </c>
      <c r="E1389">
        <v>1</v>
      </c>
      <c r="F1389" t="s">
        <v>42</v>
      </c>
      <c r="G1389" t="s">
        <v>32</v>
      </c>
      <c r="H1389" t="s">
        <v>33</v>
      </c>
      <c r="I1389" t="s">
        <v>59</v>
      </c>
      <c r="O1389" s="5"/>
      <c r="P1389" s="5"/>
    </row>
    <row r="1390" spans="1:16" x14ac:dyDescent="0.35">
      <c r="A1390" s="4">
        <v>42563</v>
      </c>
      <c r="B1390" t="s">
        <v>30</v>
      </c>
      <c r="C1390">
        <v>303</v>
      </c>
      <c r="D1390">
        <v>4</v>
      </c>
      <c r="E1390">
        <v>1</v>
      </c>
      <c r="F1390" t="s">
        <v>42</v>
      </c>
      <c r="G1390" t="s">
        <v>32</v>
      </c>
      <c r="H1390" t="s">
        <v>33</v>
      </c>
      <c r="I1390" t="s">
        <v>59</v>
      </c>
      <c r="O1390" s="5"/>
      <c r="P1390" s="5"/>
    </row>
    <row r="1391" spans="1:16" x14ac:dyDescent="0.35">
      <c r="A1391" s="4">
        <v>42563</v>
      </c>
      <c r="B1391" t="s">
        <v>30</v>
      </c>
      <c r="C1391">
        <v>303</v>
      </c>
      <c r="D1391">
        <v>8</v>
      </c>
      <c r="E1391">
        <v>1</v>
      </c>
      <c r="F1391" t="s">
        <v>42</v>
      </c>
      <c r="G1391" t="s">
        <v>32</v>
      </c>
      <c r="H1391" t="s">
        <v>33</v>
      </c>
      <c r="I1391" t="s">
        <v>59</v>
      </c>
      <c r="O1391" s="5"/>
      <c r="P1391" s="5"/>
    </row>
    <row r="1392" spans="1:16" x14ac:dyDescent="0.35">
      <c r="A1392" s="4">
        <v>42563</v>
      </c>
      <c r="B1392" t="s">
        <v>30</v>
      </c>
      <c r="C1392">
        <v>303</v>
      </c>
      <c r="D1392">
        <v>8</v>
      </c>
      <c r="E1392">
        <v>2</v>
      </c>
      <c r="F1392" t="s">
        <v>42</v>
      </c>
      <c r="G1392" t="s">
        <v>32</v>
      </c>
      <c r="H1392" t="s">
        <v>33</v>
      </c>
      <c r="I1392" t="s">
        <v>59</v>
      </c>
      <c r="O1392" s="5"/>
      <c r="P1392" s="5"/>
    </row>
    <row r="1393" spans="1:16" x14ac:dyDescent="0.35">
      <c r="A1393" s="4">
        <v>42563</v>
      </c>
      <c r="B1393" t="s">
        <v>30</v>
      </c>
      <c r="C1393">
        <v>303</v>
      </c>
      <c r="D1393">
        <v>9</v>
      </c>
      <c r="E1393">
        <v>1</v>
      </c>
      <c r="F1393" t="s">
        <v>42</v>
      </c>
      <c r="G1393" t="s">
        <v>32</v>
      </c>
      <c r="H1393" t="s">
        <v>33</v>
      </c>
      <c r="I1393" t="s">
        <v>59</v>
      </c>
      <c r="O1393" s="5"/>
      <c r="P1393" s="5"/>
    </row>
    <row r="1394" spans="1:16" x14ac:dyDescent="0.35">
      <c r="A1394" s="4">
        <v>42563</v>
      </c>
      <c r="B1394" t="s">
        <v>30</v>
      </c>
      <c r="C1394">
        <v>401</v>
      </c>
      <c r="D1394">
        <v>1</v>
      </c>
      <c r="E1394">
        <v>1</v>
      </c>
      <c r="F1394" t="s">
        <v>42</v>
      </c>
      <c r="G1394" t="s">
        <v>32</v>
      </c>
      <c r="H1394" t="s">
        <v>33</v>
      </c>
      <c r="I1394" t="s">
        <v>59</v>
      </c>
      <c r="O1394" s="5"/>
      <c r="P1394" s="5"/>
    </row>
    <row r="1395" spans="1:16" x14ac:dyDescent="0.35">
      <c r="A1395" s="4">
        <v>42563</v>
      </c>
      <c r="B1395" t="s">
        <v>30</v>
      </c>
      <c r="C1395">
        <v>401</v>
      </c>
      <c r="D1395">
        <v>1</v>
      </c>
      <c r="E1395">
        <v>2</v>
      </c>
      <c r="F1395" t="s">
        <v>42</v>
      </c>
      <c r="G1395" t="s">
        <v>32</v>
      </c>
      <c r="H1395" t="s">
        <v>33</v>
      </c>
      <c r="I1395" t="s">
        <v>59</v>
      </c>
      <c r="O1395" s="5"/>
      <c r="P1395" s="5"/>
    </row>
    <row r="1396" spans="1:16" x14ac:dyDescent="0.35">
      <c r="A1396" s="4">
        <v>42563</v>
      </c>
      <c r="B1396" t="s">
        <v>30</v>
      </c>
      <c r="C1396">
        <v>401</v>
      </c>
      <c r="D1396">
        <v>2</v>
      </c>
      <c r="E1396">
        <v>1</v>
      </c>
      <c r="F1396" t="s">
        <v>42</v>
      </c>
      <c r="G1396" t="s">
        <v>32</v>
      </c>
      <c r="H1396" t="s">
        <v>33</v>
      </c>
      <c r="I1396" t="s">
        <v>59</v>
      </c>
      <c r="O1396" s="5"/>
      <c r="P1396" s="5"/>
    </row>
    <row r="1397" spans="1:16" x14ac:dyDescent="0.35">
      <c r="A1397" s="4">
        <v>42563</v>
      </c>
      <c r="B1397" t="s">
        <v>30</v>
      </c>
      <c r="C1397">
        <v>401</v>
      </c>
      <c r="D1397">
        <v>2</v>
      </c>
      <c r="E1397">
        <v>2</v>
      </c>
      <c r="F1397" t="s">
        <v>42</v>
      </c>
      <c r="G1397" t="s">
        <v>32</v>
      </c>
      <c r="H1397" t="s">
        <v>33</v>
      </c>
      <c r="I1397" t="s">
        <v>59</v>
      </c>
      <c r="O1397" s="5"/>
      <c r="P1397" s="5"/>
    </row>
    <row r="1398" spans="1:16" x14ac:dyDescent="0.35">
      <c r="A1398" s="4">
        <v>42563</v>
      </c>
      <c r="B1398" t="s">
        <v>30</v>
      </c>
      <c r="C1398">
        <v>401</v>
      </c>
      <c r="D1398">
        <v>3</v>
      </c>
      <c r="E1398">
        <v>1</v>
      </c>
      <c r="F1398" t="s">
        <v>42</v>
      </c>
      <c r="G1398" t="s">
        <v>32</v>
      </c>
      <c r="H1398" t="s">
        <v>33</v>
      </c>
      <c r="I1398" t="s">
        <v>59</v>
      </c>
      <c r="O1398" s="5"/>
      <c r="P1398" s="5"/>
    </row>
    <row r="1399" spans="1:16" x14ac:dyDescent="0.35">
      <c r="A1399" s="4">
        <v>42563</v>
      </c>
      <c r="B1399" t="s">
        <v>30</v>
      </c>
      <c r="C1399">
        <v>401</v>
      </c>
      <c r="D1399">
        <v>5</v>
      </c>
      <c r="E1399">
        <v>1</v>
      </c>
      <c r="F1399" t="s">
        <v>42</v>
      </c>
      <c r="G1399" t="s">
        <v>32</v>
      </c>
      <c r="H1399" t="s">
        <v>33</v>
      </c>
      <c r="I1399" t="s">
        <v>59</v>
      </c>
      <c r="O1399" s="5"/>
      <c r="P1399" s="5"/>
    </row>
    <row r="1400" spans="1:16" x14ac:dyDescent="0.35">
      <c r="A1400" s="4">
        <v>42563</v>
      </c>
      <c r="B1400" t="s">
        <v>30</v>
      </c>
      <c r="C1400">
        <v>401</v>
      </c>
      <c r="D1400">
        <v>6</v>
      </c>
      <c r="E1400">
        <v>1</v>
      </c>
      <c r="F1400" t="s">
        <v>42</v>
      </c>
      <c r="G1400" t="s">
        <v>32</v>
      </c>
      <c r="H1400" t="s">
        <v>33</v>
      </c>
      <c r="I1400" t="s">
        <v>59</v>
      </c>
      <c r="O1400" s="5"/>
      <c r="P1400" s="5"/>
    </row>
    <row r="1401" spans="1:16" x14ac:dyDescent="0.35">
      <c r="A1401" s="4">
        <v>42563</v>
      </c>
      <c r="B1401" t="s">
        <v>30</v>
      </c>
      <c r="C1401">
        <v>401</v>
      </c>
      <c r="D1401">
        <v>8</v>
      </c>
      <c r="E1401">
        <v>1</v>
      </c>
      <c r="F1401" t="s">
        <v>42</v>
      </c>
      <c r="G1401" t="s">
        <v>32</v>
      </c>
      <c r="H1401" t="s">
        <v>33</v>
      </c>
      <c r="I1401" t="s">
        <v>59</v>
      </c>
      <c r="O1401" s="5"/>
      <c r="P1401" s="5"/>
    </row>
    <row r="1402" spans="1:16" x14ac:dyDescent="0.35">
      <c r="A1402" s="4">
        <v>42563</v>
      </c>
      <c r="B1402" t="s">
        <v>30</v>
      </c>
      <c r="C1402">
        <v>401</v>
      </c>
      <c r="D1402">
        <v>8</v>
      </c>
      <c r="E1402">
        <v>2</v>
      </c>
      <c r="F1402" t="s">
        <v>42</v>
      </c>
      <c r="G1402" t="s">
        <v>32</v>
      </c>
      <c r="H1402" t="s">
        <v>33</v>
      </c>
      <c r="I1402" t="s">
        <v>59</v>
      </c>
      <c r="O1402" s="5"/>
      <c r="P1402" s="5"/>
    </row>
    <row r="1403" spans="1:16" x14ac:dyDescent="0.35">
      <c r="A1403" s="4">
        <v>42563</v>
      </c>
      <c r="B1403" t="s">
        <v>30</v>
      </c>
      <c r="C1403">
        <v>401</v>
      </c>
      <c r="D1403">
        <v>9</v>
      </c>
      <c r="E1403">
        <v>1</v>
      </c>
      <c r="F1403" t="s">
        <v>42</v>
      </c>
      <c r="G1403" t="s">
        <v>32</v>
      </c>
      <c r="H1403" t="s">
        <v>33</v>
      </c>
      <c r="I1403" t="s">
        <v>59</v>
      </c>
      <c r="O1403" s="5"/>
      <c r="P1403" s="5"/>
    </row>
    <row r="1404" spans="1:16" x14ac:dyDescent="0.35">
      <c r="A1404" s="4">
        <v>42563</v>
      </c>
      <c r="B1404" t="s">
        <v>30</v>
      </c>
      <c r="C1404">
        <v>703</v>
      </c>
      <c r="D1404">
        <v>1</v>
      </c>
      <c r="E1404">
        <v>1</v>
      </c>
      <c r="F1404" t="s">
        <v>31</v>
      </c>
      <c r="G1404" t="s">
        <v>32</v>
      </c>
      <c r="H1404" t="s">
        <v>33</v>
      </c>
      <c r="I1404" t="s">
        <v>59</v>
      </c>
      <c r="O1404" s="5"/>
      <c r="P1404" s="5"/>
    </row>
    <row r="1405" spans="1:16" x14ac:dyDescent="0.35">
      <c r="A1405" s="4">
        <v>42563</v>
      </c>
      <c r="B1405" t="s">
        <v>30</v>
      </c>
      <c r="C1405">
        <v>703</v>
      </c>
      <c r="D1405">
        <v>1</v>
      </c>
      <c r="E1405">
        <v>2</v>
      </c>
      <c r="F1405" t="s">
        <v>31</v>
      </c>
      <c r="G1405" t="s">
        <v>32</v>
      </c>
      <c r="H1405" t="s">
        <v>33</v>
      </c>
      <c r="I1405" t="s">
        <v>59</v>
      </c>
      <c r="O1405" s="5"/>
      <c r="P1405" s="5"/>
    </row>
    <row r="1406" spans="1:16" x14ac:dyDescent="0.35">
      <c r="A1406" s="4">
        <v>42563</v>
      </c>
      <c r="B1406" t="s">
        <v>30</v>
      </c>
      <c r="C1406">
        <v>703</v>
      </c>
      <c r="D1406">
        <v>4</v>
      </c>
      <c r="E1406">
        <v>1</v>
      </c>
      <c r="F1406" t="s">
        <v>31</v>
      </c>
      <c r="G1406" t="s">
        <v>32</v>
      </c>
      <c r="H1406" t="s">
        <v>33</v>
      </c>
      <c r="I1406" t="s">
        <v>59</v>
      </c>
      <c r="O1406" s="5"/>
      <c r="P1406" s="5"/>
    </row>
    <row r="1407" spans="1:16" x14ac:dyDescent="0.35">
      <c r="A1407" s="4">
        <v>42563</v>
      </c>
      <c r="B1407" t="s">
        <v>30</v>
      </c>
      <c r="C1407">
        <v>703</v>
      </c>
      <c r="D1407">
        <v>8</v>
      </c>
      <c r="E1407">
        <v>1</v>
      </c>
      <c r="F1407" t="s">
        <v>31</v>
      </c>
      <c r="G1407" t="s">
        <v>32</v>
      </c>
      <c r="H1407" t="s">
        <v>33</v>
      </c>
      <c r="I1407" t="s">
        <v>59</v>
      </c>
      <c r="O1407" s="5"/>
      <c r="P1407" s="5"/>
    </row>
    <row r="1408" spans="1:16" x14ac:dyDescent="0.35">
      <c r="A1408" s="4">
        <v>42563</v>
      </c>
      <c r="B1408" t="s">
        <v>30</v>
      </c>
      <c r="C1408">
        <v>703</v>
      </c>
      <c r="D1408">
        <v>8</v>
      </c>
      <c r="E1408">
        <v>2</v>
      </c>
      <c r="F1408" t="s">
        <v>31</v>
      </c>
      <c r="G1408" t="s">
        <v>32</v>
      </c>
      <c r="H1408" t="s">
        <v>33</v>
      </c>
      <c r="I1408" t="s">
        <v>59</v>
      </c>
      <c r="O1408" s="5"/>
      <c r="P1408" s="5"/>
    </row>
    <row r="1409" spans="1:29" x14ac:dyDescent="0.35">
      <c r="A1409" s="4">
        <v>42563</v>
      </c>
      <c r="B1409" t="s">
        <v>30</v>
      </c>
      <c r="C1409">
        <v>703</v>
      </c>
      <c r="D1409">
        <v>10</v>
      </c>
      <c r="E1409">
        <v>1</v>
      </c>
      <c r="F1409" t="s">
        <v>31</v>
      </c>
      <c r="G1409" t="s">
        <v>32</v>
      </c>
      <c r="H1409" t="s">
        <v>33</v>
      </c>
      <c r="I1409" t="s">
        <v>59</v>
      </c>
      <c r="O1409" s="5"/>
      <c r="P1409" s="5"/>
    </row>
    <row r="1410" spans="1:29" x14ac:dyDescent="0.35">
      <c r="A1410" s="4">
        <v>42563</v>
      </c>
      <c r="B1410" t="s">
        <v>30</v>
      </c>
      <c r="C1410">
        <v>701</v>
      </c>
      <c r="D1410">
        <v>1</v>
      </c>
      <c r="E1410">
        <v>1</v>
      </c>
      <c r="F1410" t="s">
        <v>31</v>
      </c>
      <c r="G1410" t="s">
        <v>32</v>
      </c>
      <c r="H1410" t="s">
        <v>33</v>
      </c>
      <c r="I1410" t="s">
        <v>59</v>
      </c>
      <c r="O1410" s="5"/>
      <c r="P1410" s="5"/>
    </row>
    <row r="1411" spans="1:29" x14ac:dyDescent="0.35">
      <c r="A1411" s="4">
        <v>42563</v>
      </c>
      <c r="B1411" t="s">
        <v>30</v>
      </c>
      <c r="C1411">
        <v>701</v>
      </c>
      <c r="D1411">
        <v>6</v>
      </c>
      <c r="E1411">
        <v>2</v>
      </c>
      <c r="F1411" t="s">
        <v>31</v>
      </c>
      <c r="G1411" t="s">
        <v>32</v>
      </c>
      <c r="H1411" t="s">
        <v>33</v>
      </c>
      <c r="I1411" t="s">
        <v>59</v>
      </c>
      <c r="O1411" s="5"/>
      <c r="P1411" s="5"/>
    </row>
    <row r="1412" spans="1:29" x14ac:dyDescent="0.35">
      <c r="A1412" s="4">
        <v>42563</v>
      </c>
      <c r="B1412" t="s">
        <v>30</v>
      </c>
      <c r="C1412">
        <v>801</v>
      </c>
      <c r="D1412">
        <v>5</v>
      </c>
      <c r="E1412">
        <v>1</v>
      </c>
      <c r="F1412" t="s">
        <v>31</v>
      </c>
      <c r="G1412" t="s">
        <v>32</v>
      </c>
      <c r="H1412" t="s">
        <v>33</v>
      </c>
      <c r="I1412" t="s">
        <v>59</v>
      </c>
      <c r="O1412" s="5"/>
      <c r="P1412" s="5"/>
    </row>
    <row r="1413" spans="1:29" x14ac:dyDescent="0.35">
      <c r="A1413" s="4">
        <v>42563</v>
      </c>
      <c r="B1413" t="s">
        <v>30</v>
      </c>
      <c r="C1413">
        <v>801</v>
      </c>
      <c r="D1413">
        <v>6</v>
      </c>
      <c r="E1413">
        <v>1</v>
      </c>
      <c r="F1413" t="s">
        <v>31</v>
      </c>
      <c r="G1413" t="s">
        <v>32</v>
      </c>
      <c r="H1413" t="s">
        <v>33</v>
      </c>
      <c r="I1413" t="s">
        <v>59</v>
      </c>
      <c r="O1413" s="5"/>
      <c r="P1413" s="5"/>
    </row>
    <row r="1414" spans="1:29" x14ac:dyDescent="0.35">
      <c r="A1414" s="4">
        <v>42563</v>
      </c>
      <c r="B1414" t="s">
        <v>30</v>
      </c>
      <c r="C1414">
        <v>801</v>
      </c>
      <c r="D1414">
        <v>7</v>
      </c>
      <c r="E1414">
        <v>1</v>
      </c>
      <c r="F1414" t="s">
        <v>31</v>
      </c>
      <c r="G1414" t="s">
        <v>32</v>
      </c>
      <c r="H1414" t="s">
        <v>33</v>
      </c>
      <c r="I1414" t="s">
        <v>59</v>
      </c>
      <c r="O1414" s="5"/>
      <c r="P1414" s="5"/>
    </row>
    <row r="1415" spans="1:29" x14ac:dyDescent="0.35">
      <c r="A1415" s="4">
        <v>42563</v>
      </c>
      <c r="B1415" t="s">
        <v>30</v>
      </c>
      <c r="C1415">
        <v>801</v>
      </c>
      <c r="D1415">
        <v>9</v>
      </c>
      <c r="E1415">
        <v>1</v>
      </c>
      <c r="F1415" t="s">
        <v>31</v>
      </c>
      <c r="G1415" t="s">
        <v>32</v>
      </c>
      <c r="H1415" t="s">
        <v>33</v>
      </c>
      <c r="I1415" t="s">
        <v>59</v>
      </c>
      <c r="O1415" s="5"/>
      <c r="P1415" s="5"/>
    </row>
    <row r="1416" spans="1:29" x14ac:dyDescent="0.35">
      <c r="A1416" s="4">
        <v>42563</v>
      </c>
      <c r="B1416" t="s">
        <v>30</v>
      </c>
      <c r="C1416">
        <v>803</v>
      </c>
      <c r="D1416">
        <v>10</v>
      </c>
      <c r="E1416">
        <v>1</v>
      </c>
      <c r="F1416" t="s">
        <v>31</v>
      </c>
      <c r="G1416" t="s">
        <v>32</v>
      </c>
      <c r="H1416" t="s">
        <v>33</v>
      </c>
      <c r="I1416" t="s">
        <v>59</v>
      </c>
      <c r="O1416" s="5"/>
      <c r="P1416" s="5"/>
    </row>
    <row r="1417" spans="1:29" x14ac:dyDescent="0.35">
      <c r="A1417" s="4">
        <v>42563</v>
      </c>
      <c r="B1417" t="s">
        <v>30</v>
      </c>
      <c r="C1417">
        <v>901</v>
      </c>
      <c r="D1417">
        <v>10</v>
      </c>
      <c r="E1417">
        <v>1</v>
      </c>
      <c r="F1417" t="s">
        <v>31</v>
      </c>
      <c r="G1417" t="s">
        <v>32</v>
      </c>
      <c r="H1417" t="s">
        <v>33</v>
      </c>
      <c r="I1417" t="s">
        <v>59</v>
      </c>
      <c r="O1417" s="5"/>
      <c r="P1417" s="5"/>
    </row>
    <row r="1418" spans="1:29" x14ac:dyDescent="0.35">
      <c r="A1418" s="4">
        <v>42563</v>
      </c>
      <c r="B1418" t="s">
        <v>30</v>
      </c>
      <c r="C1418">
        <v>503</v>
      </c>
      <c r="D1418">
        <v>6</v>
      </c>
      <c r="E1418">
        <v>2</v>
      </c>
      <c r="F1418" t="s">
        <v>42</v>
      </c>
      <c r="G1418" t="s">
        <v>32</v>
      </c>
      <c r="H1418" t="s">
        <v>33</v>
      </c>
      <c r="I1418" t="s">
        <v>94</v>
      </c>
      <c r="J1418" t="s">
        <v>35</v>
      </c>
      <c r="K1418" t="s">
        <v>36</v>
      </c>
      <c r="L1418" t="s">
        <v>37</v>
      </c>
      <c r="M1418">
        <v>0</v>
      </c>
      <c r="N1418">
        <v>1</v>
      </c>
      <c r="O1418" s="5">
        <v>50731</v>
      </c>
      <c r="P1418" s="5"/>
      <c r="Q1418">
        <f>31-9</f>
        <v>22</v>
      </c>
      <c r="R1418" t="s">
        <v>38</v>
      </c>
      <c r="T1418">
        <v>29</v>
      </c>
      <c r="W1418">
        <v>12.5</v>
      </c>
      <c r="X1418">
        <v>28.8</v>
      </c>
      <c r="Z1418" t="s">
        <v>39</v>
      </c>
      <c r="AB1418" t="s">
        <v>60</v>
      </c>
      <c r="AC1418" t="s">
        <v>87</v>
      </c>
    </row>
    <row r="1419" spans="1:29" x14ac:dyDescent="0.35">
      <c r="A1419" s="4">
        <v>42563</v>
      </c>
      <c r="B1419" t="s">
        <v>30</v>
      </c>
      <c r="C1419">
        <v>801</v>
      </c>
      <c r="D1419">
        <v>10</v>
      </c>
      <c r="E1419">
        <v>1</v>
      </c>
      <c r="F1419" t="s">
        <v>31</v>
      </c>
      <c r="G1419" t="s">
        <v>32</v>
      </c>
      <c r="H1419" t="s">
        <v>33</v>
      </c>
      <c r="I1419" t="s">
        <v>94</v>
      </c>
      <c r="J1419" t="s">
        <v>35</v>
      </c>
      <c r="K1419" t="s">
        <v>36</v>
      </c>
      <c r="L1419" t="s">
        <v>45</v>
      </c>
      <c r="M1419">
        <v>0</v>
      </c>
      <c r="N1419">
        <v>1</v>
      </c>
      <c r="O1419" s="5"/>
      <c r="P1419" s="5">
        <v>50510</v>
      </c>
      <c r="Q1419">
        <f>35-9</f>
        <v>26</v>
      </c>
      <c r="R1419" t="s">
        <v>145</v>
      </c>
      <c r="S1419" t="s">
        <v>102</v>
      </c>
      <c r="T1419">
        <v>29</v>
      </c>
      <c r="W1419">
        <v>12.9</v>
      </c>
      <c r="X1419">
        <v>26.2</v>
      </c>
      <c r="Z1419" t="s">
        <v>102</v>
      </c>
      <c r="AA1419" t="s">
        <v>203</v>
      </c>
      <c r="AB1419" t="s">
        <v>60</v>
      </c>
      <c r="AC1419" t="s">
        <v>87</v>
      </c>
    </row>
    <row r="1420" spans="1:29" x14ac:dyDescent="0.35">
      <c r="A1420" s="4">
        <v>42564</v>
      </c>
      <c r="B1420" t="s">
        <v>30</v>
      </c>
      <c r="C1420">
        <v>303</v>
      </c>
      <c r="D1420">
        <v>1</v>
      </c>
      <c r="E1420">
        <v>1</v>
      </c>
      <c r="F1420" t="s">
        <v>42</v>
      </c>
      <c r="G1420" t="s">
        <v>32</v>
      </c>
      <c r="H1420" t="s">
        <v>33</v>
      </c>
      <c r="I1420" t="s">
        <v>43</v>
      </c>
      <c r="J1420" t="s">
        <v>44</v>
      </c>
      <c r="K1420" t="s">
        <v>36</v>
      </c>
      <c r="L1420" t="s">
        <v>37</v>
      </c>
      <c r="M1420">
        <v>0</v>
      </c>
      <c r="N1420">
        <v>0</v>
      </c>
      <c r="O1420" s="5">
        <v>50321</v>
      </c>
      <c r="P1420" s="5">
        <v>50320</v>
      </c>
      <c r="Q1420">
        <v>22</v>
      </c>
      <c r="R1420" t="s">
        <v>64</v>
      </c>
      <c r="T1420">
        <v>19</v>
      </c>
      <c r="U1420">
        <v>82</v>
      </c>
      <c r="V1420">
        <v>16.5</v>
      </c>
      <c r="W1420">
        <v>13.4</v>
      </c>
      <c r="X1420">
        <v>28.2</v>
      </c>
      <c r="Z1420" t="s">
        <v>39</v>
      </c>
    </row>
    <row r="1421" spans="1:29" x14ac:dyDescent="0.35">
      <c r="A1421" s="4">
        <v>42564</v>
      </c>
      <c r="B1421" t="s">
        <v>30</v>
      </c>
      <c r="C1421">
        <v>701</v>
      </c>
      <c r="D1421">
        <v>1</v>
      </c>
      <c r="E1421">
        <v>1</v>
      </c>
      <c r="F1421" t="s">
        <v>31</v>
      </c>
      <c r="G1421" t="s">
        <v>32</v>
      </c>
      <c r="H1421" t="s">
        <v>33</v>
      </c>
      <c r="I1421" t="s">
        <v>43</v>
      </c>
      <c r="J1421" t="s">
        <v>44</v>
      </c>
      <c r="K1421" t="s">
        <v>36</v>
      </c>
      <c r="L1421" t="s">
        <v>37</v>
      </c>
      <c r="M1421">
        <v>0</v>
      </c>
      <c r="N1421">
        <v>0</v>
      </c>
      <c r="O1421" s="5">
        <v>50370</v>
      </c>
      <c r="P1421" s="5">
        <v>50369</v>
      </c>
      <c r="Q1421">
        <f>24.5-9</f>
        <v>15.5</v>
      </c>
      <c r="R1421" t="s">
        <v>38</v>
      </c>
      <c r="T1421">
        <v>19</v>
      </c>
      <c r="U1421">
        <v>70</v>
      </c>
      <c r="V1421">
        <v>17</v>
      </c>
      <c r="W1421">
        <v>12.8</v>
      </c>
      <c r="X1421">
        <v>27.4</v>
      </c>
      <c r="Z1421" t="s">
        <v>39</v>
      </c>
      <c r="AB1421" t="s">
        <v>86</v>
      </c>
      <c r="AC1421" t="s">
        <v>87</v>
      </c>
    </row>
    <row r="1422" spans="1:29" x14ac:dyDescent="0.35">
      <c r="A1422" s="4">
        <v>42564</v>
      </c>
      <c r="B1422" t="s">
        <v>30</v>
      </c>
      <c r="C1422">
        <v>701</v>
      </c>
      <c r="D1422">
        <v>8</v>
      </c>
      <c r="E1422">
        <v>2</v>
      </c>
      <c r="F1422" t="s">
        <v>31</v>
      </c>
      <c r="G1422" t="s">
        <v>32</v>
      </c>
      <c r="H1422" t="s">
        <v>33</v>
      </c>
      <c r="I1422" t="s">
        <v>43</v>
      </c>
      <c r="J1422" t="s">
        <v>44</v>
      </c>
      <c r="K1422" t="s">
        <v>113</v>
      </c>
      <c r="L1422" t="s">
        <v>37</v>
      </c>
      <c r="M1422">
        <v>0</v>
      </c>
      <c r="N1422">
        <v>0</v>
      </c>
      <c r="O1422" s="5">
        <v>50386</v>
      </c>
      <c r="P1422" s="5">
        <v>50385</v>
      </c>
      <c r="Q1422">
        <f>27-9</f>
        <v>18</v>
      </c>
      <c r="R1422" t="s">
        <v>38</v>
      </c>
      <c r="T1422">
        <v>18</v>
      </c>
      <c r="U1422">
        <v>80</v>
      </c>
      <c r="V1422">
        <v>15</v>
      </c>
      <c r="W1422">
        <v>12.9</v>
      </c>
      <c r="X1422">
        <v>27.2</v>
      </c>
      <c r="Z1422" t="s">
        <v>39</v>
      </c>
      <c r="AB1422" t="s">
        <v>86</v>
      </c>
      <c r="AC1422" t="s">
        <v>87</v>
      </c>
    </row>
    <row r="1423" spans="1:29" x14ac:dyDescent="0.35">
      <c r="A1423" s="4">
        <v>42564</v>
      </c>
      <c r="B1423" t="s">
        <v>30</v>
      </c>
      <c r="C1423">
        <v>503</v>
      </c>
      <c r="D1423">
        <v>5</v>
      </c>
      <c r="E1423">
        <v>1</v>
      </c>
      <c r="F1423" t="s">
        <v>42</v>
      </c>
      <c r="G1423" t="s">
        <v>32</v>
      </c>
      <c r="H1423" t="s">
        <v>33</v>
      </c>
      <c r="I1423" t="s">
        <v>43</v>
      </c>
      <c r="J1423" t="s">
        <v>44</v>
      </c>
      <c r="K1423" t="s">
        <v>36</v>
      </c>
      <c r="L1423" t="s">
        <v>37</v>
      </c>
      <c r="M1423">
        <v>0</v>
      </c>
      <c r="N1423">
        <v>0</v>
      </c>
      <c r="O1423" s="5">
        <v>50436</v>
      </c>
      <c r="P1423" s="5">
        <v>50435</v>
      </c>
      <c r="Q1423">
        <f>34-14.5</f>
        <v>19.5</v>
      </c>
      <c r="R1423" t="s">
        <v>38</v>
      </c>
      <c r="T1423">
        <v>21</v>
      </c>
      <c r="U1423">
        <v>86</v>
      </c>
      <c r="V1423">
        <v>16</v>
      </c>
      <c r="W1423">
        <v>13.15</v>
      </c>
      <c r="X1423">
        <v>27.7</v>
      </c>
      <c r="Z1423" t="s">
        <v>39</v>
      </c>
    </row>
    <row r="1424" spans="1:29" x14ac:dyDescent="0.35">
      <c r="A1424" s="4">
        <v>42564</v>
      </c>
      <c r="B1424" t="s">
        <v>30</v>
      </c>
      <c r="C1424">
        <v>503</v>
      </c>
      <c r="D1424">
        <v>7</v>
      </c>
      <c r="E1424">
        <v>2</v>
      </c>
      <c r="F1424" t="s">
        <v>42</v>
      </c>
      <c r="G1424" t="s">
        <v>32</v>
      </c>
      <c r="H1424" t="s">
        <v>33</v>
      </c>
      <c r="I1424" t="s">
        <v>43</v>
      </c>
      <c r="J1424" t="s">
        <v>44</v>
      </c>
      <c r="K1424" t="s">
        <v>113</v>
      </c>
      <c r="L1424" t="s">
        <v>45</v>
      </c>
      <c r="M1424">
        <v>0</v>
      </c>
      <c r="N1424">
        <v>0</v>
      </c>
      <c r="O1424" s="5">
        <v>50442</v>
      </c>
      <c r="P1424" s="5">
        <v>50441</v>
      </c>
      <c r="Q1424">
        <f>24-10.5</f>
        <v>13.5</v>
      </c>
      <c r="R1424" t="s">
        <v>46</v>
      </c>
      <c r="S1424" t="s">
        <v>39</v>
      </c>
      <c r="T1424">
        <v>18</v>
      </c>
      <c r="U1424">
        <v>72</v>
      </c>
      <c r="V1424">
        <v>15</v>
      </c>
      <c r="W1424">
        <v>12.5</v>
      </c>
      <c r="X1424">
        <v>23.7</v>
      </c>
      <c r="Z1424" t="s">
        <v>39</v>
      </c>
    </row>
    <row r="1425" spans="1:29" x14ac:dyDescent="0.35">
      <c r="A1425" s="4">
        <v>42564</v>
      </c>
      <c r="B1425" t="s">
        <v>30</v>
      </c>
      <c r="C1425">
        <v>503</v>
      </c>
      <c r="D1425">
        <v>6</v>
      </c>
      <c r="E1425">
        <v>1</v>
      </c>
      <c r="F1425" t="s">
        <v>42</v>
      </c>
      <c r="G1425" t="s">
        <v>32</v>
      </c>
      <c r="H1425" t="s">
        <v>33</v>
      </c>
      <c r="I1425" t="s">
        <v>43</v>
      </c>
      <c r="J1425" t="s">
        <v>44</v>
      </c>
      <c r="K1425" t="s">
        <v>113</v>
      </c>
      <c r="L1425" t="s">
        <v>37</v>
      </c>
      <c r="M1425">
        <v>0</v>
      </c>
      <c r="N1425">
        <v>0</v>
      </c>
      <c r="O1425" s="5">
        <v>50446</v>
      </c>
      <c r="P1425" s="5">
        <v>50434</v>
      </c>
      <c r="Q1425">
        <v>16</v>
      </c>
      <c r="R1425" t="s">
        <v>38</v>
      </c>
      <c r="T1425">
        <v>19</v>
      </c>
      <c r="U1425">
        <v>74</v>
      </c>
      <c r="V1425">
        <v>16</v>
      </c>
      <c r="W1425">
        <v>12.5</v>
      </c>
      <c r="X1425">
        <v>27.7</v>
      </c>
      <c r="Z1425" t="s">
        <v>39</v>
      </c>
    </row>
    <row r="1426" spans="1:29" x14ac:dyDescent="0.35">
      <c r="A1426" s="4">
        <v>42564</v>
      </c>
      <c r="B1426" t="s">
        <v>30</v>
      </c>
      <c r="C1426">
        <v>501</v>
      </c>
      <c r="D1426">
        <v>8</v>
      </c>
      <c r="E1426">
        <v>2</v>
      </c>
      <c r="F1426" t="s">
        <v>42</v>
      </c>
      <c r="G1426" t="s">
        <v>32</v>
      </c>
      <c r="H1426" t="s">
        <v>33</v>
      </c>
      <c r="I1426" t="s">
        <v>43</v>
      </c>
      <c r="J1426" t="s">
        <v>44</v>
      </c>
      <c r="K1426" t="s">
        <v>113</v>
      </c>
      <c r="L1426" t="s">
        <v>45</v>
      </c>
      <c r="M1426">
        <v>0</v>
      </c>
      <c r="N1426">
        <v>0</v>
      </c>
      <c r="O1426" s="5">
        <v>50448</v>
      </c>
      <c r="P1426" s="5">
        <v>50447</v>
      </c>
      <c r="Q1426">
        <f>29.5-11.5</f>
        <v>18</v>
      </c>
      <c r="R1426" t="s">
        <v>46</v>
      </c>
      <c r="S1426" t="s">
        <v>39</v>
      </c>
      <c r="T1426">
        <v>20</v>
      </c>
      <c r="U1426">
        <v>97</v>
      </c>
      <c r="V1426">
        <v>15</v>
      </c>
      <c r="W1426">
        <v>12.8</v>
      </c>
      <c r="X1426">
        <v>26.5</v>
      </c>
      <c r="Z1426" t="s">
        <v>39</v>
      </c>
    </row>
    <row r="1427" spans="1:29" x14ac:dyDescent="0.35">
      <c r="A1427" s="4">
        <v>42564</v>
      </c>
      <c r="B1427" t="s">
        <v>30</v>
      </c>
      <c r="C1427">
        <v>803</v>
      </c>
      <c r="D1427">
        <v>9</v>
      </c>
      <c r="E1427">
        <v>2</v>
      </c>
      <c r="F1427" t="s">
        <v>31</v>
      </c>
      <c r="G1427" t="s">
        <v>32</v>
      </c>
      <c r="H1427" t="s">
        <v>33</v>
      </c>
      <c r="I1427" t="s">
        <v>43</v>
      </c>
      <c r="J1427" t="s">
        <v>44</v>
      </c>
      <c r="K1427" t="s">
        <v>36</v>
      </c>
      <c r="L1427" t="s">
        <v>45</v>
      </c>
      <c r="M1427">
        <v>0</v>
      </c>
      <c r="N1427">
        <v>0</v>
      </c>
      <c r="O1427" s="5">
        <v>50457</v>
      </c>
      <c r="P1427" s="5">
        <v>50456</v>
      </c>
      <c r="Q1427">
        <f>29-13</f>
        <v>16</v>
      </c>
      <c r="R1427" t="s">
        <v>161</v>
      </c>
      <c r="S1427" t="s">
        <v>102</v>
      </c>
      <c r="T1427">
        <v>19</v>
      </c>
      <c r="U1427">
        <v>85</v>
      </c>
      <c r="V1427">
        <v>15</v>
      </c>
      <c r="W1427">
        <v>12.5</v>
      </c>
      <c r="X1427">
        <v>26.5</v>
      </c>
      <c r="Z1427" t="s">
        <v>39</v>
      </c>
      <c r="AB1427" t="s">
        <v>86</v>
      </c>
      <c r="AC1427" t="s">
        <v>87</v>
      </c>
    </row>
    <row r="1428" spans="1:29" x14ac:dyDescent="0.35">
      <c r="A1428" s="4">
        <v>42564</v>
      </c>
      <c r="B1428" t="s">
        <v>30</v>
      </c>
      <c r="C1428">
        <v>701</v>
      </c>
      <c r="D1428">
        <v>6</v>
      </c>
      <c r="E1428">
        <v>2</v>
      </c>
      <c r="F1428" t="s">
        <v>31</v>
      </c>
      <c r="G1428" t="s">
        <v>32</v>
      </c>
      <c r="H1428" t="s">
        <v>33</v>
      </c>
      <c r="I1428" t="s">
        <v>43</v>
      </c>
      <c r="J1428" t="s">
        <v>44</v>
      </c>
      <c r="K1428" t="s">
        <v>36</v>
      </c>
      <c r="L1428" t="s">
        <v>37</v>
      </c>
      <c r="M1428">
        <v>0</v>
      </c>
      <c r="N1428">
        <v>0</v>
      </c>
      <c r="O1428" s="5">
        <v>50468</v>
      </c>
      <c r="P1428" s="5">
        <v>50467</v>
      </c>
      <c r="Q1428">
        <f>36-12</f>
        <v>24</v>
      </c>
      <c r="R1428" t="s">
        <v>38</v>
      </c>
      <c r="T1428">
        <v>20</v>
      </c>
      <c r="U1428">
        <v>92</v>
      </c>
      <c r="V1428">
        <v>16</v>
      </c>
      <c r="W1428">
        <v>13.4</v>
      </c>
      <c r="X1428">
        <v>29.6</v>
      </c>
      <c r="Z1428" t="s">
        <v>102</v>
      </c>
      <c r="AA1428" t="s">
        <v>201</v>
      </c>
      <c r="AB1428" t="s">
        <v>86</v>
      </c>
      <c r="AC1428" t="s">
        <v>87</v>
      </c>
    </row>
    <row r="1429" spans="1:29" x14ac:dyDescent="0.35">
      <c r="A1429" s="4">
        <v>42564</v>
      </c>
      <c r="B1429" t="s">
        <v>30</v>
      </c>
      <c r="C1429">
        <v>703</v>
      </c>
      <c r="D1429">
        <v>2</v>
      </c>
      <c r="E1429">
        <v>2</v>
      </c>
      <c r="F1429" t="s">
        <v>31</v>
      </c>
      <c r="G1429" t="s">
        <v>32</v>
      </c>
      <c r="H1429" t="s">
        <v>33</v>
      </c>
      <c r="I1429" t="s">
        <v>43</v>
      </c>
      <c r="J1429" t="s">
        <v>44</v>
      </c>
      <c r="K1429" t="s">
        <v>88</v>
      </c>
      <c r="L1429" t="s">
        <v>37</v>
      </c>
      <c r="M1429">
        <v>0</v>
      </c>
      <c r="N1429">
        <v>0</v>
      </c>
      <c r="O1429" s="5">
        <v>50470</v>
      </c>
      <c r="P1429" s="5">
        <v>50469</v>
      </c>
      <c r="Q1429">
        <f>24-9</f>
        <v>15</v>
      </c>
      <c r="R1429" t="s">
        <v>64</v>
      </c>
      <c r="T1429">
        <v>20</v>
      </c>
      <c r="U1429">
        <v>74</v>
      </c>
      <c r="V1429">
        <v>16</v>
      </c>
      <c r="W1429">
        <v>12.6</v>
      </c>
      <c r="X1429">
        <v>26.8</v>
      </c>
      <c r="Z1429" t="s">
        <v>39</v>
      </c>
      <c r="AB1429" t="s">
        <v>86</v>
      </c>
      <c r="AC1429" t="s">
        <v>87</v>
      </c>
    </row>
    <row r="1430" spans="1:29" x14ac:dyDescent="0.35">
      <c r="A1430" s="4">
        <v>42564</v>
      </c>
      <c r="B1430" t="s">
        <v>30</v>
      </c>
      <c r="C1430">
        <v>703</v>
      </c>
      <c r="D1430">
        <v>4</v>
      </c>
      <c r="E1430">
        <v>1</v>
      </c>
      <c r="F1430" t="s">
        <v>31</v>
      </c>
      <c r="G1430" t="s">
        <v>32</v>
      </c>
      <c r="H1430" t="s">
        <v>33</v>
      </c>
      <c r="I1430" t="s">
        <v>43</v>
      </c>
      <c r="J1430" t="s">
        <v>44</v>
      </c>
      <c r="K1430" t="s">
        <v>88</v>
      </c>
      <c r="L1430" t="s">
        <v>45</v>
      </c>
      <c r="M1430">
        <v>0</v>
      </c>
      <c r="N1430">
        <v>0</v>
      </c>
      <c r="O1430" s="5">
        <v>50480</v>
      </c>
      <c r="P1430" s="5">
        <v>50479</v>
      </c>
      <c r="Q1430">
        <f>22.5-10</f>
        <v>12.5</v>
      </c>
      <c r="R1430" t="s">
        <v>46</v>
      </c>
      <c r="S1430" t="s">
        <v>39</v>
      </c>
      <c r="T1430">
        <v>19</v>
      </c>
      <c r="U1430">
        <v>72</v>
      </c>
      <c r="V1430">
        <v>15</v>
      </c>
      <c r="W1430">
        <v>12.6</v>
      </c>
      <c r="X1430">
        <v>26</v>
      </c>
      <c r="Z1430" t="s">
        <v>39</v>
      </c>
      <c r="AB1430" t="s">
        <v>86</v>
      </c>
      <c r="AC1430" t="s">
        <v>87</v>
      </c>
    </row>
    <row r="1431" spans="1:29" x14ac:dyDescent="0.35">
      <c r="A1431" s="4">
        <v>42564</v>
      </c>
      <c r="B1431" t="s">
        <v>30</v>
      </c>
      <c r="C1431">
        <v>701</v>
      </c>
      <c r="D1431">
        <v>8</v>
      </c>
      <c r="E1431">
        <v>1</v>
      </c>
      <c r="F1431" t="s">
        <v>31</v>
      </c>
      <c r="G1431" t="s">
        <v>32</v>
      </c>
      <c r="H1431" t="s">
        <v>33</v>
      </c>
      <c r="I1431" t="s">
        <v>43</v>
      </c>
      <c r="J1431" t="s">
        <v>35</v>
      </c>
      <c r="K1431" t="s">
        <v>88</v>
      </c>
      <c r="L1431" t="s">
        <v>37</v>
      </c>
      <c r="M1431">
        <v>0</v>
      </c>
      <c r="N1431">
        <v>1</v>
      </c>
      <c r="O1431" s="5">
        <v>50503</v>
      </c>
      <c r="P1431" s="5">
        <v>50502</v>
      </c>
      <c r="Q1431">
        <f>28.5-13</f>
        <v>15.5</v>
      </c>
      <c r="R1431" t="s">
        <v>64</v>
      </c>
      <c r="T1431">
        <v>19</v>
      </c>
      <c r="U1431">
        <v>81</v>
      </c>
      <c r="V1431">
        <v>15</v>
      </c>
      <c r="W1431">
        <v>12.9</v>
      </c>
      <c r="X1431">
        <v>27.1</v>
      </c>
      <c r="Z1431" t="s">
        <v>39</v>
      </c>
      <c r="AB1431" t="s">
        <v>86</v>
      </c>
      <c r="AC1431" t="s">
        <v>87</v>
      </c>
    </row>
    <row r="1432" spans="1:29" x14ac:dyDescent="0.35">
      <c r="A1432" s="4">
        <v>42564</v>
      </c>
      <c r="B1432" t="s">
        <v>30</v>
      </c>
      <c r="C1432">
        <v>701</v>
      </c>
      <c r="D1432">
        <v>4</v>
      </c>
      <c r="E1432">
        <v>1</v>
      </c>
      <c r="F1432" t="s">
        <v>31</v>
      </c>
      <c r="G1432" t="s">
        <v>32</v>
      </c>
      <c r="H1432" t="s">
        <v>33</v>
      </c>
      <c r="I1432" t="s">
        <v>43</v>
      </c>
      <c r="J1432" t="s">
        <v>35</v>
      </c>
      <c r="K1432" t="s">
        <v>113</v>
      </c>
      <c r="L1432" t="s">
        <v>37</v>
      </c>
      <c r="M1432">
        <v>0</v>
      </c>
      <c r="N1432">
        <v>1</v>
      </c>
      <c r="O1432" s="5">
        <v>50506</v>
      </c>
      <c r="P1432" s="5">
        <v>50505</v>
      </c>
      <c r="Q1432">
        <f>28-11</f>
        <v>17</v>
      </c>
      <c r="R1432" t="s">
        <v>38</v>
      </c>
      <c r="T1432">
        <v>19</v>
      </c>
      <c r="U1432">
        <v>82</v>
      </c>
      <c r="V1432">
        <v>15</v>
      </c>
      <c r="W1432">
        <v>12.8</v>
      </c>
      <c r="X1432">
        <v>27.4</v>
      </c>
      <c r="Z1432" t="s">
        <v>102</v>
      </c>
      <c r="AB1432" t="s">
        <v>86</v>
      </c>
      <c r="AC1432" t="s">
        <v>87</v>
      </c>
    </row>
    <row r="1433" spans="1:29" x14ac:dyDescent="0.35">
      <c r="A1433" s="4">
        <v>42564</v>
      </c>
      <c r="B1433" t="s">
        <v>30</v>
      </c>
      <c r="C1433">
        <v>703</v>
      </c>
      <c r="D1433">
        <v>10</v>
      </c>
      <c r="E1433">
        <v>1</v>
      </c>
      <c r="F1433" t="s">
        <v>31</v>
      </c>
      <c r="G1433" t="s">
        <v>32</v>
      </c>
      <c r="H1433" t="s">
        <v>33</v>
      </c>
      <c r="I1433" t="s">
        <v>43</v>
      </c>
      <c r="J1433" t="s">
        <v>35</v>
      </c>
      <c r="K1433" t="s">
        <v>88</v>
      </c>
      <c r="L1433" t="s">
        <v>45</v>
      </c>
      <c r="M1433">
        <v>0</v>
      </c>
      <c r="N1433">
        <v>1</v>
      </c>
      <c r="O1433" s="5">
        <v>50508</v>
      </c>
      <c r="P1433" s="5">
        <v>50507</v>
      </c>
      <c r="Q1433">
        <f>23.5-9</f>
        <v>14.5</v>
      </c>
      <c r="R1433" t="s">
        <v>46</v>
      </c>
      <c r="S1433" t="s">
        <v>39</v>
      </c>
      <c r="T1433">
        <v>20</v>
      </c>
      <c r="U1433">
        <v>79</v>
      </c>
      <c r="V1433">
        <v>13</v>
      </c>
      <c r="W1433">
        <v>12.9</v>
      </c>
      <c r="X1433">
        <v>26.8</v>
      </c>
      <c r="Z1433" t="s">
        <v>39</v>
      </c>
      <c r="AB1433" t="s">
        <v>86</v>
      </c>
      <c r="AC1433" t="s">
        <v>87</v>
      </c>
    </row>
    <row r="1434" spans="1:29" x14ac:dyDescent="0.35">
      <c r="A1434" s="4">
        <v>42564</v>
      </c>
      <c r="B1434" t="s">
        <v>30</v>
      </c>
      <c r="C1434">
        <v>703</v>
      </c>
      <c r="D1434">
        <v>3</v>
      </c>
      <c r="E1434">
        <v>1</v>
      </c>
      <c r="F1434" t="s">
        <v>31</v>
      </c>
      <c r="G1434" t="s">
        <v>32</v>
      </c>
      <c r="H1434" t="s">
        <v>33</v>
      </c>
      <c r="I1434" t="s">
        <v>43</v>
      </c>
      <c r="J1434" t="s">
        <v>44</v>
      </c>
      <c r="K1434" t="s">
        <v>88</v>
      </c>
      <c r="L1434" t="s">
        <v>45</v>
      </c>
      <c r="M1434">
        <v>0</v>
      </c>
      <c r="N1434">
        <v>0</v>
      </c>
      <c r="O1434" s="5">
        <v>50517</v>
      </c>
      <c r="P1434" s="5">
        <v>50516</v>
      </c>
      <c r="Q1434">
        <f>23.5-9</f>
        <v>14.5</v>
      </c>
      <c r="R1434" t="s">
        <v>46</v>
      </c>
      <c r="S1434" t="s">
        <v>39</v>
      </c>
      <c r="T1434">
        <v>18</v>
      </c>
      <c r="U1434">
        <v>78</v>
      </c>
      <c r="V1434">
        <v>14</v>
      </c>
      <c r="W1434">
        <v>12.7</v>
      </c>
      <c r="X1434">
        <v>27</v>
      </c>
      <c r="Z1434" t="s">
        <v>39</v>
      </c>
      <c r="AB1434" t="s">
        <v>86</v>
      </c>
      <c r="AC1434" t="s">
        <v>87</v>
      </c>
    </row>
    <row r="1435" spans="1:29" x14ac:dyDescent="0.35">
      <c r="A1435" s="4">
        <v>42564</v>
      </c>
      <c r="B1435" t="s">
        <v>30</v>
      </c>
      <c r="C1435">
        <v>503</v>
      </c>
      <c r="D1435">
        <v>10</v>
      </c>
      <c r="E1435">
        <v>2</v>
      </c>
      <c r="F1435" t="s">
        <v>42</v>
      </c>
      <c r="G1435" t="s">
        <v>32</v>
      </c>
      <c r="H1435" t="s">
        <v>33</v>
      </c>
      <c r="I1435" t="s">
        <v>43</v>
      </c>
      <c r="J1435" t="s">
        <v>44</v>
      </c>
      <c r="K1435" t="s">
        <v>113</v>
      </c>
      <c r="L1435" t="s">
        <v>45</v>
      </c>
      <c r="M1435">
        <v>0</v>
      </c>
      <c r="N1435">
        <v>0</v>
      </c>
      <c r="O1435" s="5">
        <v>50550</v>
      </c>
      <c r="P1435" s="5">
        <v>50549</v>
      </c>
      <c r="Q1435">
        <v>12</v>
      </c>
      <c r="R1435" t="s">
        <v>46</v>
      </c>
      <c r="S1435" t="s">
        <v>39</v>
      </c>
      <c r="T1435">
        <v>18</v>
      </c>
      <c r="U1435">
        <v>76</v>
      </c>
      <c r="V1435">
        <v>15</v>
      </c>
      <c r="W1435">
        <v>12.5</v>
      </c>
      <c r="X1435">
        <v>26.8</v>
      </c>
      <c r="Z1435" t="s">
        <v>39</v>
      </c>
    </row>
    <row r="1436" spans="1:29" x14ac:dyDescent="0.35">
      <c r="A1436" s="4">
        <v>42564</v>
      </c>
      <c r="B1436" t="s">
        <v>30</v>
      </c>
      <c r="C1436">
        <v>303</v>
      </c>
      <c r="D1436">
        <v>1</v>
      </c>
      <c r="E1436">
        <v>2</v>
      </c>
      <c r="F1436" t="s">
        <v>42</v>
      </c>
      <c r="G1436" t="s">
        <v>32</v>
      </c>
      <c r="H1436" t="s">
        <v>33</v>
      </c>
      <c r="I1436" t="s">
        <v>43</v>
      </c>
      <c r="J1436" t="s">
        <v>44</v>
      </c>
      <c r="K1436" t="s">
        <v>36</v>
      </c>
      <c r="L1436" t="s">
        <v>45</v>
      </c>
      <c r="M1436">
        <v>0</v>
      </c>
      <c r="N1436">
        <v>0</v>
      </c>
      <c r="O1436" s="5">
        <v>50582</v>
      </c>
      <c r="P1436" s="5" t="s">
        <v>204</v>
      </c>
      <c r="Q1436">
        <v>22</v>
      </c>
      <c r="R1436" t="s">
        <v>77</v>
      </c>
      <c r="S1436" t="s">
        <v>39</v>
      </c>
      <c r="T1436">
        <v>19</v>
      </c>
      <c r="U1436">
        <v>81</v>
      </c>
      <c r="V1436">
        <v>17</v>
      </c>
      <c r="W1436">
        <v>13.7</v>
      </c>
      <c r="X1436">
        <v>28.1</v>
      </c>
      <c r="Z1436" t="s">
        <v>39</v>
      </c>
    </row>
    <row r="1437" spans="1:29" x14ac:dyDescent="0.35">
      <c r="A1437" s="4">
        <v>42564</v>
      </c>
      <c r="B1437" t="s">
        <v>30</v>
      </c>
      <c r="C1437">
        <v>401</v>
      </c>
      <c r="D1437">
        <v>3</v>
      </c>
      <c r="E1437">
        <v>1</v>
      </c>
      <c r="F1437" t="s">
        <v>42</v>
      </c>
      <c r="G1437" t="s">
        <v>32</v>
      </c>
      <c r="H1437" t="s">
        <v>33</v>
      </c>
      <c r="I1437" t="s">
        <v>43</v>
      </c>
      <c r="J1437" t="s">
        <v>44</v>
      </c>
      <c r="K1437" t="s">
        <v>113</v>
      </c>
      <c r="L1437" t="s">
        <v>37</v>
      </c>
      <c r="M1437">
        <v>0</v>
      </c>
      <c r="N1437">
        <v>0</v>
      </c>
      <c r="O1437" s="5">
        <v>50590</v>
      </c>
      <c r="P1437" s="5">
        <v>50589</v>
      </c>
      <c r="Q1437">
        <f>35-19</f>
        <v>16</v>
      </c>
      <c r="R1437" t="s">
        <v>38</v>
      </c>
      <c r="T1437">
        <v>19</v>
      </c>
      <c r="U1437">
        <v>76</v>
      </c>
      <c r="V1437">
        <v>17</v>
      </c>
      <c r="W1437">
        <v>12.7</v>
      </c>
      <c r="X1437">
        <v>26.1</v>
      </c>
      <c r="Z1437" t="s">
        <v>39</v>
      </c>
    </row>
    <row r="1438" spans="1:29" x14ac:dyDescent="0.35">
      <c r="A1438" s="4">
        <v>42564</v>
      </c>
      <c r="B1438" t="s">
        <v>30</v>
      </c>
      <c r="C1438">
        <v>703</v>
      </c>
      <c r="D1438">
        <v>9</v>
      </c>
      <c r="E1438">
        <v>2</v>
      </c>
      <c r="F1438" t="s">
        <v>31</v>
      </c>
      <c r="G1438" t="s">
        <v>32</v>
      </c>
      <c r="H1438" t="s">
        <v>33</v>
      </c>
      <c r="I1438" t="s">
        <v>43</v>
      </c>
      <c r="J1438" t="s">
        <v>44</v>
      </c>
      <c r="K1438" t="s">
        <v>88</v>
      </c>
      <c r="L1438" t="s">
        <v>45</v>
      </c>
      <c r="M1438">
        <v>0</v>
      </c>
      <c r="N1438">
        <v>0</v>
      </c>
      <c r="O1438" s="5">
        <v>50610</v>
      </c>
      <c r="P1438" s="5">
        <v>50609</v>
      </c>
      <c r="Q1438">
        <v>12.5</v>
      </c>
      <c r="R1438" t="s">
        <v>46</v>
      </c>
      <c r="S1438" t="s">
        <v>39</v>
      </c>
      <c r="T1438">
        <v>19</v>
      </c>
      <c r="U1438">
        <v>65</v>
      </c>
      <c r="V1438">
        <v>13</v>
      </c>
      <c r="W1438">
        <v>12.8</v>
      </c>
      <c r="X1438">
        <v>27.4</v>
      </c>
      <c r="Z1438" t="s">
        <v>39</v>
      </c>
      <c r="AB1438" t="s">
        <v>86</v>
      </c>
      <c r="AC1438" t="s">
        <v>87</v>
      </c>
    </row>
    <row r="1439" spans="1:29" x14ac:dyDescent="0.35">
      <c r="A1439" s="4">
        <v>42564</v>
      </c>
      <c r="B1439" t="s">
        <v>30</v>
      </c>
      <c r="C1439">
        <v>703</v>
      </c>
      <c r="D1439">
        <v>10</v>
      </c>
      <c r="E1439">
        <v>2</v>
      </c>
      <c r="F1439" t="s">
        <v>31</v>
      </c>
      <c r="G1439" t="s">
        <v>32</v>
      </c>
      <c r="H1439" t="s">
        <v>33</v>
      </c>
      <c r="I1439" t="s">
        <v>43</v>
      </c>
      <c r="J1439" t="s">
        <v>44</v>
      </c>
      <c r="K1439" t="s">
        <v>88</v>
      </c>
      <c r="L1439" t="s">
        <v>45</v>
      </c>
      <c r="M1439">
        <v>0</v>
      </c>
      <c r="N1439">
        <v>0</v>
      </c>
      <c r="O1439" s="5">
        <v>50612</v>
      </c>
      <c r="P1439" s="5">
        <v>50611</v>
      </c>
      <c r="Q1439">
        <f>22-10</f>
        <v>12</v>
      </c>
      <c r="R1439" t="s">
        <v>46</v>
      </c>
      <c r="S1439" t="s">
        <v>39</v>
      </c>
      <c r="T1439">
        <v>20</v>
      </c>
      <c r="U1439">
        <v>71</v>
      </c>
      <c r="V1439">
        <v>13</v>
      </c>
      <c r="W1439">
        <v>12.6</v>
      </c>
      <c r="X1439">
        <v>25.5</v>
      </c>
      <c r="Z1439" t="s">
        <v>39</v>
      </c>
      <c r="AB1439" t="s">
        <v>86</v>
      </c>
      <c r="AC1439" t="s">
        <v>87</v>
      </c>
    </row>
    <row r="1440" spans="1:29" x14ac:dyDescent="0.35">
      <c r="A1440" s="4">
        <v>42564</v>
      </c>
      <c r="B1440" t="s">
        <v>30</v>
      </c>
      <c r="C1440">
        <v>801</v>
      </c>
      <c r="D1440">
        <v>9</v>
      </c>
      <c r="E1440">
        <v>1</v>
      </c>
      <c r="F1440" t="s">
        <v>31</v>
      </c>
      <c r="G1440" t="s">
        <v>32</v>
      </c>
      <c r="H1440" t="s">
        <v>33</v>
      </c>
      <c r="I1440" t="s">
        <v>43</v>
      </c>
      <c r="J1440" t="s">
        <v>44</v>
      </c>
      <c r="K1440" t="s">
        <v>113</v>
      </c>
      <c r="L1440" t="s">
        <v>45</v>
      </c>
      <c r="M1440">
        <v>0</v>
      </c>
      <c r="N1440">
        <v>0</v>
      </c>
      <c r="O1440" s="5">
        <v>50614</v>
      </c>
      <c r="P1440" s="5">
        <v>50613</v>
      </c>
      <c r="Q1440">
        <f>32.5-12</f>
        <v>20.5</v>
      </c>
      <c r="R1440" t="s">
        <v>119</v>
      </c>
      <c r="S1440" t="s">
        <v>39</v>
      </c>
      <c r="T1440">
        <v>19</v>
      </c>
      <c r="U1440">
        <v>72</v>
      </c>
      <c r="V1440">
        <v>14</v>
      </c>
      <c r="W1440">
        <v>12.9</v>
      </c>
      <c r="X1440">
        <v>25.5</v>
      </c>
      <c r="Z1440" t="s">
        <v>39</v>
      </c>
      <c r="AB1440" t="s">
        <v>86</v>
      </c>
      <c r="AC1440" t="s">
        <v>87</v>
      </c>
    </row>
    <row r="1441" spans="1:29" x14ac:dyDescent="0.35">
      <c r="A1441" s="4">
        <v>42564</v>
      </c>
      <c r="B1441" t="s">
        <v>30</v>
      </c>
      <c r="C1441">
        <v>901</v>
      </c>
      <c r="D1441">
        <v>8</v>
      </c>
      <c r="E1441">
        <v>1</v>
      </c>
      <c r="F1441" t="s">
        <v>31</v>
      </c>
      <c r="G1441" t="s">
        <v>32</v>
      </c>
      <c r="H1441" t="s">
        <v>33</v>
      </c>
      <c r="I1441" t="s">
        <v>43</v>
      </c>
      <c r="J1441" t="s">
        <v>44</v>
      </c>
      <c r="K1441" t="s">
        <v>36</v>
      </c>
      <c r="L1441" t="s">
        <v>45</v>
      </c>
      <c r="M1441">
        <v>0</v>
      </c>
      <c r="N1441">
        <v>0</v>
      </c>
      <c r="O1441" s="5">
        <v>50617</v>
      </c>
      <c r="P1441" s="5">
        <v>50516</v>
      </c>
      <c r="Q1441">
        <f>29-13</f>
        <v>16</v>
      </c>
      <c r="R1441" t="s">
        <v>145</v>
      </c>
      <c r="S1441" t="s">
        <v>102</v>
      </c>
      <c r="T1441">
        <v>20</v>
      </c>
      <c r="U1441">
        <v>90</v>
      </c>
      <c r="V1441">
        <v>14</v>
      </c>
      <c r="W1441">
        <v>12.8</v>
      </c>
      <c r="X1441">
        <v>25.8</v>
      </c>
      <c r="Z1441" t="s">
        <v>39</v>
      </c>
      <c r="AB1441" t="s">
        <v>86</v>
      </c>
      <c r="AC1441" t="s">
        <v>87</v>
      </c>
    </row>
    <row r="1442" spans="1:29" x14ac:dyDescent="0.35">
      <c r="A1442" s="4">
        <v>42564</v>
      </c>
      <c r="B1442" t="s">
        <v>30</v>
      </c>
      <c r="C1442">
        <v>801</v>
      </c>
      <c r="D1442">
        <v>2</v>
      </c>
      <c r="E1442">
        <v>2</v>
      </c>
      <c r="F1442" t="s">
        <v>31</v>
      </c>
      <c r="G1442" t="s">
        <v>32</v>
      </c>
      <c r="H1442" t="s">
        <v>33</v>
      </c>
      <c r="I1442" t="s">
        <v>43</v>
      </c>
      <c r="J1442" t="s">
        <v>44</v>
      </c>
      <c r="K1442" t="s">
        <v>36</v>
      </c>
      <c r="L1442" t="s">
        <v>37</v>
      </c>
      <c r="M1442">
        <v>0</v>
      </c>
      <c r="N1442">
        <v>0</v>
      </c>
      <c r="O1442" s="5">
        <v>50677</v>
      </c>
      <c r="P1442" s="5">
        <v>50676</v>
      </c>
      <c r="Q1442">
        <f>29-11</f>
        <v>18</v>
      </c>
      <c r="R1442" t="s">
        <v>38</v>
      </c>
      <c r="T1442">
        <v>20</v>
      </c>
      <c r="U1442">
        <v>80</v>
      </c>
      <c r="V1442">
        <v>15</v>
      </c>
      <c r="W1442">
        <v>12.9</v>
      </c>
      <c r="X1442">
        <v>26.8</v>
      </c>
      <c r="Z1442" t="s">
        <v>39</v>
      </c>
      <c r="AB1442" t="s">
        <v>86</v>
      </c>
      <c r="AC1442" t="s">
        <v>87</v>
      </c>
    </row>
    <row r="1443" spans="1:29" x14ac:dyDescent="0.35">
      <c r="A1443" s="4">
        <v>42564</v>
      </c>
      <c r="B1443" t="s">
        <v>30</v>
      </c>
      <c r="C1443">
        <v>703</v>
      </c>
      <c r="D1443">
        <v>1</v>
      </c>
      <c r="E1443">
        <v>1</v>
      </c>
      <c r="F1443" t="s">
        <v>31</v>
      </c>
      <c r="G1443" t="s">
        <v>32</v>
      </c>
      <c r="H1443" t="s">
        <v>33</v>
      </c>
      <c r="I1443" t="s">
        <v>43</v>
      </c>
      <c r="J1443" t="s">
        <v>44</v>
      </c>
      <c r="K1443" t="s">
        <v>88</v>
      </c>
      <c r="L1443" t="s">
        <v>37</v>
      </c>
      <c r="M1443">
        <v>0</v>
      </c>
      <c r="N1443">
        <v>0</v>
      </c>
      <c r="O1443" s="5">
        <v>50692</v>
      </c>
      <c r="P1443" s="5">
        <v>50691</v>
      </c>
      <c r="Q1443">
        <f>23-9</f>
        <v>14</v>
      </c>
      <c r="R1443" t="s">
        <v>64</v>
      </c>
      <c r="T1443">
        <v>19</v>
      </c>
      <c r="U1443">
        <v>71</v>
      </c>
      <c r="V1443">
        <v>14</v>
      </c>
      <c r="W1443">
        <v>12.8</v>
      </c>
      <c r="X1443">
        <v>27.5</v>
      </c>
      <c r="Z1443" t="s">
        <v>39</v>
      </c>
      <c r="AB1443" t="s">
        <v>86</v>
      </c>
      <c r="AC1443" t="s">
        <v>87</v>
      </c>
    </row>
    <row r="1444" spans="1:29" x14ac:dyDescent="0.35">
      <c r="A1444" s="4">
        <v>42564</v>
      </c>
      <c r="B1444" t="s">
        <v>30</v>
      </c>
      <c r="C1444">
        <v>801</v>
      </c>
      <c r="D1444">
        <v>1</v>
      </c>
      <c r="E1444">
        <v>1</v>
      </c>
      <c r="F1444" t="s">
        <v>31</v>
      </c>
      <c r="G1444" t="s">
        <v>32</v>
      </c>
      <c r="H1444" t="s">
        <v>33</v>
      </c>
      <c r="I1444" t="s">
        <v>43</v>
      </c>
      <c r="J1444" t="s">
        <v>44</v>
      </c>
      <c r="K1444" t="s">
        <v>36</v>
      </c>
      <c r="L1444" t="s">
        <v>37</v>
      </c>
      <c r="M1444">
        <v>0</v>
      </c>
      <c r="N1444">
        <v>0</v>
      </c>
      <c r="O1444" s="5">
        <v>50697</v>
      </c>
      <c r="P1444" s="5">
        <v>50696</v>
      </c>
      <c r="Q1444">
        <f>32-11.5</f>
        <v>20.5</v>
      </c>
      <c r="R1444" t="s">
        <v>38</v>
      </c>
      <c r="T1444">
        <v>19</v>
      </c>
      <c r="U1444">
        <v>74</v>
      </c>
      <c r="V1444">
        <v>14</v>
      </c>
      <c r="W1444">
        <v>12.9</v>
      </c>
      <c r="X1444">
        <v>26.2</v>
      </c>
      <c r="Z1444" t="s">
        <v>39</v>
      </c>
      <c r="AB1444" t="s">
        <v>86</v>
      </c>
      <c r="AC1444" t="s">
        <v>87</v>
      </c>
    </row>
    <row r="1445" spans="1:29" x14ac:dyDescent="0.35">
      <c r="A1445" s="4">
        <v>42564</v>
      </c>
      <c r="B1445" t="s">
        <v>30</v>
      </c>
      <c r="C1445">
        <v>703</v>
      </c>
      <c r="D1445">
        <v>8</v>
      </c>
      <c r="E1445">
        <v>2</v>
      </c>
      <c r="F1445" t="s">
        <v>31</v>
      </c>
      <c r="G1445" t="s">
        <v>32</v>
      </c>
      <c r="H1445" t="s">
        <v>33</v>
      </c>
      <c r="I1445" t="s">
        <v>43</v>
      </c>
      <c r="J1445" t="s">
        <v>44</v>
      </c>
      <c r="K1445" t="s">
        <v>88</v>
      </c>
      <c r="L1445" t="s">
        <v>45</v>
      </c>
      <c r="M1445">
        <v>0</v>
      </c>
      <c r="N1445">
        <v>0</v>
      </c>
      <c r="O1445" s="5">
        <v>50700</v>
      </c>
      <c r="P1445" s="5">
        <v>50699</v>
      </c>
      <c r="Q1445">
        <f>22.5-11</f>
        <v>11.5</v>
      </c>
      <c r="R1445" t="s">
        <v>46</v>
      </c>
      <c r="S1445" t="s">
        <v>39</v>
      </c>
      <c r="T1445">
        <v>20</v>
      </c>
      <c r="U1445">
        <v>71</v>
      </c>
      <c r="V1445">
        <v>14</v>
      </c>
      <c r="W1445">
        <v>12.6</v>
      </c>
      <c r="X1445">
        <v>26</v>
      </c>
      <c r="Z1445" t="s">
        <v>39</v>
      </c>
      <c r="AB1445" t="s">
        <v>86</v>
      </c>
      <c r="AC1445" t="s">
        <v>87</v>
      </c>
    </row>
    <row r="1446" spans="1:29" x14ac:dyDescent="0.35">
      <c r="A1446" s="4">
        <v>42564</v>
      </c>
      <c r="B1446" t="s">
        <v>30</v>
      </c>
      <c r="C1446">
        <v>501</v>
      </c>
      <c r="D1446">
        <v>6</v>
      </c>
      <c r="E1446">
        <v>1</v>
      </c>
      <c r="F1446" t="s">
        <v>42</v>
      </c>
      <c r="G1446" t="s">
        <v>32</v>
      </c>
      <c r="H1446" t="s">
        <v>33</v>
      </c>
      <c r="I1446" t="s">
        <v>43</v>
      </c>
      <c r="J1446" t="s">
        <v>44</v>
      </c>
      <c r="K1446" t="s">
        <v>113</v>
      </c>
      <c r="L1446" t="s">
        <v>45</v>
      </c>
      <c r="M1446">
        <v>0</v>
      </c>
      <c r="N1446">
        <v>0</v>
      </c>
      <c r="O1446" s="5">
        <v>50729</v>
      </c>
      <c r="P1446" s="5">
        <v>50728</v>
      </c>
      <c r="Q1446">
        <v>18.5</v>
      </c>
      <c r="R1446" t="s">
        <v>46</v>
      </c>
      <c r="S1446" t="s">
        <v>39</v>
      </c>
      <c r="T1446">
        <v>18</v>
      </c>
      <c r="U1446">
        <v>92.5</v>
      </c>
      <c r="V1446">
        <v>13</v>
      </c>
      <c r="W1446">
        <v>13.2</v>
      </c>
      <c r="X1446">
        <v>27</v>
      </c>
      <c r="Z1446" t="s">
        <v>39</v>
      </c>
    </row>
    <row r="1447" spans="1:29" x14ac:dyDescent="0.35">
      <c r="A1447" s="4">
        <v>42564</v>
      </c>
      <c r="B1447" t="s">
        <v>30</v>
      </c>
      <c r="C1447">
        <v>901</v>
      </c>
      <c r="D1447">
        <v>5</v>
      </c>
      <c r="E1447">
        <v>2</v>
      </c>
      <c r="F1447" t="s">
        <v>31</v>
      </c>
      <c r="G1447" t="s">
        <v>32</v>
      </c>
      <c r="H1447" t="s">
        <v>33</v>
      </c>
      <c r="I1447" t="s">
        <v>43</v>
      </c>
      <c r="J1447" t="s">
        <v>35</v>
      </c>
      <c r="K1447" t="s">
        <v>113</v>
      </c>
      <c r="L1447" t="s">
        <v>37</v>
      </c>
      <c r="M1447">
        <v>0</v>
      </c>
      <c r="N1447">
        <v>1</v>
      </c>
      <c r="O1447" s="5">
        <v>50766</v>
      </c>
      <c r="P1447" s="5">
        <v>50765</v>
      </c>
      <c r="Q1447">
        <f>29-12</f>
        <v>17</v>
      </c>
      <c r="R1447" t="s">
        <v>38</v>
      </c>
      <c r="T1447">
        <v>19</v>
      </c>
      <c r="U1447">
        <v>80</v>
      </c>
      <c r="V1447">
        <v>17</v>
      </c>
      <c r="W1447">
        <v>12.7</v>
      </c>
      <c r="X1447">
        <v>27.1</v>
      </c>
      <c r="Z1447" t="s">
        <v>39</v>
      </c>
      <c r="AB1447" t="s">
        <v>86</v>
      </c>
      <c r="AC1447" t="s">
        <v>87</v>
      </c>
    </row>
    <row r="1448" spans="1:29" x14ac:dyDescent="0.35">
      <c r="A1448" s="4">
        <v>42564</v>
      </c>
      <c r="B1448" t="s">
        <v>30</v>
      </c>
      <c r="C1448">
        <v>901</v>
      </c>
      <c r="D1448">
        <v>1</v>
      </c>
      <c r="E1448">
        <v>2</v>
      </c>
      <c r="F1448" t="s">
        <v>31</v>
      </c>
      <c r="G1448" t="s">
        <v>32</v>
      </c>
      <c r="H1448" t="s">
        <v>33</v>
      </c>
      <c r="I1448" t="s">
        <v>43</v>
      </c>
      <c r="J1448" t="s">
        <v>35</v>
      </c>
      <c r="K1448" t="s">
        <v>36</v>
      </c>
      <c r="L1448" t="s">
        <v>37</v>
      </c>
      <c r="M1448">
        <v>0</v>
      </c>
      <c r="N1448">
        <v>1</v>
      </c>
      <c r="O1448" s="5">
        <v>50769</v>
      </c>
      <c r="P1448" s="5">
        <v>50768</v>
      </c>
      <c r="Q1448">
        <f>31.5-11</f>
        <v>20.5</v>
      </c>
      <c r="R1448" t="s">
        <v>38</v>
      </c>
      <c r="T1448">
        <v>19</v>
      </c>
      <c r="U1448">
        <v>85</v>
      </c>
      <c r="V1448">
        <v>15</v>
      </c>
      <c r="W1448">
        <v>13</v>
      </c>
      <c r="X1448">
        <v>26.1</v>
      </c>
      <c r="Z1448" t="s">
        <v>39</v>
      </c>
      <c r="AB1448" t="s">
        <v>86</v>
      </c>
      <c r="AC1448" t="s">
        <v>87</v>
      </c>
    </row>
    <row r="1449" spans="1:29" x14ac:dyDescent="0.35">
      <c r="A1449" s="4">
        <v>42564</v>
      </c>
      <c r="B1449" t="s">
        <v>30</v>
      </c>
      <c r="C1449">
        <v>801</v>
      </c>
      <c r="D1449">
        <v>10</v>
      </c>
      <c r="E1449">
        <v>1</v>
      </c>
      <c r="F1449" t="s">
        <v>31</v>
      </c>
      <c r="G1449" t="s">
        <v>32</v>
      </c>
      <c r="H1449" t="s">
        <v>33</v>
      </c>
      <c r="I1449" t="s">
        <v>43</v>
      </c>
      <c r="J1449" t="s">
        <v>35</v>
      </c>
      <c r="K1449" t="s">
        <v>36</v>
      </c>
      <c r="L1449" t="s">
        <v>37</v>
      </c>
      <c r="M1449">
        <v>0</v>
      </c>
      <c r="N1449">
        <v>1</v>
      </c>
      <c r="O1449" s="5">
        <v>50773</v>
      </c>
      <c r="P1449" s="5">
        <v>50772</v>
      </c>
      <c r="Q1449">
        <f>30.5-11</f>
        <v>19.5</v>
      </c>
      <c r="R1449" t="s">
        <v>38</v>
      </c>
      <c r="T1449">
        <v>17</v>
      </c>
      <c r="U1449">
        <v>80</v>
      </c>
      <c r="V1449">
        <v>14</v>
      </c>
      <c r="W1449">
        <v>12.7</v>
      </c>
      <c r="X1449">
        <v>26.3</v>
      </c>
      <c r="Z1449" t="s">
        <v>102</v>
      </c>
      <c r="AB1449" t="s">
        <v>86</v>
      </c>
      <c r="AC1449" t="s">
        <v>87</v>
      </c>
    </row>
    <row r="1450" spans="1:29" x14ac:dyDescent="0.35">
      <c r="A1450" s="4">
        <v>42564</v>
      </c>
      <c r="B1450" t="s">
        <v>30</v>
      </c>
      <c r="C1450">
        <v>801</v>
      </c>
      <c r="D1450">
        <v>4</v>
      </c>
      <c r="E1450">
        <v>2</v>
      </c>
      <c r="F1450" t="s">
        <v>31</v>
      </c>
      <c r="G1450" t="s">
        <v>32</v>
      </c>
      <c r="H1450" t="s">
        <v>33</v>
      </c>
      <c r="I1450" t="s">
        <v>43</v>
      </c>
      <c r="J1450" t="s">
        <v>35</v>
      </c>
      <c r="K1450" t="s">
        <v>113</v>
      </c>
      <c r="L1450" t="s">
        <v>45</v>
      </c>
      <c r="M1450">
        <v>0</v>
      </c>
      <c r="N1450">
        <v>1</v>
      </c>
      <c r="O1450" s="5">
        <v>50775</v>
      </c>
      <c r="P1450" s="5">
        <v>50774</v>
      </c>
      <c r="Q1450">
        <f>25.5-9</f>
        <v>16.5</v>
      </c>
      <c r="R1450" t="s">
        <v>61</v>
      </c>
      <c r="S1450" t="s">
        <v>39</v>
      </c>
      <c r="T1450">
        <v>21</v>
      </c>
      <c r="U1450">
        <v>73</v>
      </c>
      <c r="V1450">
        <v>15</v>
      </c>
      <c r="W1450">
        <v>12.7</v>
      </c>
      <c r="X1450">
        <v>26.7</v>
      </c>
      <c r="Z1450" t="s">
        <v>39</v>
      </c>
      <c r="AB1450" t="s">
        <v>86</v>
      </c>
      <c r="AC1450" t="s">
        <v>87</v>
      </c>
    </row>
    <row r="1451" spans="1:29" x14ac:dyDescent="0.35">
      <c r="A1451" s="4">
        <v>42564</v>
      </c>
      <c r="B1451" t="s">
        <v>30</v>
      </c>
      <c r="C1451">
        <v>901</v>
      </c>
      <c r="D1451">
        <v>2</v>
      </c>
      <c r="E1451">
        <v>2</v>
      </c>
      <c r="F1451" t="s">
        <v>31</v>
      </c>
      <c r="G1451" t="s">
        <v>32</v>
      </c>
      <c r="H1451" t="s">
        <v>33</v>
      </c>
      <c r="I1451" t="s">
        <v>43</v>
      </c>
      <c r="J1451" t="s">
        <v>44</v>
      </c>
      <c r="K1451" t="s">
        <v>36</v>
      </c>
      <c r="L1451" t="s">
        <v>45</v>
      </c>
      <c r="M1451">
        <v>0</v>
      </c>
      <c r="N1451">
        <v>0</v>
      </c>
      <c r="O1451" s="5" t="s">
        <v>99</v>
      </c>
      <c r="P1451" s="5" t="s">
        <v>171</v>
      </c>
      <c r="Q1451">
        <f>38-15</f>
        <v>23</v>
      </c>
      <c r="R1451" t="s">
        <v>145</v>
      </c>
      <c r="S1451" t="s">
        <v>102</v>
      </c>
      <c r="T1451">
        <v>19</v>
      </c>
      <c r="U1451">
        <v>86</v>
      </c>
      <c r="V1451">
        <v>15</v>
      </c>
      <c r="W1451">
        <v>13</v>
      </c>
      <c r="X1451">
        <v>26.2</v>
      </c>
      <c r="Z1451" t="s">
        <v>39</v>
      </c>
      <c r="AB1451" t="s">
        <v>86</v>
      </c>
      <c r="AC1451" t="s">
        <v>87</v>
      </c>
    </row>
    <row r="1452" spans="1:29" x14ac:dyDescent="0.35">
      <c r="A1452" s="4">
        <v>42564</v>
      </c>
      <c r="B1452" t="s">
        <v>30</v>
      </c>
      <c r="C1452">
        <v>803</v>
      </c>
      <c r="D1452">
        <v>8</v>
      </c>
      <c r="E1452">
        <v>1</v>
      </c>
      <c r="F1452" t="s">
        <v>31</v>
      </c>
      <c r="G1452" t="s">
        <v>32</v>
      </c>
      <c r="H1452" t="s">
        <v>33</v>
      </c>
      <c r="I1452" t="s">
        <v>34</v>
      </c>
      <c r="J1452" t="s">
        <v>44</v>
      </c>
      <c r="K1452" t="s">
        <v>36</v>
      </c>
      <c r="L1452" t="s">
        <v>37</v>
      </c>
      <c r="M1452">
        <v>0</v>
      </c>
      <c r="N1452">
        <v>0</v>
      </c>
      <c r="O1452" s="5">
        <v>50391</v>
      </c>
      <c r="P1452" s="5"/>
      <c r="Q1452">
        <f>143-50</f>
        <v>93</v>
      </c>
      <c r="R1452" t="s">
        <v>38</v>
      </c>
      <c r="T1452">
        <v>32</v>
      </c>
      <c r="W1452">
        <v>22</v>
      </c>
      <c r="X1452">
        <v>40.4</v>
      </c>
      <c r="Z1452" t="s">
        <v>39</v>
      </c>
      <c r="AB1452" t="s">
        <v>86</v>
      </c>
      <c r="AC1452" t="s">
        <v>87</v>
      </c>
    </row>
    <row r="1453" spans="1:29" x14ac:dyDescent="0.35">
      <c r="A1453" s="4">
        <v>42564</v>
      </c>
      <c r="B1453" t="s">
        <v>30</v>
      </c>
      <c r="C1453">
        <v>803</v>
      </c>
      <c r="D1453">
        <v>6</v>
      </c>
      <c r="E1453">
        <v>1</v>
      </c>
      <c r="F1453" t="s">
        <v>31</v>
      </c>
      <c r="G1453" t="s">
        <v>32</v>
      </c>
      <c r="H1453" t="s">
        <v>33</v>
      </c>
      <c r="I1453" t="s">
        <v>34</v>
      </c>
      <c r="J1453" t="s">
        <v>44</v>
      </c>
      <c r="K1453" t="s">
        <v>36</v>
      </c>
      <c r="L1453" t="s">
        <v>37</v>
      </c>
      <c r="M1453">
        <v>0</v>
      </c>
      <c r="N1453">
        <v>0</v>
      </c>
      <c r="O1453" s="5">
        <v>50463</v>
      </c>
      <c r="P1453" s="5"/>
      <c r="Q1453">
        <f>126-50</f>
        <v>76</v>
      </c>
      <c r="R1453" t="s">
        <v>38</v>
      </c>
      <c r="T1453">
        <v>31</v>
      </c>
      <c r="W1453">
        <v>20.3</v>
      </c>
      <c r="X1453">
        <v>41.5</v>
      </c>
      <c r="Z1453" t="s">
        <v>39</v>
      </c>
      <c r="AB1453" t="s">
        <v>86</v>
      </c>
      <c r="AC1453" t="s">
        <v>87</v>
      </c>
    </row>
    <row r="1454" spans="1:29" x14ac:dyDescent="0.35">
      <c r="A1454" s="4">
        <v>42564</v>
      </c>
      <c r="B1454" t="s">
        <v>30</v>
      </c>
      <c r="C1454">
        <v>801</v>
      </c>
      <c r="D1454">
        <v>5</v>
      </c>
      <c r="E1454">
        <v>2</v>
      </c>
      <c r="F1454" t="s">
        <v>31</v>
      </c>
      <c r="G1454" t="s">
        <v>32</v>
      </c>
      <c r="H1454" t="s">
        <v>33</v>
      </c>
      <c r="I1454" t="s">
        <v>34</v>
      </c>
      <c r="J1454" t="s">
        <v>35</v>
      </c>
      <c r="K1454" t="s">
        <v>36</v>
      </c>
      <c r="L1454" t="s">
        <v>45</v>
      </c>
      <c r="M1454">
        <v>0</v>
      </c>
      <c r="N1454">
        <v>1</v>
      </c>
      <c r="O1454" s="5">
        <v>50501</v>
      </c>
      <c r="P1454" s="5"/>
      <c r="Q1454">
        <f>132-50</f>
        <v>82</v>
      </c>
      <c r="R1454" t="s">
        <v>143</v>
      </c>
      <c r="S1454" t="s">
        <v>102</v>
      </c>
      <c r="T1454">
        <v>29</v>
      </c>
      <c r="W1454">
        <v>21.1</v>
      </c>
      <c r="X1454">
        <v>41.5</v>
      </c>
      <c r="Z1454" t="s">
        <v>39</v>
      </c>
      <c r="AB1454" t="s">
        <v>86</v>
      </c>
      <c r="AC1454" t="s">
        <v>87</v>
      </c>
    </row>
    <row r="1455" spans="1:29" x14ac:dyDescent="0.35">
      <c r="A1455" s="4">
        <v>42564</v>
      </c>
      <c r="B1455" t="s">
        <v>30</v>
      </c>
      <c r="C1455">
        <v>801</v>
      </c>
      <c r="D1455">
        <v>8</v>
      </c>
      <c r="E1455">
        <v>2</v>
      </c>
      <c r="F1455" t="s">
        <v>31</v>
      </c>
      <c r="G1455" t="s">
        <v>32</v>
      </c>
      <c r="H1455" t="s">
        <v>33</v>
      </c>
      <c r="I1455" t="s">
        <v>34</v>
      </c>
      <c r="J1455" t="s">
        <v>44</v>
      </c>
      <c r="K1455" t="s">
        <v>36</v>
      </c>
      <c r="L1455" t="s">
        <v>37</v>
      </c>
      <c r="M1455">
        <v>0</v>
      </c>
      <c r="N1455">
        <v>0</v>
      </c>
      <c r="O1455" s="5">
        <v>50695</v>
      </c>
      <c r="P1455" s="5"/>
      <c r="Q1455">
        <f>136-48</f>
        <v>88</v>
      </c>
      <c r="R1455" t="s">
        <v>38</v>
      </c>
      <c r="T1455">
        <v>30</v>
      </c>
      <c r="Z1455" t="s">
        <v>39</v>
      </c>
      <c r="AB1455" t="s">
        <v>86</v>
      </c>
      <c r="AC1455" t="s">
        <v>87</v>
      </c>
    </row>
    <row r="1456" spans="1:29" x14ac:dyDescent="0.35">
      <c r="A1456" s="4">
        <v>42564</v>
      </c>
      <c r="B1456" t="s">
        <v>30</v>
      </c>
      <c r="C1456">
        <v>501</v>
      </c>
      <c r="D1456">
        <v>1</v>
      </c>
      <c r="E1456">
        <v>1</v>
      </c>
      <c r="F1456" t="s">
        <v>42</v>
      </c>
      <c r="G1456" t="s">
        <v>32</v>
      </c>
      <c r="H1456" t="s">
        <v>33</v>
      </c>
      <c r="I1456" t="s">
        <v>34</v>
      </c>
      <c r="J1456" t="s">
        <v>35</v>
      </c>
      <c r="K1456" t="s">
        <v>88</v>
      </c>
      <c r="L1456" t="s">
        <v>45</v>
      </c>
      <c r="M1456">
        <v>0</v>
      </c>
      <c r="N1456">
        <v>1</v>
      </c>
      <c r="O1456" s="5">
        <v>50734</v>
      </c>
      <c r="P1456" s="5"/>
      <c r="Q1456">
        <f>145-95</f>
        <v>50</v>
      </c>
      <c r="R1456" t="s">
        <v>46</v>
      </c>
      <c r="S1456" t="s">
        <v>39</v>
      </c>
      <c r="T1456">
        <v>28</v>
      </c>
      <c r="W1456">
        <v>19.899999999999999</v>
      </c>
      <c r="X1456">
        <v>38.9</v>
      </c>
      <c r="Z1456" t="s">
        <v>39</v>
      </c>
    </row>
    <row r="1457" spans="1:30" x14ac:dyDescent="0.35">
      <c r="A1457" s="4">
        <v>42564</v>
      </c>
      <c r="B1457" t="s">
        <v>30</v>
      </c>
      <c r="C1457">
        <v>501</v>
      </c>
      <c r="D1457">
        <v>3</v>
      </c>
      <c r="E1457">
        <v>1</v>
      </c>
      <c r="F1457" t="s">
        <v>42</v>
      </c>
      <c r="G1457" t="s">
        <v>32</v>
      </c>
      <c r="H1457" t="s">
        <v>33</v>
      </c>
      <c r="I1457" t="s">
        <v>34</v>
      </c>
      <c r="J1457" t="s">
        <v>35</v>
      </c>
      <c r="K1457" t="s">
        <v>88</v>
      </c>
      <c r="L1457" t="s">
        <v>45</v>
      </c>
      <c r="M1457">
        <v>0</v>
      </c>
      <c r="N1457">
        <v>1</v>
      </c>
      <c r="O1457" s="5">
        <v>50735</v>
      </c>
      <c r="P1457" s="5"/>
      <c r="Q1457">
        <f>150-95</f>
        <v>55</v>
      </c>
      <c r="R1457" t="s">
        <v>46</v>
      </c>
      <c r="S1457" t="s">
        <v>39</v>
      </c>
      <c r="T1457">
        <v>29</v>
      </c>
      <c r="W1457">
        <v>20</v>
      </c>
      <c r="X1457">
        <v>41.6</v>
      </c>
      <c r="Z1457" t="s">
        <v>39</v>
      </c>
    </row>
    <row r="1458" spans="1:30" x14ac:dyDescent="0.35">
      <c r="A1458" s="4">
        <v>42564</v>
      </c>
      <c r="B1458" t="s">
        <v>30</v>
      </c>
      <c r="C1458">
        <v>503</v>
      </c>
      <c r="D1458">
        <v>6</v>
      </c>
      <c r="E1458">
        <v>2</v>
      </c>
      <c r="F1458" t="s">
        <v>42</v>
      </c>
      <c r="G1458" t="s">
        <v>32</v>
      </c>
      <c r="H1458" t="s">
        <v>33</v>
      </c>
      <c r="I1458" t="s">
        <v>34</v>
      </c>
      <c r="J1458" t="s">
        <v>35</v>
      </c>
      <c r="K1458" t="s">
        <v>88</v>
      </c>
      <c r="L1458" t="s">
        <v>37</v>
      </c>
      <c r="M1458">
        <v>0</v>
      </c>
      <c r="N1458">
        <v>1</v>
      </c>
      <c r="O1458" s="5">
        <v>50737</v>
      </c>
      <c r="P1458" s="5"/>
      <c r="Q1458">
        <f>165-95</f>
        <v>70</v>
      </c>
      <c r="R1458" t="s">
        <v>64</v>
      </c>
      <c r="T1458">
        <v>31</v>
      </c>
      <c r="W1458">
        <v>20.75</v>
      </c>
      <c r="X1458">
        <v>39.5</v>
      </c>
      <c r="Z1458" t="s">
        <v>39</v>
      </c>
    </row>
    <row r="1459" spans="1:30" x14ac:dyDescent="0.35">
      <c r="A1459" s="4">
        <v>42564</v>
      </c>
      <c r="B1459" t="s">
        <v>30</v>
      </c>
      <c r="C1459">
        <v>901</v>
      </c>
      <c r="D1459">
        <v>5</v>
      </c>
      <c r="E1459">
        <v>1</v>
      </c>
      <c r="F1459" t="s">
        <v>31</v>
      </c>
      <c r="G1459" t="s">
        <v>32</v>
      </c>
      <c r="H1459" t="s">
        <v>33</v>
      </c>
      <c r="I1459" t="s">
        <v>34</v>
      </c>
      <c r="J1459" t="s">
        <v>35</v>
      </c>
      <c r="K1459" t="s">
        <v>36</v>
      </c>
      <c r="L1459" t="s">
        <v>37</v>
      </c>
      <c r="M1459">
        <v>0</v>
      </c>
      <c r="N1459">
        <v>1</v>
      </c>
      <c r="O1459" s="5">
        <v>50767</v>
      </c>
      <c r="P1459" s="5"/>
      <c r="Q1459">
        <f>140-50</f>
        <v>90</v>
      </c>
      <c r="R1459" t="s">
        <v>38</v>
      </c>
      <c r="T1459">
        <v>28</v>
      </c>
      <c r="W1459">
        <v>22.1</v>
      </c>
      <c r="X1459">
        <v>41.3</v>
      </c>
      <c r="Z1459" t="s">
        <v>39</v>
      </c>
      <c r="AB1459" t="s">
        <v>86</v>
      </c>
      <c r="AC1459" t="s">
        <v>87</v>
      </c>
    </row>
    <row r="1460" spans="1:30" x14ac:dyDescent="0.35">
      <c r="A1460" s="4">
        <v>42564</v>
      </c>
      <c r="B1460" t="s">
        <v>30</v>
      </c>
      <c r="C1460">
        <v>803</v>
      </c>
      <c r="D1460">
        <v>1</v>
      </c>
      <c r="E1460">
        <v>2</v>
      </c>
      <c r="F1460" t="s">
        <v>31</v>
      </c>
      <c r="G1460" t="s">
        <v>32</v>
      </c>
      <c r="H1460" t="s">
        <v>33</v>
      </c>
      <c r="I1460" t="s">
        <v>34</v>
      </c>
      <c r="J1460" t="s">
        <v>35</v>
      </c>
      <c r="K1460" t="s">
        <v>113</v>
      </c>
      <c r="L1460" t="s">
        <v>45</v>
      </c>
      <c r="M1460">
        <v>0</v>
      </c>
      <c r="N1460">
        <v>1</v>
      </c>
      <c r="O1460" s="5">
        <v>50770</v>
      </c>
      <c r="P1460" s="5"/>
      <c r="Q1460">
        <f>104-50</f>
        <v>54</v>
      </c>
      <c r="R1460" t="s">
        <v>46</v>
      </c>
      <c r="S1460" t="s">
        <v>39</v>
      </c>
      <c r="T1460">
        <v>28</v>
      </c>
      <c r="Z1460" t="s">
        <v>39</v>
      </c>
      <c r="AB1460" t="s">
        <v>86</v>
      </c>
      <c r="AC1460" t="s">
        <v>87</v>
      </c>
    </row>
    <row r="1461" spans="1:30" x14ac:dyDescent="0.35">
      <c r="A1461" s="4">
        <v>42564</v>
      </c>
      <c r="B1461" t="s">
        <v>30</v>
      </c>
      <c r="C1461">
        <v>501</v>
      </c>
      <c r="D1461">
        <v>9</v>
      </c>
      <c r="E1461">
        <v>1</v>
      </c>
      <c r="F1461" t="s">
        <v>42</v>
      </c>
      <c r="G1461" t="s">
        <v>32</v>
      </c>
      <c r="H1461" t="s">
        <v>33</v>
      </c>
      <c r="I1461" t="s">
        <v>34</v>
      </c>
      <c r="J1461" t="s">
        <v>44</v>
      </c>
      <c r="K1461" t="s">
        <v>36</v>
      </c>
      <c r="L1461" t="s">
        <v>45</v>
      </c>
      <c r="M1461">
        <v>0</v>
      </c>
      <c r="N1461">
        <v>0</v>
      </c>
      <c r="O1461" s="5"/>
      <c r="P1461" s="5">
        <v>50337</v>
      </c>
      <c r="Q1461">
        <f>175-90</f>
        <v>85</v>
      </c>
      <c r="R1461" t="s">
        <v>74</v>
      </c>
      <c r="S1461" t="s">
        <v>102</v>
      </c>
      <c r="T1461">
        <v>29</v>
      </c>
      <c r="W1461">
        <v>12.3</v>
      </c>
      <c r="X1461">
        <v>43.8</v>
      </c>
      <c r="Z1461" t="s">
        <v>39</v>
      </c>
    </row>
    <row r="1462" spans="1:30" x14ac:dyDescent="0.35">
      <c r="A1462" s="4">
        <v>42564</v>
      </c>
      <c r="B1462" t="s">
        <v>30</v>
      </c>
      <c r="C1462">
        <v>701</v>
      </c>
      <c r="D1462">
        <v>3</v>
      </c>
      <c r="E1462">
        <v>2</v>
      </c>
      <c r="F1462" t="s">
        <v>31</v>
      </c>
      <c r="G1462" t="s">
        <v>32</v>
      </c>
      <c r="H1462" t="s">
        <v>33</v>
      </c>
      <c r="I1462" t="s">
        <v>34</v>
      </c>
      <c r="J1462" t="s">
        <v>44</v>
      </c>
      <c r="K1462" t="s">
        <v>36</v>
      </c>
      <c r="L1462" t="s">
        <v>45</v>
      </c>
      <c r="M1462">
        <v>0</v>
      </c>
      <c r="N1462">
        <v>0</v>
      </c>
      <c r="O1462" s="5"/>
      <c r="P1462" s="5" t="s">
        <v>93</v>
      </c>
      <c r="Q1462">
        <f>138-49</f>
        <v>89</v>
      </c>
      <c r="R1462" t="s">
        <v>161</v>
      </c>
      <c r="S1462" t="s">
        <v>102</v>
      </c>
      <c r="T1462">
        <v>31</v>
      </c>
      <c r="W1462">
        <v>23</v>
      </c>
      <c r="X1462">
        <v>41.3</v>
      </c>
      <c r="Z1462" t="s">
        <v>39</v>
      </c>
      <c r="AB1462" t="s">
        <v>86</v>
      </c>
      <c r="AC1462" t="s">
        <v>87</v>
      </c>
    </row>
    <row r="1463" spans="1:30" x14ac:dyDescent="0.35">
      <c r="A1463" s="4">
        <v>42564</v>
      </c>
      <c r="B1463" t="s">
        <v>30</v>
      </c>
      <c r="C1463">
        <v>801</v>
      </c>
      <c r="D1463">
        <v>7</v>
      </c>
      <c r="E1463">
        <v>2</v>
      </c>
      <c r="F1463" t="s">
        <v>31</v>
      </c>
      <c r="G1463" t="s">
        <v>32</v>
      </c>
      <c r="H1463" t="s">
        <v>33</v>
      </c>
      <c r="I1463" t="s">
        <v>34</v>
      </c>
      <c r="J1463" t="s">
        <v>44</v>
      </c>
      <c r="K1463" t="s">
        <v>36</v>
      </c>
      <c r="L1463" t="s">
        <v>37</v>
      </c>
      <c r="M1463">
        <v>0</v>
      </c>
      <c r="N1463">
        <v>0</v>
      </c>
      <c r="O1463" s="5"/>
      <c r="P1463" s="5">
        <v>50392</v>
      </c>
      <c r="Q1463">
        <f>140-50</f>
        <v>90</v>
      </c>
      <c r="R1463" t="s">
        <v>38</v>
      </c>
      <c r="T1463">
        <v>29</v>
      </c>
      <c r="W1463">
        <v>22.5</v>
      </c>
      <c r="X1463">
        <v>40.9</v>
      </c>
      <c r="Z1463" t="s">
        <v>39</v>
      </c>
      <c r="AB1463" t="s">
        <v>86</v>
      </c>
      <c r="AC1463" t="s">
        <v>87</v>
      </c>
    </row>
    <row r="1464" spans="1:30" x14ac:dyDescent="0.35">
      <c r="A1464" s="4">
        <v>42564</v>
      </c>
      <c r="B1464" t="s">
        <v>30</v>
      </c>
      <c r="C1464">
        <v>303</v>
      </c>
      <c r="D1464">
        <v>6</v>
      </c>
      <c r="E1464">
        <v>2</v>
      </c>
      <c r="F1464" t="s">
        <v>42</v>
      </c>
      <c r="G1464" t="s">
        <v>32</v>
      </c>
      <c r="H1464" t="s">
        <v>33</v>
      </c>
      <c r="I1464" t="s">
        <v>58</v>
      </c>
      <c r="J1464" t="s">
        <v>44</v>
      </c>
      <c r="K1464" t="s">
        <v>36</v>
      </c>
      <c r="L1464" t="s">
        <v>37</v>
      </c>
      <c r="M1464">
        <v>0</v>
      </c>
      <c r="N1464">
        <v>0</v>
      </c>
      <c r="O1464" s="5">
        <v>50137</v>
      </c>
      <c r="P1464" s="5"/>
      <c r="Q1464">
        <f>34-11</f>
        <v>23</v>
      </c>
      <c r="R1464" t="s">
        <v>38</v>
      </c>
      <c r="T1464">
        <v>17</v>
      </c>
      <c r="Z1464" t="s">
        <v>102</v>
      </c>
    </row>
    <row r="1465" spans="1:30" x14ac:dyDescent="0.35">
      <c r="A1465" s="4">
        <v>42564</v>
      </c>
      <c r="B1465" t="s">
        <v>30</v>
      </c>
      <c r="C1465">
        <v>303</v>
      </c>
      <c r="D1465">
        <v>10</v>
      </c>
      <c r="E1465">
        <v>2</v>
      </c>
      <c r="F1465" t="s">
        <v>42</v>
      </c>
      <c r="G1465" t="s">
        <v>32</v>
      </c>
      <c r="H1465" t="s">
        <v>33</v>
      </c>
      <c r="I1465" t="s">
        <v>58</v>
      </c>
      <c r="J1465" t="s">
        <v>44</v>
      </c>
      <c r="K1465" t="s">
        <v>36</v>
      </c>
      <c r="L1465" t="s">
        <v>37</v>
      </c>
      <c r="M1465">
        <v>0</v>
      </c>
      <c r="N1465">
        <v>0</v>
      </c>
      <c r="O1465" s="5">
        <v>50439</v>
      </c>
      <c r="P1465" s="5"/>
      <c r="Q1465">
        <v>21</v>
      </c>
      <c r="R1465" t="s">
        <v>38</v>
      </c>
      <c r="T1465">
        <v>18</v>
      </c>
      <c r="W1465">
        <v>13.5</v>
      </c>
      <c r="X1465">
        <v>27.7</v>
      </c>
      <c r="Z1465" t="s">
        <v>39</v>
      </c>
    </row>
    <row r="1466" spans="1:30" x14ac:dyDescent="0.35">
      <c r="A1466" s="4">
        <v>42564</v>
      </c>
      <c r="B1466" t="s">
        <v>30</v>
      </c>
      <c r="C1466">
        <v>701</v>
      </c>
      <c r="D1466">
        <v>4</v>
      </c>
      <c r="E1466">
        <v>2</v>
      </c>
      <c r="F1466" t="s">
        <v>31</v>
      </c>
      <c r="G1466" t="s">
        <v>32</v>
      </c>
      <c r="H1466" t="s">
        <v>33</v>
      </c>
      <c r="I1466" t="s">
        <v>58</v>
      </c>
      <c r="J1466" t="s">
        <v>127</v>
      </c>
      <c r="K1466" t="s">
        <v>36</v>
      </c>
      <c r="L1466" t="s">
        <v>37</v>
      </c>
      <c r="M1466">
        <v>0</v>
      </c>
      <c r="N1466">
        <v>1</v>
      </c>
      <c r="O1466" s="5">
        <v>50504</v>
      </c>
      <c r="P1466" s="5"/>
      <c r="R1466" t="s">
        <v>38</v>
      </c>
      <c r="T1466">
        <v>17</v>
      </c>
      <c r="W1466">
        <v>12.3</v>
      </c>
      <c r="X1466">
        <v>27.3</v>
      </c>
      <c r="Z1466" t="s">
        <v>102</v>
      </c>
      <c r="AA1466" t="s">
        <v>205</v>
      </c>
      <c r="AB1466" t="s">
        <v>86</v>
      </c>
      <c r="AC1466" t="s">
        <v>87</v>
      </c>
      <c r="AD1466" t="s">
        <v>206</v>
      </c>
    </row>
    <row r="1467" spans="1:30" x14ac:dyDescent="0.35">
      <c r="A1467" s="4">
        <v>42564</v>
      </c>
      <c r="B1467" t="s">
        <v>30</v>
      </c>
      <c r="C1467">
        <v>703</v>
      </c>
      <c r="D1467">
        <v>6</v>
      </c>
      <c r="E1467">
        <v>1</v>
      </c>
      <c r="F1467" t="s">
        <v>31</v>
      </c>
      <c r="G1467" t="s">
        <v>32</v>
      </c>
      <c r="H1467" t="s">
        <v>33</v>
      </c>
      <c r="I1467" t="s">
        <v>58</v>
      </c>
      <c r="J1467" t="s">
        <v>35</v>
      </c>
      <c r="K1467" t="s">
        <v>88</v>
      </c>
      <c r="L1467" t="s">
        <v>45</v>
      </c>
      <c r="M1467">
        <v>0</v>
      </c>
      <c r="N1467">
        <v>1</v>
      </c>
      <c r="O1467" s="5">
        <v>50509</v>
      </c>
      <c r="P1467" s="5"/>
      <c r="Q1467">
        <f>23-9</f>
        <v>14</v>
      </c>
      <c r="R1467" t="s">
        <v>46</v>
      </c>
      <c r="S1467" t="s">
        <v>39</v>
      </c>
      <c r="T1467">
        <v>16.5</v>
      </c>
      <c r="W1467">
        <v>11.9</v>
      </c>
      <c r="X1467">
        <v>12.2</v>
      </c>
      <c r="Z1467" t="s">
        <v>102</v>
      </c>
      <c r="AA1467" t="s">
        <v>201</v>
      </c>
      <c r="AB1467" t="s">
        <v>86</v>
      </c>
      <c r="AC1467" t="s">
        <v>87</v>
      </c>
      <c r="AD1467" t="s">
        <v>207</v>
      </c>
    </row>
    <row r="1468" spans="1:30" x14ac:dyDescent="0.35">
      <c r="A1468" s="4">
        <v>42564</v>
      </c>
      <c r="B1468" t="s">
        <v>30</v>
      </c>
      <c r="C1468">
        <v>801</v>
      </c>
      <c r="D1468">
        <v>3</v>
      </c>
      <c r="E1468">
        <v>2</v>
      </c>
      <c r="F1468" t="s">
        <v>31</v>
      </c>
      <c r="G1468" t="s">
        <v>32</v>
      </c>
      <c r="H1468" t="s">
        <v>33</v>
      </c>
      <c r="I1468" t="s">
        <v>58</v>
      </c>
      <c r="J1468" t="s">
        <v>44</v>
      </c>
      <c r="K1468" t="s">
        <v>36</v>
      </c>
      <c r="L1468" t="s">
        <v>45</v>
      </c>
      <c r="M1468">
        <v>0</v>
      </c>
      <c r="N1468">
        <v>0</v>
      </c>
      <c r="O1468" s="5">
        <v>50513</v>
      </c>
      <c r="P1468" s="5"/>
      <c r="Q1468">
        <f>31-9</f>
        <v>22</v>
      </c>
      <c r="R1468" t="s">
        <v>145</v>
      </c>
      <c r="S1468" t="s">
        <v>102</v>
      </c>
      <c r="T1468">
        <v>17</v>
      </c>
      <c r="W1468">
        <v>12.2</v>
      </c>
      <c r="X1468">
        <v>27.4</v>
      </c>
      <c r="Z1468" t="s">
        <v>39</v>
      </c>
      <c r="AB1468" t="s">
        <v>86</v>
      </c>
      <c r="AC1468" t="s">
        <v>87</v>
      </c>
    </row>
    <row r="1469" spans="1:30" x14ac:dyDescent="0.35">
      <c r="A1469" s="4">
        <v>42564</v>
      </c>
      <c r="B1469" t="s">
        <v>30</v>
      </c>
      <c r="C1469">
        <v>801</v>
      </c>
      <c r="D1469">
        <v>2</v>
      </c>
      <c r="E1469">
        <v>1</v>
      </c>
      <c r="F1469" t="s">
        <v>31</v>
      </c>
      <c r="G1469" t="s">
        <v>32</v>
      </c>
      <c r="H1469" t="s">
        <v>33</v>
      </c>
      <c r="I1469" t="s">
        <v>58</v>
      </c>
      <c r="J1469" t="s">
        <v>44</v>
      </c>
      <c r="K1469" t="s">
        <v>36</v>
      </c>
      <c r="L1469" t="s">
        <v>37</v>
      </c>
      <c r="M1469">
        <v>0</v>
      </c>
      <c r="N1469">
        <v>0</v>
      </c>
      <c r="O1469" s="5">
        <v>50514</v>
      </c>
      <c r="P1469" s="5"/>
      <c r="Q1469">
        <f>28-11</f>
        <v>17</v>
      </c>
      <c r="T1469">
        <v>17</v>
      </c>
      <c r="W1469">
        <v>11.1</v>
      </c>
      <c r="Z1469" t="s">
        <v>39</v>
      </c>
      <c r="AB1469" t="s">
        <v>86</v>
      </c>
      <c r="AC1469" t="s">
        <v>87</v>
      </c>
    </row>
    <row r="1470" spans="1:30" x14ac:dyDescent="0.35">
      <c r="A1470" s="4">
        <v>42564</v>
      </c>
      <c r="B1470" t="s">
        <v>30</v>
      </c>
      <c r="C1470">
        <v>701</v>
      </c>
      <c r="D1470">
        <v>2</v>
      </c>
      <c r="E1470">
        <v>2</v>
      </c>
      <c r="F1470" t="s">
        <v>31</v>
      </c>
      <c r="G1470" t="s">
        <v>32</v>
      </c>
      <c r="H1470" t="s">
        <v>33</v>
      </c>
      <c r="I1470" t="s">
        <v>58</v>
      </c>
      <c r="J1470" t="s">
        <v>44</v>
      </c>
      <c r="K1470" t="s">
        <v>36</v>
      </c>
      <c r="L1470" t="s">
        <v>37</v>
      </c>
      <c r="M1470">
        <v>0</v>
      </c>
      <c r="N1470">
        <v>0</v>
      </c>
      <c r="O1470" s="5">
        <v>50515</v>
      </c>
      <c r="P1470" s="5"/>
      <c r="Q1470">
        <v>21</v>
      </c>
      <c r="R1470" t="s">
        <v>38</v>
      </c>
      <c r="T1470">
        <v>17.5</v>
      </c>
      <c r="W1470">
        <v>12.8</v>
      </c>
      <c r="X1470">
        <v>27.4</v>
      </c>
      <c r="Z1470" t="s">
        <v>102</v>
      </c>
      <c r="AA1470" t="s">
        <v>208</v>
      </c>
      <c r="AB1470" t="s">
        <v>86</v>
      </c>
      <c r="AC1470" t="s">
        <v>87</v>
      </c>
    </row>
    <row r="1471" spans="1:30" x14ac:dyDescent="0.35">
      <c r="A1471" s="4">
        <v>42564</v>
      </c>
      <c r="B1471" t="s">
        <v>30</v>
      </c>
      <c r="C1471">
        <v>503</v>
      </c>
      <c r="D1471">
        <v>1</v>
      </c>
      <c r="E1471">
        <v>2</v>
      </c>
      <c r="F1471" t="s">
        <v>42</v>
      </c>
      <c r="G1471" t="s">
        <v>32</v>
      </c>
      <c r="H1471" t="s">
        <v>33</v>
      </c>
      <c r="I1471" t="s">
        <v>58</v>
      </c>
      <c r="J1471" t="s">
        <v>44</v>
      </c>
      <c r="K1471" t="s">
        <v>36</v>
      </c>
      <c r="L1471" t="s">
        <v>37</v>
      </c>
      <c r="M1471">
        <v>0</v>
      </c>
      <c r="N1471">
        <v>0</v>
      </c>
      <c r="O1471" s="5">
        <v>50579</v>
      </c>
      <c r="P1471" s="5"/>
      <c r="Q1471">
        <v>29</v>
      </c>
      <c r="R1471" t="s">
        <v>38</v>
      </c>
      <c r="Z1471" t="s">
        <v>39</v>
      </c>
    </row>
    <row r="1472" spans="1:30" x14ac:dyDescent="0.35">
      <c r="A1472" s="4">
        <v>42564</v>
      </c>
      <c r="B1472" t="s">
        <v>30</v>
      </c>
      <c r="C1472">
        <v>703</v>
      </c>
      <c r="D1472">
        <v>7</v>
      </c>
      <c r="E1472">
        <v>1</v>
      </c>
      <c r="F1472" t="s">
        <v>31</v>
      </c>
      <c r="G1472" t="s">
        <v>32</v>
      </c>
      <c r="H1472" t="s">
        <v>33</v>
      </c>
      <c r="I1472" t="s">
        <v>58</v>
      </c>
      <c r="J1472" t="s">
        <v>44</v>
      </c>
      <c r="K1472" t="s">
        <v>36</v>
      </c>
      <c r="L1472" t="s">
        <v>37</v>
      </c>
      <c r="M1472">
        <v>0</v>
      </c>
      <c r="N1472">
        <v>0</v>
      </c>
      <c r="O1472" s="5">
        <v>50618</v>
      </c>
      <c r="P1472" s="5"/>
      <c r="Q1472">
        <f>31-9.5</f>
        <v>21.5</v>
      </c>
      <c r="R1472" t="s">
        <v>38</v>
      </c>
      <c r="T1472">
        <v>16</v>
      </c>
      <c r="W1472">
        <v>12.2</v>
      </c>
      <c r="X1472">
        <v>27.6</v>
      </c>
      <c r="Z1472" t="s">
        <v>102</v>
      </c>
      <c r="AA1472" t="s">
        <v>209</v>
      </c>
      <c r="AB1472" t="s">
        <v>86</v>
      </c>
      <c r="AC1472" t="s">
        <v>87</v>
      </c>
    </row>
    <row r="1473" spans="1:30" x14ac:dyDescent="0.35">
      <c r="A1473" s="4">
        <v>42564</v>
      </c>
      <c r="B1473" t="s">
        <v>30</v>
      </c>
      <c r="C1473">
        <v>303</v>
      </c>
      <c r="D1473">
        <v>9</v>
      </c>
      <c r="E1473">
        <v>1</v>
      </c>
      <c r="F1473" t="s">
        <v>42</v>
      </c>
      <c r="G1473" t="s">
        <v>32</v>
      </c>
      <c r="H1473" t="s">
        <v>33</v>
      </c>
      <c r="I1473" t="s">
        <v>58</v>
      </c>
      <c r="J1473" t="s">
        <v>44</v>
      </c>
      <c r="K1473" t="s">
        <v>36</v>
      </c>
      <c r="L1473" t="s">
        <v>37</v>
      </c>
      <c r="M1473">
        <v>0</v>
      </c>
      <c r="N1473">
        <v>0</v>
      </c>
      <c r="O1473" s="5">
        <v>50732</v>
      </c>
      <c r="P1473" s="5"/>
      <c r="Q1473">
        <f>38.5-13.5</f>
        <v>25</v>
      </c>
      <c r="R1473" t="s">
        <v>38</v>
      </c>
      <c r="T1473">
        <v>18</v>
      </c>
      <c r="W1473">
        <v>13.8</v>
      </c>
      <c r="X1473">
        <v>27.3</v>
      </c>
      <c r="Z1473" t="s">
        <v>102</v>
      </c>
      <c r="AA1473" t="s">
        <v>210</v>
      </c>
      <c r="AD1473" t="s">
        <v>211</v>
      </c>
    </row>
    <row r="1474" spans="1:30" x14ac:dyDescent="0.35">
      <c r="A1474" s="4">
        <v>42564</v>
      </c>
      <c r="B1474" t="s">
        <v>30</v>
      </c>
      <c r="C1474">
        <v>503</v>
      </c>
      <c r="D1474">
        <v>10</v>
      </c>
      <c r="E1474">
        <v>1</v>
      </c>
      <c r="F1474" t="s">
        <v>42</v>
      </c>
      <c r="G1474" t="s">
        <v>32</v>
      </c>
      <c r="H1474" t="s">
        <v>33</v>
      </c>
      <c r="I1474" t="s">
        <v>58</v>
      </c>
      <c r="J1474" t="s">
        <v>35</v>
      </c>
      <c r="K1474" t="s">
        <v>36</v>
      </c>
      <c r="L1474" t="s">
        <v>45</v>
      </c>
      <c r="M1474">
        <v>0</v>
      </c>
      <c r="N1474">
        <v>1</v>
      </c>
      <c r="O1474" s="5">
        <v>50736</v>
      </c>
      <c r="P1474" s="5"/>
      <c r="Q1474">
        <f>33.5-9.5</f>
        <v>24</v>
      </c>
      <c r="R1474" t="s">
        <v>79</v>
      </c>
      <c r="S1474" t="s">
        <v>39</v>
      </c>
      <c r="T1474">
        <v>19</v>
      </c>
      <c r="Z1474" t="s">
        <v>39</v>
      </c>
    </row>
    <row r="1475" spans="1:30" x14ac:dyDescent="0.35">
      <c r="A1475" s="4">
        <v>42564</v>
      </c>
      <c r="B1475" t="s">
        <v>30</v>
      </c>
      <c r="C1475">
        <v>303</v>
      </c>
      <c r="D1475">
        <v>6</v>
      </c>
      <c r="E1475">
        <v>1</v>
      </c>
      <c r="F1475" t="s">
        <v>42</v>
      </c>
      <c r="G1475" t="s">
        <v>32</v>
      </c>
      <c r="H1475" t="s">
        <v>33</v>
      </c>
      <c r="I1475" t="s">
        <v>58</v>
      </c>
      <c r="J1475" t="s">
        <v>35</v>
      </c>
      <c r="K1475" t="s">
        <v>36</v>
      </c>
      <c r="L1475" t="s">
        <v>45</v>
      </c>
      <c r="M1475">
        <v>0</v>
      </c>
      <c r="N1475">
        <v>1</v>
      </c>
      <c r="O1475" s="5">
        <v>50738</v>
      </c>
      <c r="P1475" s="5"/>
      <c r="Q1475">
        <f>28-10.5</f>
        <v>17.5</v>
      </c>
      <c r="R1475" t="s">
        <v>79</v>
      </c>
      <c r="S1475" t="s">
        <v>39</v>
      </c>
      <c r="T1475">
        <v>16</v>
      </c>
      <c r="W1475">
        <v>12.6</v>
      </c>
      <c r="X1475">
        <v>27.9</v>
      </c>
      <c r="Z1475" t="s">
        <v>102</v>
      </c>
      <c r="AA1475" t="s">
        <v>212</v>
      </c>
    </row>
    <row r="1476" spans="1:30" x14ac:dyDescent="0.35">
      <c r="A1476" s="4">
        <v>42564</v>
      </c>
      <c r="B1476" t="s">
        <v>30</v>
      </c>
      <c r="C1476">
        <v>701</v>
      </c>
      <c r="D1476">
        <v>1</v>
      </c>
      <c r="E1476">
        <v>2</v>
      </c>
      <c r="F1476" t="s">
        <v>31</v>
      </c>
      <c r="G1476" t="s">
        <v>32</v>
      </c>
      <c r="H1476" t="s">
        <v>33</v>
      </c>
      <c r="I1476" t="s">
        <v>58</v>
      </c>
      <c r="J1476" t="s">
        <v>122</v>
      </c>
      <c r="O1476" s="5"/>
      <c r="P1476" s="5"/>
    </row>
    <row r="1477" spans="1:30" x14ac:dyDescent="0.35">
      <c r="A1477" s="4">
        <v>42564</v>
      </c>
      <c r="B1477" t="s">
        <v>30</v>
      </c>
      <c r="C1477">
        <v>801</v>
      </c>
      <c r="D1477">
        <v>5</v>
      </c>
      <c r="E1477">
        <v>1</v>
      </c>
      <c r="F1477" t="s">
        <v>31</v>
      </c>
      <c r="G1477" t="s">
        <v>32</v>
      </c>
      <c r="H1477" t="s">
        <v>33</v>
      </c>
      <c r="I1477" t="s">
        <v>58</v>
      </c>
      <c r="J1477" t="s">
        <v>122</v>
      </c>
      <c r="K1477" t="s">
        <v>36</v>
      </c>
      <c r="O1477" s="5"/>
      <c r="P1477" s="5"/>
    </row>
    <row r="1478" spans="1:30" x14ac:dyDescent="0.35">
      <c r="A1478" s="4">
        <v>42564</v>
      </c>
      <c r="B1478" t="s">
        <v>30</v>
      </c>
      <c r="C1478">
        <v>401</v>
      </c>
      <c r="D1478">
        <v>10</v>
      </c>
      <c r="E1478">
        <v>1</v>
      </c>
      <c r="F1478" t="s">
        <v>42</v>
      </c>
      <c r="G1478" t="s">
        <v>32</v>
      </c>
      <c r="H1478" t="s">
        <v>33</v>
      </c>
      <c r="I1478" t="s">
        <v>65</v>
      </c>
      <c r="J1478" t="s">
        <v>35</v>
      </c>
      <c r="K1478" t="s">
        <v>36</v>
      </c>
      <c r="L1478" t="s">
        <v>45</v>
      </c>
      <c r="M1478">
        <v>0</v>
      </c>
      <c r="N1478">
        <v>0</v>
      </c>
      <c r="O1478" s="5">
        <v>50739</v>
      </c>
      <c r="P1478" s="5"/>
      <c r="Q1478">
        <f>220-95</f>
        <v>125</v>
      </c>
      <c r="R1478" t="s">
        <v>46</v>
      </c>
      <c r="S1478" t="s">
        <v>39</v>
      </c>
      <c r="T1478">
        <v>44</v>
      </c>
      <c r="W1478">
        <v>24.7</v>
      </c>
      <c r="X1478">
        <v>46</v>
      </c>
      <c r="Y1478" t="s">
        <v>213</v>
      </c>
      <c r="Z1478" t="s">
        <v>39</v>
      </c>
    </row>
    <row r="1479" spans="1:30" x14ac:dyDescent="0.35">
      <c r="A1479" s="4">
        <v>42564</v>
      </c>
      <c r="B1479" t="s">
        <v>30</v>
      </c>
      <c r="C1479">
        <v>503</v>
      </c>
      <c r="D1479">
        <v>2</v>
      </c>
      <c r="E1479">
        <v>1</v>
      </c>
      <c r="F1479" t="s">
        <v>42</v>
      </c>
      <c r="G1479" t="s">
        <v>32</v>
      </c>
      <c r="H1479" t="s">
        <v>33</v>
      </c>
      <c r="I1479" t="s">
        <v>55</v>
      </c>
      <c r="J1479" t="s">
        <v>66</v>
      </c>
      <c r="O1479" s="5"/>
      <c r="P1479" s="5"/>
    </row>
    <row r="1480" spans="1:30" x14ac:dyDescent="0.35">
      <c r="A1480" s="4">
        <v>42564</v>
      </c>
      <c r="B1480" t="s">
        <v>30</v>
      </c>
      <c r="C1480">
        <v>503</v>
      </c>
      <c r="D1480">
        <v>8</v>
      </c>
      <c r="E1480">
        <v>1</v>
      </c>
      <c r="F1480" t="s">
        <v>42</v>
      </c>
      <c r="G1480" t="s">
        <v>32</v>
      </c>
      <c r="H1480" t="s">
        <v>33</v>
      </c>
      <c r="I1480" t="s">
        <v>55</v>
      </c>
      <c r="J1480" t="s">
        <v>66</v>
      </c>
      <c r="O1480" s="5"/>
      <c r="P1480" s="5"/>
    </row>
    <row r="1481" spans="1:30" x14ac:dyDescent="0.35">
      <c r="A1481" s="4">
        <v>42564</v>
      </c>
      <c r="B1481" t="s">
        <v>30</v>
      </c>
      <c r="C1481">
        <v>303</v>
      </c>
      <c r="D1481">
        <v>2</v>
      </c>
      <c r="E1481">
        <v>2</v>
      </c>
      <c r="F1481" t="s">
        <v>42</v>
      </c>
      <c r="G1481" t="s">
        <v>32</v>
      </c>
      <c r="H1481" t="s">
        <v>33</v>
      </c>
      <c r="I1481" t="s">
        <v>55</v>
      </c>
      <c r="J1481" t="s">
        <v>66</v>
      </c>
      <c r="O1481" s="5"/>
      <c r="P1481" s="5"/>
    </row>
    <row r="1482" spans="1:30" x14ac:dyDescent="0.35">
      <c r="A1482" s="4">
        <v>42564</v>
      </c>
      <c r="B1482" t="s">
        <v>30</v>
      </c>
      <c r="C1482">
        <v>303</v>
      </c>
      <c r="D1482">
        <v>7</v>
      </c>
      <c r="E1482">
        <v>1</v>
      </c>
      <c r="F1482" t="s">
        <v>42</v>
      </c>
      <c r="G1482" t="s">
        <v>32</v>
      </c>
      <c r="H1482" t="s">
        <v>33</v>
      </c>
      <c r="I1482" t="s">
        <v>55</v>
      </c>
      <c r="J1482" t="s">
        <v>123</v>
      </c>
      <c r="O1482" s="5"/>
      <c r="P1482" s="5"/>
    </row>
    <row r="1483" spans="1:30" x14ac:dyDescent="0.35">
      <c r="A1483" s="4">
        <v>42564</v>
      </c>
      <c r="B1483" t="s">
        <v>30</v>
      </c>
      <c r="C1483">
        <v>401</v>
      </c>
      <c r="D1483">
        <v>5</v>
      </c>
      <c r="E1483">
        <v>1</v>
      </c>
      <c r="F1483" t="s">
        <v>42</v>
      </c>
      <c r="G1483" t="s">
        <v>32</v>
      </c>
      <c r="H1483" t="s">
        <v>33</v>
      </c>
      <c r="I1483" t="s">
        <v>55</v>
      </c>
      <c r="J1483" t="s">
        <v>66</v>
      </c>
      <c r="O1483" s="5"/>
      <c r="P1483" s="5"/>
    </row>
    <row r="1484" spans="1:30" x14ac:dyDescent="0.35">
      <c r="A1484" s="4">
        <v>42564</v>
      </c>
      <c r="B1484" t="s">
        <v>30</v>
      </c>
      <c r="C1484">
        <v>703</v>
      </c>
      <c r="D1484">
        <v>5</v>
      </c>
      <c r="E1484">
        <v>2</v>
      </c>
      <c r="F1484" t="s">
        <v>31</v>
      </c>
      <c r="G1484" t="s">
        <v>32</v>
      </c>
      <c r="H1484" t="s">
        <v>33</v>
      </c>
      <c r="I1484" t="s">
        <v>55</v>
      </c>
      <c r="J1484" t="s">
        <v>66</v>
      </c>
      <c r="O1484" s="5"/>
      <c r="P1484" s="5"/>
    </row>
    <row r="1485" spans="1:30" x14ac:dyDescent="0.35">
      <c r="A1485" s="4">
        <v>42564</v>
      </c>
      <c r="B1485" t="s">
        <v>30</v>
      </c>
      <c r="C1485">
        <v>701</v>
      </c>
      <c r="D1485">
        <v>6</v>
      </c>
      <c r="E1485">
        <v>1</v>
      </c>
      <c r="F1485" t="s">
        <v>31</v>
      </c>
      <c r="G1485" t="s">
        <v>32</v>
      </c>
      <c r="H1485" t="s">
        <v>33</v>
      </c>
      <c r="I1485" t="s">
        <v>55</v>
      </c>
      <c r="J1485" t="s">
        <v>66</v>
      </c>
      <c r="O1485" s="5"/>
      <c r="P1485" s="5"/>
    </row>
    <row r="1486" spans="1:30" x14ac:dyDescent="0.35">
      <c r="A1486" s="4">
        <v>42564</v>
      </c>
      <c r="B1486" t="s">
        <v>30</v>
      </c>
      <c r="C1486">
        <v>501</v>
      </c>
      <c r="D1486">
        <v>4</v>
      </c>
      <c r="E1486">
        <v>1</v>
      </c>
      <c r="F1486" t="s">
        <v>42</v>
      </c>
      <c r="G1486" t="s">
        <v>32</v>
      </c>
      <c r="H1486" t="s">
        <v>33</v>
      </c>
      <c r="I1486" t="s">
        <v>59</v>
      </c>
      <c r="O1486" s="5"/>
      <c r="P1486" s="5"/>
    </row>
    <row r="1487" spans="1:30" x14ac:dyDescent="0.35">
      <c r="A1487" s="4">
        <v>42564</v>
      </c>
      <c r="B1487" t="s">
        <v>30</v>
      </c>
      <c r="C1487">
        <v>501</v>
      </c>
      <c r="D1487">
        <v>5</v>
      </c>
      <c r="E1487">
        <v>1</v>
      </c>
      <c r="F1487" t="s">
        <v>42</v>
      </c>
      <c r="G1487" t="s">
        <v>32</v>
      </c>
      <c r="H1487" t="s">
        <v>33</v>
      </c>
      <c r="I1487" t="s">
        <v>59</v>
      </c>
      <c r="O1487" s="5"/>
      <c r="P1487" s="5"/>
    </row>
    <row r="1488" spans="1:30" x14ac:dyDescent="0.35">
      <c r="A1488" s="4">
        <v>42564</v>
      </c>
      <c r="B1488" t="s">
        <v>30</v>
      </c>
      <c r="C1488">
        <v>501</v>
      </c>
      <c r="D1488">
        <v>5</v>
      </c>
      <c r="E1488">
        <v>2</v>
      </c>
      <c r="F1488" t="s">
        <v>42</v>
      </c>
      <c r="G1488" t="s">
        <v>32</v>
      </c>
      <c r="H1488" t="s">
        <v>33</v>
      </c>
      <c r="I1488" t="s">
        <v>59</v>
      </c>
      <c r="O1488" s="5"/>
      <c r="P1488" s="5"/>
    </row>
    <row r="1489" spans="1:16" x14ac:dyDescent="0.35">
      <c r="A1489" s="4">
        <v>42564</v>
      </c>
      <c r="B1489" t="s">
        <v>30</v>
      </c>
      <c r="C1489">
        <v>501</v>
      </c>
      <c r="D1489">
        <v>8</v>
      </c>
      <c r="E1489">
        <v>1</v>
      </c>
      <c r="F1489" t="s">
        <v>42</v>
      </c>
      <c r="G1489" t="s">
        <v>32</v>
      </c>
      <c r="H1489" t="s">
        <v>33</v>
      </c>
      <c r="I1489" t="s">
        <v>59</v>
      </c>
      <c r="O1489" s="5"/>
      <c r="P1489" s="5"/>
    </row>
    <row r="1490" spans="1:16" x14ac:dyDescent="0.35">
      <c r="A1490" s="4">
        <v>42564</v>
      </c>
      <c r="B1490" t="s">
        <v>30</v>
      </c>
      <c r="C1490">
        <v>501</v>
      </c>
      <c r="D1490">
        <v>10</v>
      </c>
      <c r="E1490">
        <v>1</v>
      </c>
      <c r="F1490" t="s">
        <v>42</v>
      </c>
      <c r="G1490" t="s">
        <v>32</v>
      </c>
      <c r="H1490" t="s">
        <v>33</v>
      </c>
      <c r="I1490" t="s">
        <v>59</v>
      </c>
      <c r="O1490" s="5"/>
      <c r="P1490" s="5"/>
    </row>
    <row r="1491" spans="1:16" x14ac:dyDescent="0.35">
      <c r="A1491" s="4">
        <v>42564</v>
      </c>
      <c r="B1491" t="s">
        <v>30</v>
      </c>
      <c r="C1491">
        <v>501</v>
      </c>
      <c r="D1491">
        <v>10</v>
      </c>
      <c r="E1491">
        <v>2</v>
      </c>
      <c r="F1491" t="s">
        <v>42</v>
      </c>
      <c r="G1491" t="s">
        <v>32</v>
      </c>
      <c r="H1491" t="s">
        <v>33</v>
      </c>
      <c r="I1491" t="s">
        <v>59</v>
      </c>
      <c r="O1491" s="5"/>
      <c r="P1491" s="5"/>
    </row>
    <row r="1492" spans="1:16" x14ac:dyDescent="0.35">
      <c r="A1492" s="4">
        <v>42564</v>
      </c>
      <c r="B1492" t="s">
        <v>30</v>
      </c>
      <c r="C1492">
        <v>503</v>
      </c>
      <c r="D1492">
        <v>2</v>
      </c>
      <c r="E1492">
        <v>2</v>
      </c>
      <c r="F1492" t="s">
        <v>42</v>
      </c>
      <c r="G1492" t="s">
        <v>32</v>
      </c>
      <c r="H1492" t="s">
        <v>33</v>
      </c>
      <c r="I1492" t="s">
        <v>59</v>
      </c>
      <c r="O1492" s="5"/>
      <c r="P1492" s="5"/>
    </row>
    <row r="1493" spans="1:16" x14ac:dyDescent="0.35">
      <c r="A1493" s="4">
        <v>42564</v>
      </c>
      <c r="B1493" t="s">
        <v>30</v>
      </c>
      <c r="C1493">
        <v>503</v>
      </c>
      <c r="D1493">
        <v>4</v>
      </c>
      <c r="E1493">
        <v>1</v>
      </c>
      <c r="F1493" t="s">
        <v>42</v>
      </c>
      <c r="G1493" t="s">
        <v>32</v>
      </c>
      <c r="H1493" t="s">
        <v>33</v>
      </c>
      <c r="I1493" t="s">
        <v>59</v>
      </c>
      <c r="O1493" s="5"/>
      <c r="P1493" s="5"/>
    </row>
    <row r="1494" spans="1:16" x14ac:dyDescent="0.35">
      <c r="A1494" s="4">
        <v>42564</v>
      </c>
      <c r="B1494" t="s">
        <v>30</v>
      </c>
      <c r="C1494">
        <v>503</v>
      </c>
      <c r="D1494">
        <v>5</v>
      </c>
      <c r="E1494">
        <v>2</v>
      </c>
      <c r="F1494" t="s">
        <v>42</v>
      </c>
      <c r="G1494" t="s">
        <v>32</v>
      </c>
      <c r="H1494" t="s">
        <v>33</v>
      </c>
      <c r="I1494" t="s">
        <v>59</v>
      </c>
      <c r="O1494" s="5"/>
      <c r="P1494" s="5"/>
    </row>
    <row r="1495" spans="1:16" x14ac:dyDescent="0.35">
      <c r="A1495" s="4">
        <v>42564</v>
      </c>
      <c r="B1495" t="s">
        <v>30</v>
      </c>
      <c r="C1495">
        <v>503</v>
      </c>
      <c r="D1495">
        <v>7</v>
      </c>
      <c r="E1495">
        <v>1</v>
      </c>
      <c r="F1495" t="s">
        <v>42</v>
      </c>
      <c r="G1495" t="s">
        <v>32</v>
      </c>
      <c r="H1495" t="s">
        <v>33</v>
      </c>
      <c r="I1495" t="s">
        <v>59</v>
      </c>
      <c r="O1495" s="5"/>
      <c r="P1495" s="5"/>
    </row>
    <row r="1496" spans="1:16" x14ac:dyDescent="0.35">
      <c r="A1496" s="4">
        <v>42564</v>
      </c>
      <c r="B1496" t="s">
        <v>30</v>
      </c>
      <c r="C1496">
        <v>503</v>
      </c>
      <c r="D1496">
        <v>8</v>
      </c>
      <c r="E1496">
        <v>2</v>
      </c>
      <c r="F1496" t="s">
        <v>42</v>
      </c>
      <c r="G1496" t="s">
        <v>32</v>
      </c>
      <c r="H1496" t="s">
        <v>33</v>
      </c>
      <c r="I1496" t="s">
        <v>59</v>
      </c>
      <c r="O1496" s="5"/>
      <c r="P1496" s="5"/>
    </row>
    <row r="1497" spans="1:16" x14ac:dyDescent="0.35">
      <c r="A1497" s="4">
        <v>42564</v>
      </c>
      <c r="B1497" t="s">
        <v>30</v>
      </c>
      <c r="C1497">
        <v>503</v>
      </c>
      <c r="D1497">
        <v>9</v>
      </c>
      <c r="E1497">
        <v>1</v>
      </c>
      <c r="F1497" t="s">
        <v>42</v>
      </c>
      <c r="G1497" t="s">
        <v>32</v>
      </c>
      <c r="H1497" t="s">
        <v>33</v>
      </c>
      <c r="I1497" t="s">
        <v>59</v>
      </c>
      <c r="O1497" s="5"/>
      <c r="P1497" s="5"/>
    </row>
    <row r="1498" spans="1:16" x14ac:dyDescent="0.35">
      <c r="A1498" s="4">
        <v>42564</v>
      </c>
      <c r="B1498" t="s">
        <v>30</v>
      </c>
      <c r="C1498">
        <v>303</v>
      </c>
      <c r="D1498">
        <v>2</v>
      </c>
      <c r="E1498">
        <v>1</v>
      </c>
      <c r="F1498" t="s">
        <v>42</v>
      </c>
      <c r="G1498" t="s">
        <v>32</v>
      </c>
      <c r="H1498" t="s">
        <v>33</v>
      </c>
      <c r="I1498" t="s">
        <v>59</v>
      </c>
      <c r="O1498" s="5"/>
      <c r="P1498" s="5"/>
    </row>
    <row r="1499" spans="1:16" x14ac:dyDescent="0.35">
      <c r="A1499" s="4">
        <v>42564</v>
      </c>
      <c r="B1499" t="s">
        <v>30</v>
      </c>
      <c r="C1499">
        <v>303</v>
      </c>
      <c r="D1499">
        <v>5</v>
      </c>
      <c r="E1499">
        <v>1</v>
      </c>
      <c r="F1499" t="s">
        <v>42</v>
      </c>
      <c r="G1499" t="s">
        <v>32</v>
      </c>
      <c r="H1499" t="s">
        <v>33</v>
      </c>
      <c r="I1499" t="s">
        <v>59</v>
      </c>
      <c r="O1499" s="5"/>
      <c r="P1499" s="5"/>
    </row>
    <row r="1500" spans="1:16" x14ac:dyDescent="0.35">
      <c r="A1500" s="4">
        <v>42564</v>
      </c>
      <c r="B1500" t="s">
        <v>30</v>
      </c>
      <c r="C1500">
        <v>303</v>
      </c>
      <c r="D1500">
        <v>5</v>
      </c>
      <c r="E1500">
        <v>2</v>
      </c>
      <c r="F1500" t="s">
        <v>42</v>
      </c>
      <c r="G1500" t="s">
        <v>32</v>
      </c>
      <c r="H1500" t="s">
        <v>33</v>
      </c>
      <c r="I1500" t="s">
        <v>59</v>
      </c>
      <c r="O1500" s="5"/>
      <c r="P1500" s="5"/>
    </row>
    <row r="1501" spans="1:16" x14ac:dyDescent="0.35">
      <c r="A1501" s="4">
        <v>42564</v>
      </c>
      <c r="B1501" t="s">
        <v>30</v>
      </c>
      <c r="C1501">
        <v>303</v>
      </c>
      <c r="D1501">
        <v>8</v>
      </c>
      <c r="E1501">
        <v>1</v>
      </c>
      <c r="F1501" t="s">
        <v>42</v>
      </c>
      <c r="G1501" t="s">
        <v>32</v>
      </c>
      <c r="H1501" t="s">
        <v>33</v>
      </c>
      <c r="I1501" t="s">
        <v>59</v>
      </c>
      <c r="O1501" s="5"/>
      <c r="P1501" s="5"/>
    </row>
    <row r="1502" spans="1:16" x14ac:dyDescent="0.35">
      <c r="A1502" s="4">
        <v>42564</v>
      </c>
      <c r="B1502" t="s">
        <v>30</v>
      </c>
      <c r="C1502">
        <v>303</v>
      </c>
      <c r="D1502">
        <v>8</v>
      </c>
      <c r="E1502">
        <v>2</v>
      </c>
      <c r="F1502" t="s">
        <v>42</v>
      </c>
      <c r="G1502" t="s">
        <v>32</v>
      </c>
      <c r="H1502" t="s">
        <v>33</v>
      </c>
      <c r="I1502" t="s">
        <v>59</v>
      </c>
      <c r="O1502" s="5"/>
      <c r="P1502" s="5"/>
    </row>
    <row r="1503" spans="1:16" x14ac:dyDescent="0.35">
      <c r="A1503" s="4">
        <v>42564</v>
      </c>
      <c r="B1503" t="s">
        <v>30</v>
      </c>
      <c r="C1503">
        <v>303</v>
      </c>
      <c r="D1503">
        <v>10</v>
      </c>
      <c r="E1503">
        <v>1</v>
      </c>
      <c r="F1503" t="s">
        <v>42</v>
      </c>
      <c r="G1503" t="s">
        <v>32</v>
      </c>
      <c r="H1503" t="s">
        <v>33</v>
      </c>
      <c r="I1503" t="s">
        <v>59</v>
      </c>
      <c r="O1503" s="5"/>
      <c r="P1503" s="5"/>
    </row>
    <row r="1504" spans="1:16" x14ac:dyDescent="0.35">
      <c r="A1504" s="4">
        <v>42564</v>
      </c>
      <c r="B1504" t="s">
        <v>30</v>
      </c>
      <c r="C1504">
        <v>401</v>
      </c>
      <c r="D1504">
        <v>1</v>
      </c>
      <c r="E1504">
        <v>1</v>
      </c>
      <c r="F1504" t="s">
        <v>42</v>
      </c>
      <c r="G1504" t="s">
        <v>32</v>
      </c>
      <c r="H1504" t="s">
        <v>33</v>
      </c>
      <c r="I1504" t="s">
        <v>59</v>
      </c>
      <c r="O1504" s="5"/>
      <c r="P1504" s="5"/>
    </row>
    <row r="1505" spans="1:16" x14ac:dyDescent="0.35">
      <c r="A1505" s="4">
        <v>42564</v>
      </c>
      <c r="B1505" t="s">
        <v>30</v>
      </c>
      <c r="C1505">
        <v>401</v>
      </c>
      <c r="D1505">
        <v>1</v>
      </c>
      <c r="E1505">
        <v>2</v>
      </c>
      <c r="F1505" t="s">
        <v>42</v>
      </c>
      <c r="G1505" t="s">
        <v>32</v>
      </c>
      <c r="H1505" t="s">
        <v>33</v>
      </c>
      <c r="I1505" t="s">
        <v>59</v>
      </c>
      <c r="O1505" s="5"/>
      <c r="P1505" s="5"/>
    </row>
    <row r="1506" spans="1:16" x14ac:dyDescent="0.35">
      <c r="A1506" s="4">
        <v>42564</v>
      </c>
      <c r="B1506" t="s">
        <v>30</v>
      </c>
      <c r="C1506">
        <v>401</v>
      </c>
      <c r="D1506">
        <v>2</v>
      </c>
      <c r="E1506">
        <v>1</v>
      </c>
      <c r="F1506" t="s">
        <v>42</v>
      </c>
      <c r="G1506" t="s">
        <v>32</v>
      </c>
      <c r="H1506" t="s">
        <v>33</v>
      </c>
      <c r="I1506" t="s">
        <v>59</v>
      </c>
      <c r="O1506" s="5"/>
      <c r="P1506" s="5"/>
    </row>
    <row r="1507" spans="1:16" x14ac:dyDescent="0.35">
      <c r="A1507" s="4">
        <v>42564</v>
      </c>
      <c r="B1507" t="s">
        <v>30</v>
      </c>
      <c r="C1507">
        <v>401</v>
      </c>
      <c r="D1507">
        <v>6</v>
      </c>
      <c r="E1507">
        <v>1</v>
      </c>
      <c r="F1507" t="s">
        <v>42</v>
      </c>
      <c r="G1507" t="s">
        <v>32</v>
      </c>
      <c r="H1507" t="s">
        <v>33</v>
      </c>
      <c r="I1507" t="s">
        <v>59</v>
      </c>
      <c r="O1507" s="5"/>
      <c r="P1507" s="5"/>
    </row>
    <row r="1508" spans="1:16" x14ac:dyDescent="0.35">
      <c r="A1508" s="4">
        <v>42564</v>
      </c>
      <c r="B1508" t="s">
        <v>30</v>
      </c>
      <c r="C1508">
        <v>401</v>
      </c>
      <c r="D1508">
        <v>8</v>
      </c>
      <c r="E1508">
        <v>1</v>
      </c>
      <c r="F1508" t="s">
        <v>42</v>
      </c>
      <c r="G1508" t="s">
        <v>32</v>
      </c>
      <c r="H1508" t="s">
        <v>33</v>
      </c>
      <c r="I1508" t="s">
        <v>59</v>
      </c>
      <c r="O1508" s="5"/>
      <c r="P1508" s="5"/>
    </row>
    <row r="1509" spans="1:16" x14ac:dyDescent="0.35">
      <c r="A1509" s="4">
        <v>42564</v>
      </c>
      <c r="B1509" t="s">
        <v>30</v>
      </c>
      <c r="C1509">
        <v>401</v>
      </c>
      <c r="D1509">
        <v>9</v>
      </c>
      <c r="E1509">
        <v>1</v>
      </c>
      <c r="F1509" t="s">
        <v>42</v>
      </c>
      <c r="G1509" t="s">
        <v>32</v>
      </c>
      <c r="H1509" t="s">
        <v>33</v>
      </c>
      <c r="I1509" t="s">
        <v>59</v>
      </c>
      <c r="O1509" s="5"/>
      <c r="P1509" s="5"/>
    </row>
    <row r="1510" spans="1:16" x14ac:dyDescent="0.35">
      <c r="A1510" s="4">
        <v>42564</v>
      </c>
      <c r="B1510" t="s">
        <v>30</v>
      </c>
      <c r="C1510">
        <v>703</v>
      </c>
      <c r="D1510">
        <v>2</v>
      </c>
      <c r="E1510">
        <v>1</v>
      </c>
      <c r="F1510" t="s">
        <v>31</v>
      </c>
      <c r="G1510" t="s">
        <v>32</v>
      </c>
      <c r="H1510" t="s">
        <v>33</v>
      </c>
      <c r="I1510" t="s">
        <v>59</v>
      </c>
      <c r="O1510" s="5"/>
      <c r="P1510" s="5"/>
    </row>
    <row r="1511" spans="1:16" x14ac:dyDescent="0.35">
      <c r="A1511" s="4">
        <v>42564</v>
      </c>
      <c r="B1511" t="s">
        <v>30</v>
      </c>
      <c r="C1511">
        <v>703</v>
      </c>
      <c r="D1511">
        <v>3</v>
      </c>
      <c r="E1511">
        <v>2</v>
      </c>
      <c r="F1511" t="s">
        <v>31</v>
      </c>
      <c r="G1511" t="s">
        <v>32</v>
      </c>
      <c r="H1511" t="s">
        <v>33</v>
      </c>
      <c r="I1511" t="s">
        <v>59</v>
      </c>
      <c r="O1511" s="5"/>
      <c r="P1511" s="5"/>
    </row>
    <row r="1512" spans="1:16" x14ac:dyDescent="0.35">
      <c r="A1512" s="4">
        <v>42564</v>
      </c>
      <c r="B1512" t="s">
        <v>30</v>
      </c>
      <c r="C1512">
        <v>703</v>
      </c>
      <c r="D1512">
        <v>5</v>
      </c>
      <c r="E1512">
        <v>1</v>
      </c>
      <c r="F1512" t="s">
        <v>31</v>
      </c>
      <c r="G1512" t="s">
        <v>32</v>
      </c>
      <c r="H1512" t="s">
        <v>33</v>
      </c>
      <c r="I1512" t="s">
        <v>59</v>
      </c>
      <c r="O1512" s="5"/>
      <c r="P1512" s="5"/>
    </row>
    <row r="1513" spans="1:16" x14ac:dyDescent="0.35">
      <c r="A1513" s="4">
        <v>42564</v>
      </c>
      <c r="B1513" t="s">
        <v>30</v>
      </c>
      <c r="C1513">
        <v>703</v>
      </c>
      <c r="D1513">
        <v>6</v>
      </c>
      <c r="E1513">
        <v>2</v>
      </c>
      <c r="F1513" t="s">
        <v>31</v>
      </c>
      <c r="G1513" t="s">
        <v>32</v>
      </c>
      <c r="H1513" t="s">
        <v>33</v>
      </c>
      <c r="I1513" t="s">
        <v>59</v>
      </c>
      <c r="O1513" s="5"/>
      <c r="P1513" s="5"/>
    </row>
    <row r="1514" spans="1:16" x14ac:dyDescent="0.35">
      <c r="A1514" s="4">
        <v>42564</v>
      </c>
      <c r="B1514" t="s">
        <v>30</v>
      </c>
      <c r="C1514">
        <v>703</v>
      </c>
      <c r="D1514">
        <v>7</v>
      </c>
      <c r="E1514">
        <v>2</v>
      </c>
      <c r="F1514" t="s">
        <v>31</v>
      </c>
      <c r="G1514" t="s">
        <v>32</v>
      </c>
      <c r="H1514" t="s">
        <v>33</v>
      </c>
      <c r="I1514" t="s">
        <v>59</v>
      </c>
      <c r="O1514" s="5"/>
      <c r="P1514" s="5"/>
    </row>
    <row r="1515" spans="1:16" x14ac:dyDescent="0.35">
      <c r="A1515" s="4">
        <v>42564</v>
      </c>
      <c r="B1515" t="s">
        <v>30</v>
      </c>
      <c r="C1515">
        <v>703</v>
      </c>
      <c r="D1515">
        <v>8</v>
      </c>
      <c r="E1515">
        <v>1</v>
      </c>
      <c r="F1515" t="s">
        <v>31</v>
      </c>
      <c r="G1515" t="s">
        <v>32</v>
      </c>
      <c r="H1515" t="s">
        <v>33</v>
      </c>
      <c r="I1515" t="s">
        <v>59</v>
      </c>
      <c r="O1515" s="5"/>
      <c r="P1515" s="5"/>
    </row>
    <row r="1516" spans="1:16" x14ac:dyDescent="0.35">
      <c r="A1516" s="4">
        <v>42564</v>
      </c>
      <c r="B1516" t="s">
        <v>30</v>
      </c>
      <c r="C1516">
        <v>703</v>
      </c>
      <c r="D1516">
        <v>9</v>
      </c>
      <c r="E1516">
        <v>1</v>
      </c>
      <c r="F1516" t="s">
        <v>31</v>
      </c>
      <c r="G1516" t="s">
        <v>32</v>
      </c>
      <c r="H1516" t="s">
        <v>33</v>
      </c>
      <c r="I1516" t="s">
        <v>59</v>
      </c>
      <c r="O1516" s="5"/>
      <c r="P1516" s="5"/>
    </row>
    <row r="1517" spans="1:16" x14ac:dyDescent="0.35">
      <c r="A1517" s="4">
        <v>42564</v>
      </c>
      <c r="B1517" t="s">
        <v>30</v>
      </c>
      <c r="C1517">
        <v>701</v>
      </c>
      <c r="D1517">
        <v>2</v>
      </c>
      <c r="E1517">
        <v>1</v>
      </c>
      <c r="F1517" t="s">
        <v>31</v>
      </c>
      <c r="G1517" t="s">
        <v>32</v>
      </c>
      <c r="H1517" t="s">
        <v>33</v>
      </c>
      <c r="I1517" t="s">
        <v>59</v>
      </c>
      <c r="O1517" s="5"/>
      <c r="P1517" s="5"/>
    </row>
    <row r="1518" spans="1:16" x14ac:dyDescent="0.35">
      <c r="A1518" s="4">
        <v>42564</v>
      </c>
      <c r="B1518" t="s">
        <v>30</v>
      </c>
      <c r="C1518">
        <v>701</v>
      </c>
      <c r="D1518">
        <v>3</v>
      </c>
      <c r="E1518">
        <v>1</v>
      </c>
      <c r="F1518" t="s">
        <v>31</v>
      </c>
      <c r="G1518" t="s">
        <v>32</v>
      </c>
      <c r="H1518" t="s">
        <v>33</v>
      </c>
      <c r="I1518" t="s">
        <v>59</v>
      </c>
      <c r="O1518" s="5"/>
      <c r="P1518" s="5"/>
    </row>
    <row r="1519" spans="1:16" x14ac:dyDescent="0.35">
      <c r="A1519" s="4">
        <v>42564</v>
      </c>
      <c r="B1519" t="s">
        <v>30</v>
      </c>
      <c r="C1519">
        <v>701</v>
      </c>
      <c r="D1519">
        <v>5</v>
      </c>
      <c r="E1519">
        <v>1</v>
      </c>
      <c r="F1519" t="s">
        <v>31</v>
      </c>
      <c r="G1519" t="s">
        <v>32</v>
      </c>
      <c r="H1519" t="s">
        <v>33</v>
      </c>
      <c r="I1519" t="s">
        <v>59</v>
      </c>
      <c r="O1519" s="5"/>
      <c r="P1519" s="5"/>
    </row>
    <row r="1520" spans="1:16" x14ac:dyDescent="0.35">
      <c r="A1520" s="4">
        <v>42564</v>
      </c>
      <c r="B1520" t="s">
        <v>30</v>
      </c>
      <c r="C1520">
        <v>701</v>
      </c>
      <c r="D1520">
        <v>5</v>
      </c>
      <c r="E1520">
        <v>2</v>
      </c>
      <c r="F1520" t="s">
        <v>31</v>
      </c>
      <c r="G1520" t="s">
        <v>32</v>
      </c>
      <c r="H1520" t="s">
        <v>33</v>
      </c>
      <c r="I1520" t="s">
        <v>59</v>
      </c>
      <c r="O1520" s="5"/>
      <c r="P1520" s="5"/>
    </row>
    <row r="1521" spans="1:16" x14ac:dyDescent="0.35">
      <c r="A1521" s="4">
        <v>42564</v>
      </c>
      <c r="B1521" t="s">
        <v>30</v>
      </c>
      <c r="C1521">
        <v>701</v>
      </c>
      <c r="D1521">
        <v>9</v>
      </c>
      <c r="E1521">
        <v>1</v>
      </c>
      <c r="F1521" t="s">
        <v>31</v>
      </c>
      <c r="G1521" t="s">
        <v>32</v>
      </c>
      <c r="H1521" t="s">
        <v>33</v>
      </c>
      <c r="I1521" t="s">
        <v>59</v>
      </c>
      <c r="O1521" s="5"/>
      <c r="P1521" s="5"/>
    </row>
    <row r="1522" spans="1:16" x14ac:dyDescent="0.35">
      <c r="A1522" s="4">
        <v>42564</v>
      </c>
      <c r="B1522" t="s">
        <v>30</v>
      </c>
      <c r="C1522">
        <v>801</v>
      </c>
      <c r="D1522">
        <v>3</v>
      </c>
      <c r="E1522">
        <v>1</v>
      </c>
      <c r="F1522" t="s">
        <v>31</v>
      </c>
      <c r="G1522" t="s">
        <v>32</v>
      </c>
      <c r="H1522" t="s">
        <v>33</v>
      </c>
      <c r="I1522" t="s">
        <v>59</v>
      </c>
      <c r="O1522" s="5"/>
      <c r="P1522" s="5"/>
    </row>
    <row r="1523" spans="1:16" x14ac:dyDescent="0.35">
      <c r="A1523" s="4">
        <v>42564</v>
      </c>
      <c r="B1523" t="s">
        <v>30</v>
      </c>
      <c r="C1523">
        <v>801</v>
      </c>
      <c r="D1523">
        <v>4</v>
      </c>
      <c r="E1523">
        <v>1</v>
      </c>
      <c r="F1523" t="s">
        <v>31</v>
      </c>
      <c r="G1523" t="s">
        <v>32</v>
      </c>
      <c r="H1523" t="s">
        <v>33</v>
      </c>
      <c r="I1523" t="s">
        <v>59</v>
      </c>
      <c r="O1523" s="5"/>
      <c r="P1523" s="5"/>
    </row>
    <row r="1524" spans="1:16" x14ac:dyDescent="0.35">
      <c r="A1524" s="4">
        <v>42564</v>
      </c>
      <c r="B1524" t="s">
        <v>30</v>
      </c>
      <c r="C1524">
        <v>801</v>
      </c>
      <c r="D1524">
        <v>6</v>
      </c>
      <c r="E1524">
        <v>1</v>
      </c>
      <c r="F1524" t="s">
        <v>31</v>
      </c>
      <c r="G1524" t="s">
        <v>32</v>
      </c>
      <c r="H1524" t="s">
        <v>33</v>
      </c>
      <c r="I1524" t="s">
        <v>59</v>
      </c>
      <c r="O1524" s="5"/>
      <c r="P1524" s="5"/>
    </row>
    <row r="1525" spans="1:16" x14ac:dyDescent="0.35">
      <c r="A1525" s="4">
        <v>42564</v>
      </c>
      <c r="B1525" t="s">
        <v>30</v>
      </c>
      <c r="C1525">
        <v>801</v>
      </c>
      <c r="D1525">
        <v>6</v>
      </c>
      <c r="E1525">
        <v>2</v>
      </c>
      <c r="F1525" t="s">
        <v>31</v>
      </c>
      <c r="G1525" t="s">
        <v>32</v>
      </c>
      <c r="H1525" t="s">
        <v>33</v>
      </c>
      <c r="I1525" t="s">
        <v>59</v>
      </c>
      <c r="O1525" s="5"/>
      <c r="P1525" s="5"/>
    </row>
    <row r="1526" spans="1:16" x14ac:dyDescent="0.35">
      <c r="A1526" s="4">
        <v>42564</v>
      </c>
      <c r="B1526" t="s">
        <v>30</v>
      </c>
      <c r="C1526">
        <v>801</v>
      </c>
      <c r="D1526">
        <v>7</v>
      </c>
      <c r="E1526">
        <v>1</v>
      </c>
      <c r="F1526" t="s">
        <v>31</v>
      </c>
      <c r="G1526" t="s">
        <v>32</v>
      </c>
      <c r="H1526" t="s">
        <v>33</v>
      </c>
      <c r="I1526" t="s">
        <v>59</v>
      </c>
      <c r="O1526" s="5"/>
      <c r="P1526" s="5"/>
    </row>
    <row r="1527" spans="1:16" x14ac:dyDescent="0.35">
      <c r="A1527" s="4">
        <v>42564</v>
      </c>
      <c r="B1527" t="s">
        <v>30</v>
      </c>
      <c r="C1527">
        <v>801</v>
      </c>
      <c r="D1527">
        <v>8</v>
      </c>
      <c r="E1527">
        <v>1</v>
      </c>
      <c r="F1527" t="s">
        <v>31</v>
      </c>
      <c r="G1527" t="s">
        <v>32</v>
      </c>
      <c r="H1527" t="s">
        <v>33</v>
      </c>
      <c r="I1527" t="s">
        <v>59</v>
      </c>
      <c r="O1527" s="5"/>
      <c r="P1527" s="5"/>
    </row>
    <row r="1528" spans="1:16" x14ac:dyDescent="0.35">
      <c r="A1528" s="4">
        <v>42564</v>
      </c>
      <c r="B1528" t="s">
        <v>30</v>
      </c>
      <c r="C1528">
        <v>803</v>
      </c>
      <c r="D1528">
        <v>10</v>
      </c>
      <c r="E1528">
        <v>1</v>
      </c>
      <c r="F1528" t="s">
        <v>31</v>
      </c>
      <c r="G1528" t="s">
        <v>32</v>
      </c>
      <c r="H1528" t="s">
        <v>33</v>
      </c>
      <c r="I1528" t="s">
        <v>59</v>
      </c>
      <c r="O1528" s="5"/>
      <c r="P1528" s="5"/>
    </row>
    <row r="1529" spans="1:16" x14ac:dyDescent="0.35">
      <c r="A1529" s="4">
        <v>42564</v>
      </c>
      <c r="B1529" t="s">
        <v>30</v>
      </c>
      <c r="C1529">
        <v>803</v>
      </c>
      <c r="D1529">
        <v>10</v>
      </c>
      <c r="E1529">
        <v>2</v>
      </c>
      <c r="F1529" t="s">
        <v>31</v>
      </c>
      <c r="G1529" t="s">
        <v>32</v>
      </c>
      <c r="H1529" t="s">
        <v>33</v>
      </c>
      <c r="I1529" t="s">
        <v>59</v>
      </c>
      <c r="O1529" s="5"/>
      <c r="P1529" s="5"/>
    </row>
    <row r="1530" spans="1:16" x14ac:dyDescent="0.35">
      <c r="A1530" s="4">
        <v>42564</v>
      </c>
      <c r="B1530" t="s">
        <v>30</v>
      </c>
      <c r="C1530">
        <v>803</v>
      </c>
      <c r="D1530">
        <v>9</v>
      </c>
      <c r="E1530">
        <v>1</v>
      </c>
      <c r="F1530" t="s">
        <v>31</v>
      </c>
      <c r="G1530" t="s">
        <v>32</v>
      </c>
      <c r="H1530" t="s">
        <v>33</v>
      </c>
      <c r="I1530" t="s">
        <v>59</v>
      </c>
      <c r="O1530" s="5"/>
      <c r="P1530" s="5"/>
    </row>
    <row r="1531" spans="1:16" x14ac:dyDescent="0.35">
      <c r="A1531" s="4">
        <v>42564</v>
      </c>
      <c r="B1531" t="s">
        <v>30</v>
      </c>
      <c r="C1531">
        <v>803</v>
      </c>
      <c r="D1531">
        <v>7</v>
      </c>
      <c r="E1531">
        <v>1</v>
      </c>
      <c r="F1531" t="s">
        <v>31</v>
      </c>
      <c r="G1531" t="s">
        <v>32</v>
      </c>
      <c r="H1531" t="s">
        <v>33</v>
      </c>
      <c r="I1531" t="s">
        <v>59</v>
      </c>
      <c r="O1531" s="5"/>
      <c r="P1531" s="5"/>
    </row>
    <row r="1532" spans="1:16" x14ac:dyDescent="0.35">
      <c r="A1532" s="4">
        <v>42564</v>
      </c>
      <c r="B1532" t="s">
        <v>30</v>
      </c>
      <c r="C1532">
        <v>803</v>
      </c>
      <c r="D1532">
        <v>5</v>
      </c>
      <c r="E1532">
        <v>1</v>
      </c>
      <c r="F1532" t="s">
        <v>31</v>
      </c>
      <c r="G1532" t="s">
        <v>32</v>
      </c>
      <c r="H1532" t="s">
        <v>33</v>
      </c>
      <c r="I1532" t="s">
        <v>59</v>
      </c>
      <c r="O1532" s="5"/>
      <c r="P1532" s="5"/>
    </row>
    <row r="1533" spans="1:16" x14ac:dyDescent="0.35">
      <c r="A1533" s="4">
        <v>42564</v>
      </c>
      <c r="B1533" t="s">
        <v>30</v>
      </c>
      <c r="C1533">
        <v>803</v>
      </c>
      <c r="D1533">
        <v>4</v>
      </c>
      <c r="E1533">
        <v>1</v>
      </c>
      <c r="F1533" t="s">
        <v>31</v>
      </c>
      <c r="G1533" t="s">
        <v>32</v>
      </c>
      <c r="H1533" t="s">
        <v>33</v>
      </c>
      <c r="I1533" t="s">
        <v>59</v>
      </c>
      <c r="O1533" s="5"/>
      <c r="P1533" s="5"/>
    </row>
    <row r="1534" spans="1:16" x14ac:dyDescent="0.35">
      <c r="A1534" s="4">
        <v>42564</v>
      </c>
      <c r="B1534" t="s">
        <v>30</v>
      </c>
      <c r="C1534">
        <v>803</v>
      </c>
      <c r="D1534">
        <v>4</v>
      </c>
      <c r="E1534">
        <v>2</v>
      </c>
      <c r="F1534" t="s">
        <v>31</v>
      </c>
      <c r="G1534" t="s">
        <v>32</v>
      </c>
      <c r="H1534" t="s">
        <v>33</v>
      </c>
      <c r="I1534" t="s">
        <v>59</v>
      </c>
      <c r="O1534" s="5"/>
      <c r="P1534" s="5"/>
    </row>
    <row r="1535" spans="1:16" x14ac:dyDescent="0.35">
      <c r="A1535" s="4">
        <v>42564</v>
      </c>
      <c r="B1535" t="s">
        <v>30</v>
      </c>
      <c r="C1535">
        <v>803</v>
      </c>
      <c r="D1535">
        <v>2</v>
      </c>
      <c r="E1535">
        <v>1</v>
      </c>
      <c r="F1535" t="s">
        <v>31</v>
      </c>
      <c r="G1535" t="s">
        <v>32</v>
      </c>
      <c r="H1535" t="s">
        <v>33</v>
      </c>
      <c r="I1535" t="s">
        <v>59</v>
      </c>
      <c r="O1535" s="5"/>
      <c r="P1535" s="5"/>
    </row>
    <row r="1536" spans="1:16" x14ac:dyDescent="0.35">
      <c r="A1536" s="4">
        <v>42564</v>
      </c>
      <c r="B1536" t="s">
        <v>30</v>
      </c>
      <c r="C1536">
        <v>803</v>
      </c>
      <c r="D1536">
        <v>1</v>
      </c>
      <c r="E1536">
        <v>1</v>
      </c>
      <c r="F1536" t="s">
        <v>31</v>
      </c>
      <c r="G1536" t="s">
        <v>32</v>
      </c>
      <c r="H1536" t="s">
        <v>33</v>
      </c>
      <c r="I1536" t="s">
        <v>59</v>
      </c>
      <c r="O1536" s="5"/>
      <c r="P1536" s="5"/>
    </row>
    <row r="1537" spans="1:29" x14ac:dyDescent="0.35">
      <c r="A1537" s="4">
        <v>42564</v>
      </c>
      <c r="B1537" t="s">
        <v>30</v>
      </c>
      <c r="C1537">
        <v>901</v>
      </c>
      <c r="D1537">
        <v>1</v>
      </c>
      <c r="E1537">
        <v>1</v>
      </c>
      <c r="F1537" t="s">
        <v>31</v>
      </c>
      <c r="G1537" t="s">
        <v>32</v>
      </c>
      <c r="H1537" t="s">
        <v>33</v>
      </c>
      <c r="I1537" t="s">
        <v>59</v>
      </c>
      <c r="O1537" s="5"/>
      <c r="P1537" s="5"/>
    </row>
    <row r="1538" spans="1:29" x14ac:dyDescent="0.35">
      <c r="A1538" s="4">
        <v>42564</v>
      </c>
      <c r="B1538" t="s">
        <v>30</v>
      </c>
      <c r="C1538">
        <v>901</v>
      </c>
      <c r="D1538">
        <v>2</v>
      </c>
      <c r="E1538">
        <v>1</v>
      </c>
      <c r="F1538" t="s">
        <v>31</v>
      </c>
      <c r="G1538" t="s">
        <v>32</v>
      </c>
      <c r="H1538" t="s">
        <v>33</v>
      </c>
      <c r="I1538" t="s">
        <v>59</v>
      </c>
      <c r="O1538" s="5"/>
      <c r="P1538" s="5"/>
    </row>
    <row r="1539" spans="1:29" x14ac:dyDescent="0.35">
      <c r="A1539" s="4">
        <v>42564</v>
      </c>
      <c r="B1539" t="s">
        <v>30</v>
      </c>
      <c r="C1539">
        <v>901</v>
      </c>
      <c r="D1539">
        <v>10</v>
      </c>
      <c r="E1539">
        <v>1</v>
      </c>
      <c r="F1539" t="s">
        <v>31</v>
      </c>
      <c r="G1539" t="s">
        <v>32</v>
      </c>
      <c r="H1539" t="s">
        <v>33</v>
      </c>
      <c r="I1539" t="s">
        <v>59</v>
      </c>
      <c r="O1539" s="5"/>
      <c r="P1539" s="5"/>
    </row>
    <row r="1540" spans="1:29" x14ac:dyDescent="0.35">
      <c r="A1540" s="4">
        <v>42564</v>
      </c>
      <c r="B1540" t="s">
        <v>30</v>
      </c>
      <c r="C1540">
        <v>503</v>
      </c>
      <c r="D1540">
        <v>1</v>
      </c>
      <c r="E1540">
        <v>1</v>
      </c>
      <c r="F1540" t="s">
        <v>42</v>
      </c>
      <c r="G1540" t="s">
        <v>32</v>
      </c>
      <c r="H1540" t="s">
        <v>33</v>
      </c>
      <c r="I1540" t="s">
        <v>94</v>
      </c>
      <c r="J1540" t="s">
        <v>44</v>
      </c>
      <c r="K1540" t="s">
        <v>36</v>
      </c>
      <c r="L1540" t="s">
        <v>45</v>
      </c>
      <c r="M1540">
        <v>0</v>
      </c>
      <c r="N1540">
        <v>0</v>
      </c>
      <c r="O1540" s="5">
        <v>50449</v>
      </c>
      <c r="P1540" s="5"/>
      <c r="Q1540">
        <f>34-9.5</f>
        <v>24.5</v>
      </c>
      <c r="R1540" t="s">
        <v>74</v>
      </c>
      <c r="S1540" t="s">
        <v>39</v>
      </c>
      <c r="T1540">
        <v>30</v>
      </c>
      <c r="W1540">
        <v>13.1</v>
      </c>
      <c r="X1540">
        <v>27.5</v>
      </c>
      <c r="Z1540" t="s">
        <v>39</v>
      </c>
    </row>
    <row r="1541" spans="1:29" x14ac:dyDescent="0.35">
      <c r="A1541" s="4">
        <v>42564</v>
      </c>
      <c r="B1541" t="s">
        <v>30</v>
      </c>
      <c r="C1541">
        <v>501</v>
      </c>
      <c r="D1541">
        <v>7</v>
      </c>
      <c r="E1541">
        <v>1</v>
      </c>
      <c r="F1541" t="s">
        <v>42</v>
      </c>
      <c r="G1541" t="s">
        <v>32</v>
      </c>
      <c r="H1541" t="s">
        <v>33</v>
      </c>
      <c r="I1541" t="s">
        <v>94</v>
      </c>
      <c r="J1541" t="s">
        <v>44</v>
      </c>
      <c r="K1541" t="s">
        <v>36</v>
      </c>
      <c r="L1541" t="s">
        <v>45</v>
      </c>
      <c r="M1541">
        <v>0</v>
      </c>
      <c r="N1541">
        <v>0</v>
      </c>
      <c r="O1541" s="5"/>
      <c r="P1541" s="5">
        <v>50585</v>
      </c>
      <c r="Q1541">
        <v>31</v>
      </c>
      <c r="R1541" t="s">
        <v>145</v>
      </c>
      <c r="S1541" t="s">
        <v>102</v>
      </c>
      <c r="T1541">
        <v>28</v>
      </c>
      <c r="W1541">
        <v>12.8</v>
      </c>
      <c r="X1541">
        <v>28.5</v>
      </c>
      <c r="Z1541" t="s">
        <v>39</v>
      </c>
    </row>
    <row r="1542" spans="1:29" x14ac:dyDescent="0.35">
      <c r="A1542" s="4">
        <v>42564</v>
      </c>
      <c r="B1542" t="s">
        <v>30</v>
      </c>
      <c r="C1542">
        <v>701</v>
      </c>
      <c r="D1542">
        <v>9</v>
      </c>
      <c r="E1542">
        <v>2</v>
      </c>
      <c r="F1542" t="s">
        <v>31</v>
      </c>
      <c r="G1542" t="s">
        <v>32</v>
      </c>
      <c r="H1542" t="s">
        <v>33</v>
      </c>
      <c r="I1542" t="s">
        <v>94</v>
      </c>
      <c r="J1542" t="s">
        <v>44</v>
      </c>
      <c r="K1542" t="s">
        <v>36</v>
      </c>
      <c r="L1542" t="s">
        <v>45</v>
      </c>
      <c r="M1542">
        <v>0</v>
      </c>
      <c r="N1542">
        <v>0</v>
      </c>
      <c r="O1542" s="5"/>
      <c r="P1542" s="5">
        <v>50481</v>
      </c>
      <c r="Q1542">
        <f>36-9</f>
        <v>27</v>
      </c>
      <c r="R1542" t="s">
        <v>145</v>
      </c>
      <c r="S1542" t="s">
        <v>102</v>
      </c>
      <c r="T1542">
        <v>28</v>
      </c>
      <c r="Z1542" t="s">
        <v>39</v>
      </c>
      <c r="AB1542" t="s">
        <v>86</v>
      </c>
      <c r="AC1542" t="s">
        <v>87</v>
      </c>
    </row>
    <row r="1543" spans="1:29" x14ac:dyDescent="0.35">
      <c r="A1543" s="4">
        <v>42564</v>
      </c>
      <c r="B1543" t="s">
        <v>30</v>
      </c>
      <c r="C1543">
        <v>803</v>
      </c>
      <c r="D1543">
        <v>7</v>
      </c>
      <c r="E1543">
        <v>2</v>
      </c>
      <c r="F1543" t="s">
        <v>31</v>
      </c>
      <c r="G1543" t="s">
        <v>32</v>
      </c>
      <c r="H1543" t="s">
        <v>33</v>
      </c>
      <c r="I1543" t="s">
        <v>94</v>
      </c>
      <c r="J1543" t="s">
        <v>35</v>
      </c>
      <c r="K1543" t="s">
        <v>36</v>
      </c>
      <c r="L1543" t="s">
        <v>45</v>
      </c>
      <c r="M1543">
        <v>0</v>
      </c>
      <c r="N1543">
        <v>1</v>
      </c>
      <c r="O1543" s="5"/>
      <c r="P1543" s="5">
        <v>50771</v>
      </c>
      <c r="Q1543">
        <v>31</v>
      </c>
      <c r="R1543" t="s">
        <v>145</v>
      </c>
      <c r="S1543" t="s">
        <v>102</v>
      </c>
      <c r="T1543">
        <v>30</v>
      </c>
      <c r="W1543">
        <v>13</v>
      </c>
      <c r="X1543">
        <v>27.5</v>
      </c>
      <c r="Z1543" t="s">
        <v>39</v>
      </c>
      <c r="AB1543" t="s">
        <v>86</v>
      </c>
      <c r="AC1543" t="s">
        <v>87</v>
      </c>
    </row>
    <row r="1544" spans="1:29" x14ac:dyDescent="0.35">
      <c r="A1544" s="4">
        <v>42565</v>
      </c>
      <c r="B1544" t="s">
        <v>30</v>
      </c>
      <c r="C1544">
        <v>701</v>
      </c>
      <c r="D1544">
        <v>1</v>
      </c>
      <c r="E1544">
        <v>1</v>
      </c>
      <c r="F1544" t="s">
        <v>31</v>
      </c>
      <c r="G1544" t="s">
        <v>32</v>
      </c>
      <c r="H1544" t="s">
        <v>33</v>
      </c>
      <c r="I1544" t="s">
        <v>43</v>
      </c>
      <c r="J1544" t="s">
        <v>44</v>
      </c>
      <c r="K1544" t="s">
        <v>36</v>
      </c>
      <c r="L1544" t="s">
        <v>37</v>
      </c>
      <c r="M1544">
        <v>0</v>
      </c>
      <c r="N1544">
        <v>0</v>
      </c>
      <c r="O1544" s="5">
        <v>50370</v>
      </c>
      <c r="P1544" s="5">
        <v>50369</v>
      </c>
      <c r="Q1544">
        <f>28-10.5</f>
        <v>17.5</v>
      </c>
      <c r="R1544" t="s">
        <v>38</v>
      </c>
      <c r="T1544">
        <v>20</v>
      </c>
      <c r="U1544">
        <v>72</v>
      </c>
      <c r="V1544">
        <v>15</v>
      </c>
      <c r="W1544">
        <v>12.8</v>
      </c>
      <c r="X1544">
        <v>27.9</v>
      </c>
      <c r="Z1544" t="s">
        <v>39</v>
      </c>
      <c r="AB1544" t="s">
        <v>86</v>
      </c>
      <c r="AC1544" t="s">
        <v>137</v>
      </c>
    </row>
    <row r="1545" spans="1:29" x14ac:dyDescent="0.35">
      <c r="A1545" s="4">
        <v>42565</v>
      </c>
      <c r="B1545" t="s">
        <v>30</v>
      </c>
      <c r="C1545">
        <v>503</v>
      </c>
      <c r="D1545">
        <v>10</v>
      </c>
      <c r="E1545">
        <v>1</v>
      </c>
      <c r="F1545" t="s">
        <v>42</v>
      </c>
      <c r="G1545" t="s">
        <v>32</v>
      </c>
      <c r="H1545" t="s">
        <v>33</v>
      </c>
      <c r="I1545" t="s">
        <v>43</v>
      </c>
      <c r="J1545" t="s">
        <v>44</v>
      </c>
      <c r="K1545" t="s">
        <v>36</v>
      </c>
      <c r="L1545" t="s">
        <v>37</v>
      </c>
      <c r="M1545">
        <v>0</v>
      </c>
      <c r="N1545">
        <v>0</v>
      </c>
      <c r="O1545" s="5">
        <v>50435</v>
      </c>
      <c r="P1545" s="5">
        <v>50436</v>
      </c>
      <c r="Q1545">
        <f>31-11</f>
        <v>20</v>
      </c>
      <c r="R1545" t="s">
        <v>38</v>
      </c>
      <c r="T1545">
        <v>20</v>
      </c>
      <c r="U1545">
        <v>82</v>
      </c>
      <c r="V1545">
        <v>15</v>
      </c>
      <c r="W1545">
        <v>13.4</v>
      </c>
      <c r="X1545">
        <v>28</v>
      </c>
      <c r="Z1545" t="s">
        <v>39</v>
      </c>
      <c r="AB1545" t="s">
        <v>214</v>
      </c>
      <c r="AC1545" t="s">
        <v>137</v>
      </c>
    </row>
    <row r="1546" spans="1:29" x14ac:dyDescent="0.35">
      <c r="A1546" s="4">
        <v>42565</v>
      </c>
      <c r="B1546" t="s">
        <v>30</v>
      </c>
      <c r="C1546">
        <v>503</v>
      </c>
      <c r="D1546">
        <v>8</v>
      </c>
      <c r="E1546">
        <v>2</v>
      </c>
      <c r="F1546" t="s">
        <v>42</v>
      </c>
      <c r="G1546" t="s">
        <v>32</v>
      </c>
      <c r="H1546" t="s">
        <v>33</v>
      </c>
      <c r="I1546" t="s">
        <v>43</v>
      </c>
      <c r="J1546" t="s">
        <v>44</v>
      </c>
      <c r="K1546" t="s">
        <v>113</v>
      </c>
      <c r="L1546" t="s">
        <v>45</v>
      </c>
      <c r="M1546">
        <v>0</v>
      </c>
      <c r="N1546">
        <v>0</v>
      </c>
      <c r="O1546" s="5">
        <v>50442</v>
      </c>
      <c r="P1546" s="5">
        <v>50441</v>
      </c>
      <c r="Q1546">
        <v>13</v>
      </c>
      <c r="R1546" t="s">
        <v>46</v>
      </c>
      <c r="S1546" t="s">
        <v>39</v>
      </c>
      <c r="T1546">
        <v>19</v>
      </c>
      <c r="U1546">
        <v>79</v>
      </c>
      <c r="V1546">
        <v>14</v>
      </c>
      <c r="W1546">
        <v>12.5</v>
      </c>
      <c r="X1546">
        <v>22.9</v>
      </c>
      <c r="Z1546" t="s">
        <v>39</v>
      </c>
      <c r="AB1546" t="s">
        <v>215</v>
      </c>
      <c r="AC1546" t="s">
        <v>137</v>
      </c>
    </row>
    <row r="1547" spans="1:29" x14ac:dyDescent="0.35">
      <c r="A1547" s="4">
        <v>42565</v>
      </c>
      <c r="B1547" t="s">
        <v>30</v>
      </c>
      <c r="C1547">
        <v>503</v>
      </c>
      <c r="D1547">
        <v>6</v>
      </c>
      <c r="E1547">
        <v>2</v>
      </c>
      <c r="F1547" t="s">
        <v>42</v>
      </c>
      <c r="G1547" t="s">
        <v>32</v>
      </c>
      <c r="H1547" t="s">
        <v>33</v>
      </c>
      <c r="I1547" t="s">
        <v>43</v>
      </c>
      <c r="J1547" t="s">
        <v>44</v>
      </c>
      <c r="K1547" t="s">
        <v>113</v>
      </c>
      <c r="L1547" t="s">
        <v>37</v>
      </c>
      <c r="M1547">
        <v>0</v>
      </c>
      <c r="N1547">
        <v>0</v>
      </c>
      <c r="O1547" s="5">
        <v>50446</v>
      </c>
      <c r="P1547" s="5">
        <v>50434</v>
      </c>
      <c r="Q1547">
        <f>28.5-13</f>
        <v>15.5</v>
      </c>
      <c r="R1547" t="s">
        <v>64</v>
      </c>
      <c r="T1547">
        <v>18</v>
      </c>
      <c r="U1547">
        <v>80</v>
      </c>
      <c r="V1547">
        <v>13</v>
      </c>
      <c r="W1547">
        <v>12.4</v>
      </c>
      <c r="X1547">
        <v>29.6</v>
      </c>
      <c r="Z1547" t="s">
        <v>39</v>
      </c>
      <c r="AB1547" t="s">
        <v>214</v>
      </c>
      <c r="AC1547" t="s">
        <v>137</v>
      </c>
    </row>
    <row r="1548" spans="1:29" x14ac:dyDescent="0.35">
      <c r="A1548" s="4">
        <v>42565</v>
      </c>
      <c r="B1548" t="s">
        <v>30</v>
      </c>
      <c r="C1548">
        <v>501</v>
      </c>
      <c r="D1548">
        <v>4</v>
      </c>
      <c r="E1548">
        <v>1</v>
      </c>
      <c r="F1548" t="s">
        <v>42</v>
      </c>
      <c r="G1548" t="s">
        <v>32</v>
      </c>
      <c r="H1548" t="s">
        <v>33</v>
      </c>
      <c r="I1548" t="s">
        <v>43</v>
      </c>
      <c r="J1548" t="s">
        <v>44</v>
      </c>
      <c r="K1548" t="s">
        <v>113</v>
      </c>
      <c r="L1548" t="s">
        <v>45</v>
      </c>
      <c r="M1548">
        <v>0</v>
      </c>
      <c r="N1548">
        <v>0</v>
      </c>
      <c r="O1548" s="5">
        <v>50448</v>
      </c>
      <c r="P1548" s="5">
        <v>50447</v>
      </c>
      <c r="Q1548">
        <f>28.5-11.5</f>
        <v>17</v>
      </c>
      <c r="R1548" t="s">
        <v>64</v>
      </c>
      <c r="T1548">
        <v>19</v>
      </c>
      <c r="U1548">
        <v>90</v>
      </c>
      <c r="V1548">
        <v>15</v>
      </c>
      <c r="W1548">
        <v>12.8</v>
      </c>
      <c r="X1548">
        <v>27.7</v>
      </c>
      <c r="Z1548" t="s">
        <v>39</v>
      </c>
      <c r="AB1548" t="s">
        <v>214</v>
      </c>
      <c r="AC1548" t="s">
        <v>137</v>
      </c>
    </row>
    <row r="1549" spans="1:29" x14ac:dyDescent="0.35">
      <c r="A1549" s="4">
        <v>42565</v>
      </c>
      <c r="B1549" t="s">
        <v>30</v>
      </c>
      <c r="C1549">
        <v>803</v>
      </c>
      <c r="D1549">
        <v>8</v>
      </c>
      <c r="E1549">
        <v>1</v>
      </c>
      <c r="F1549" t="s">
        <v>31</v>
      </c>
      <c r="G1549" t="s">
        <v>32</v>
      </c>
      <c r="H1549" t="s">
        <v>33</v>
      </c>
      <c r="I1549" t="s">
        <v>43</v>
      </c>
      <c r="J1549" t="s">
        <v>44</v>
      </c>
      <c r="K1549" t="s">
        <v>36</v>
      </c>
      <c r="L1549" t="s">
        <v>45</v>
      </c>
      <c r="M1549">
        <v>0</v>
      </c>
      <c r="N1549">
        <v>0</v>
      </c>
      <c r="O1549" s="5">
        <v>50451</v>
      </c>
      <c r="P1549" s="5">
        <v>50450</v>
      </c>
      <c r="Q1549">
        <f>30.5-12</f>
        <v>18.5</v>
      </c>
      <c r="R1549" t="s">
        <v>161</v>
      </c>
      <c r="S1549" t="s">
        <v>102</v>
      </c>
      <c r="T1549">
        <v>20</v>
      </c>
      <c r="U1549">
        <v>82</v>
      </c>
      <c r="V1549">
        <v>15</v>
      </c>
      <c r="W1549">
        <v>12.7</v>
      </c>
      <c r="X1549">
        <v>26.6</v>
      </c>
      <c r="Z1549" t="s">
        <v>39</v>
      </c>
      <c r="AB1549" t="s">
        <v>86</v>
      </c>
      <c r="AC1549" t="s">
        <v>137</v>
      </c>
    </row>
    <row r="1550" spans="1:29" x14ac:dyDescent="0.35">
      <c r="A1550" s="4">
        <v>42565</v>
      </c>
      <c r="B1550" t="s">
        <v>30</v>
      </c>
      <c r="C1550">
        <v>701</v>
      </c>
      <c r="D1550">
        <v>6</v>
      </c>
      <c r="E1550">
        <v>2</v>
      </c>
      <c r="F1550" t="s">
        <v>31</v>
      </c>
      <c r="G1550" t="s">
        <v>32</v>
      </c>
      <c r="H1550" t="s">
        <v>33</v>
      </c>
      <c r="I1550" t="s">
        <v>43</v>
      </c>
      <c r="J1550" t="s">
        <v>44</v>
      </c>
      <c r="K1550" t="s">
        <v>36</v>
      </c>
      <c r="L1550" t="s">
        <v>37</v>
      </c>
      <c r="M1550">
        <v>0</v>
      </c>
      <c r="N1550">
        <v>0</v>
      </c>
      <c r="O1550" s="5">
        <v>50468</v>
      </c>
      <c r="P1550" s="5">
        <v>50467</v>
      </c>
      <c r="Q1550">
        <f>36-13</f>
        <v>23</v>
      </c>
      <c r="R1550" t="s">
        <v>38</v>
      </c>
      <c r="T1550">
        <v>21</v>
      </c>
      <c r="U1550">
        <v>91</v>
      </c>
      <c r="V1550">
        <v>17</v>
      </c>
      <c r="W1550">
        <v>13.3</v>
      </c>
      <c r="X1550">
        <v>28.6</v>
      </c>
      <c r="Z1550" t="s">
        <v>102</v>
      </c>
      <c r="AB1550" t="s">
        <v>86</v>
      </c>
      <c r="AC1550" t="s">
        <v>137</v>
      </c>
    </row>
    <row r="1551" spans="1:29" x14ac:dyDescent="0.35">
      <c r="A1551" s="4">
        <v>42565</v>
      </c>
      <c r="B1551" t="s">
        <v>30</v>
      </c>
      <c r="C1551">
        <v>701</v>
      </c>
      <c r="D1551">
        <v>8</v>
      </c>
      <c r="E1551">
        <v>2</v>
      </c>
      <c r="F1551" t="s">
        <v>31</v>
      </c>
      <c r="G1551" t="s">
        <v>32</v>
      </c>
      <c r="H1551" t="s">
        <v>33</v>
      </c>
      <c r="I1551" t="s">
        <v>43</v>
      </c>
      <c r="J1551" t="s">
        <v>44</v>
      </c>
      <c r="K1551" t="s">
        <v>88</v>
      </c>
      <c r="L1551" t="s">
        <v>37</v>
      </c>
      <c r="M1551">
        <v>0</v>
      </c>
      <c r="N1551">
        <v>0</v>
      </c>
      <c r="O1551" s="5">
        <v>50470</v>
      </c>
      <c r="P1551" s="5">
        <v>50469</v>
      </c>
      <c r="Q1551">
        <f>26-11</f>
        <v>15</v>
      </c>
      <c r="R1551" t="s">
        <v>46</v>
      </c>
      <c r="S1551" t="s">
        <v>39</v>
      </c>
      <c r="T1551">
        <v>19</v>
      </c>
      <c r="U1551">
        <v>71</v>
      </c>
      <c r="V1551">
        <v>16</v>
      </c>
      <c r="W1551">
        <v>12.7</v>
      </c>
      <c r="X1551">
        <v>26.6</v>
      </c>
      <c r="Z1551" t="s">
        <v>39</v>
      </c>
      <c r="AB1551" t="s">
        <v>86</v>
      </c>
      <c r="AC1551" t="s">
        <v>137</v>
      </c>
    </row>
    <row r="1552" spans="1:29" x14ac:dyDescent="0.35">
      <c r="A1552" s="4">
        <v>42565</v>
      </c>
      <c r="B1552" t="s">
        <v>30</v>
      </c>
      <c r="C1552">
        <v>703</v>
      </c>
      <c r="D1552">
        <v>3</v>
      </c>
      <c r="E1552">
        <v>1</v>
      </c>
      <c r="F1552" t="s">
        <v>31</v>
      </c>
      <c r="G1552" t="s">
        <v>32</v>
      </c>
      <c r="H1552" t="s">
        <v>33</v>
      </c>
      <c r="I1552" t="s">
        <v>43</v>
      </c>
      <c r="J1552" t="s">
        <v>44</v>
      </c>
      <c r="K1552" t="s">
        <v>88</v>
      </c>
      <c r="L1552" t="s">
        <v>45</v>
      </c>
      <c r="M1552">
        <v>0</v>
      </c>
      <c r="N1552">
        <v>0</v>
      </c>
      <c r="O1552" s="5">
        <v>50480</v>
      </c>
      <c r="P1552" s="5">
        <v>50479</v>
      </c>
      <c r="Q1552">
        <f>22-9</f>
        <v>13</v>
      </c>
      <c r="R1552" t="s">
        <v>46</v>
      </c>
      <c r="S1552" t="s">
        <v>39</v>
      </c>
      <c r="T1552">
        <v>18</v>
      </c>
      <c r="U1552">
        <v>70</v>
      </c>
      <c r="V1552">
        <v>16</v>
      </c>
      <c r="W1552">
        <v>12.7</v>
      </c>
      <c r="X1552">
        <v>26.4</v>
      </c>
      <c r="Z1552" t="s">
        <v>39</v>
      </c>
      <c r="AB1552" t="s">
        <v>86</v>
      </c>
      <c r="AC1552" t="s">
        <v>137</v>
      </c>
    </row>
    <row r="1553" spans="1:30" x14ac:dyDescent="0.35">
      <c r="A1553" s="4">
        <v>42565</v>
      </c>
      <c r="B1553" t="s">
        <v>30</v>
      </c>
      <c r="C1553">
        <v>701</v>
      </c>
      <c r="D1553">
        <v>5</v>
      </c>
      <c r="E1553">
        <v>1</v>
      </c>
      <c r="F1553" t="s">
        <v>31</v>
      </c>
      <c r="G1553" t="s">
        <v>32</v>
      </c>
      <c r="H1553" t="s">
        <v>33</v>
      </c>
      <c r="I1553" t="s">
        <v>43</v>
      </c>
      <c r="J1553" t="s">
        <v>44</v>
      </c>
      <c r="K1553" t="s">
        <v>88</v>
      </c>
      <c r="L1553" t="s">
        <v>37</v>
      </c>
      <c r="M1553">
        <v>0</v>
      </c>
      <c r="N1553">
        <v>0</v>
      </c>
      <c r="O1553" s="5">
        <v>50503</v>
      </c>
      <c r="P1553" s="5">
        <v>50502</v>
      </c>
      <c r="Q1553">
        <f>23-9.5</f>
        <v>13.5</v>
      </c>
      <c r="R1553" t="s">
        <v>64</v>
      </c>
      <c r="T1553">
        <v>20</v>
      </c>
      <c r="U1553">
        <v>80</v>
      </c>
      <c r="V1553">
        <v>14</v>
      </c>
      <c r="W1553">
        <v>12.9</v>
      </c>
      <c r="X1553">
        <v>26.9</v>
      </c>
      <c r="Z1553" t="s">
        <v>39</v>
      </c>
      <c r="AB1553" t="s">
        <v>86</v>
      </c>
      <c r="AC1553" t="s">
        <v>137</v>
      </c>
    </row>
    <row r="1554" spans="1:30" x14ac:dyDescent="0.35">
      <c r="A1554" s="4">
        <v>42565</v>
      </c>
      <c r="B1554" t="s">
        <v>30</v>
      </c>
      <c r="C1554">
        <v>701</v>
      </c>
      <c r="D1554">
        <v>3</v>
      </c>
      <c r="E1554">
        <v>1</v>
      </c>
      <c r="F1554" t="s">
        <v>31</v>
      </c>
      <c r="G1554" t="s">
        <v>32</v>
      </c>
      <c r="H1554" t="s">
        <v>33</v>
      </c>
      <c r="I1554" t="s">
        <v>43</v>
      </c>
      <c r="J1554" t="s">
        <v>44</v>
      </c>
      <c r="K1554" t="s">
        <v>113</v>
      </c>
      <c r="L1554" t="s">
        <v>37</v>
      </c>
      <c r="M1554">
        <v>0</v>
      </c>
      <c r="N1554">
        <v>0</v>
      </c>
      <c r="O1554" s="5">
        <v>50506</v>
      </c>
      <c r="P1554" s="5">
        <v>50505</v>
      </c>
      <c r="Q1554">
        <f>27-10</f>
        <v>17</v>
      </c>
      <c r="R1554" t="s">
        <v>64</v>
      </c>
      <c r="T1554">
        <v>19</v>
      </c>
      <c r="U1554">
        <v>83</v>
      </c>
      <c r="V1554">
        <v>16</v>
      </c>
      <c r="W1554">
        <v>12.7</v>
      </c>
      <c r="X1554">
        <v>27.4</v>
      </c>
      <c r="Z1554" t="s">
        <v>102</v>
      </c>
      <c r="AA1554" t="s">
        <v>201</v>
      </c>
      <c r="AB1554" t="s">
        <v>86</v>
      </c>
      <c r="AC1554" t="s">
        <v>137</v>
      </c>
    </row>
    <row r="1555" spans="1:30" x14ac:dyDescent="0.35">
      <c r="A1555" s="4">
        <v>42565</v>
      </c>
      <c r="B1555" t="s">
        <v>30</v>
      </c>
      <c r="C1555">
        <v>701</v>
      </c>
      <c r="D1555">
        <v>5</v>
      </c>
      <c r="E1555">
        <v>2</v>
      </c>
      <c r="F1555" t="s">
        <v>31</v>
      </c>
      <c r="G1555" t="s">
        <v>32</v>
      </c>
      <c r="H1555" t="s">
        <v>33</v>
      </c>
      <c r="I1555" t="s">
        <v>43</v>
      </c>
      <c r="J1555" t="s">
        <v>44</v>
      </c>
      <c r="K1555" t="s">
        <v>88</v>
      </c>
      <c r="L1555" t="s">
        <v>45</v>
      </c>
      <c r="M1555">
        <v>0</v>
      </c>
      <c r="N1555">
        <v>0</v>
      </c>
      <c r="O1555" s="5">
        <v>50508</v>
      </c>
      <c r="P1555" s="5">
        <v>50507</v>
      </c>
      <c r="Q1555">
        <f>26-9.5</f>
        <v>16.5</v>
      </c>
      <c r="R1555" t="s">
        <v>46</v>
      </c>
      <c r="S1555" t="s">
        <v>39</v>
      </c>
      <c r="T1555">
        <v>20</v>
      </c>
      <c r="U1555">
        <v>79</v>
      </c>
      <c r="V1555">
        <v>15</v>
      </c>
      <c r="W1555">
        <v>12.7</v>
      </c>
      <c r="X1555">
        <v>26.3</v>
      </c>
      <c r="Z1555" t="s">
        <v>39</v>
      </c>
      <c r="AB1555" t="s">
        <v>86</v>
      </c>
      <c r="AC1555" t="s">
        <v>137</v>
      </c>
    </row>
    <row r="1556" spans="1:30" x14ac:dyDescent="0.35">
      <c r="A1556" s="4">
        <v>42565</v>
      </c>
      <c r="B1556" t="s">
        <v>30</v>
      </c>
      <c r="C1556">
        <v>703</v>
      </c>
      <c r="D1556">
        <v>4</v>
      </c>
      <c r="E1556">
        <v>2</v>
      </c>
      <c r="F1556" t="s">
        <v>31</v>
      </c>
      <c r="G1556" t="s">
        <v>32</v>
      </c>
      <c r="H1556" t="s">
        <v>33</v>
      </c>
      <c r="I1556" t="s">
        <v>43</v>
      </c>
      <c r="J1556" t="s">
        <v>44</v>
      </c>
      <c r="K1556" t="s">
        <v>88</v>
      </c>
      <c r="L1556" t="s">
        <v>45</v>
      </c>
      <c r="M1556">
        <v>0</v>
      </c>
      <c r="N1556">
        <v>0</v>
      </c>
      <c r="O1556" s="5">
        <v>50517</v>
      </c>
      <c r="P1556" s="5">
        <v>50516</v>
      </c>
      <c r="Q1556">
        <f>27-12</f>
        <v>15</v>
      </c>
      <c r="R1556" t="s">
        <v>46</v>
      </c>
      <c r="S1556" t="s">
        <v>39</v>
      </c>
      <c r="T1556">
        <v>19</v>
      </c>
      <c r="U1556">
        <v>67</v>
      </c>
      <c r="V1556">
        <v>14</v>
      </c>
      <c r="W1556">
        <v>12.8</v>
      </c>
      <c r="X1556">
        <v>26.7</v>
      </c>
      <c r="Z1556" t="s">
        <v>39</v>
      </c>
      <c r="AB1556" t="s">
        <v>86</v>
      </c>
      <c r="AC1556" t="s">
        <v>137</v>
      </c>
    </row>
    <row r="1557" spans="1:30" x14ac:dyDescent="0.35">
      <c r="A1557" s="4">
        <v>42565</v>
      </c>
      <c r="B1557" t="s">
        <v>30</v>
      </c>
      <c r="C1557">
        <v>503</v>
      </c>
      <c r="D1557">
        <v>2</v>
      </c>
      <c r="E1557">
        <v>1</v>
      </c>
      <c r="F1557" t="s">
        <v>42</v>
      </c>
      <c r="G1557" t="s">
        <v>32</v>
      </c>
      <c r="H1557" t="s">
        <v>33</v>
      </c>
      <c r="I1557" t="s">
        <v>43</v>
      </c>
      <c r="J1557" t="s">
        <v>44</v>
      </c>
      <c r="K1557" t="s">
        <v>113</v>
      </c>
      <c r="L1557" t="s">
        <v>45</v>
      </c>
      <c r="M1557">
        <v>0</v>
      </c>
      <c r="N1557">
        <v>0</v>
      </c>
      <c r="O1557" s="5">
        <v>50550</v>
      </c>
      <c r="P1557" s="5">
        <v>50549</v>
      </c>
      <c r="Q1557">
        <v>14</v>
      </c>
      <c r="R1557" t="s">
        <v>46</v>
      </c>
      <c r="S1557" t="s">
        <v>39</v>
      </c>
      <c r="T1557">
        <v>16</v>
      </c>
      <c r="U1557">
        <v>75</v>
      </c>
      <c r="V1557">
        <v>15</v>
      </c>
      <c r="W1557">
        <v>12.6</v>
      </c>
      <c r="X1557">
        <v>28.2</v>
      </c>
      <c r="Z1557" t="s">
        <v>39</v>
      </c>
      <c r="AB1557" t="s">
        <v>214</v>
      </c>
      <c r="AC1557" t="s">
        <v>137</v>
      </c>
    </row>
    <row r="1558" spans="1:30" x14ac:dyDescent="0.35">
      <c r="A1558" s="4">
        <v>42565</v>
      </c>
      <c r="B1558" t="s">
        <v>30</v>
      </c>
      <c r="C1558">
        <v>303</v>
      </c>
      <c r="D1558">
        <v>6</v>
      </c>
      <c r="E1558">
        <v>1</v>
      </c>
      <c r="F1558" t="s">
        <v>42</v>
      </c>
      <c r="G1558" t="s">
        <v>32</v>
      </c>
      <c r="H1558" t="s">
        <v>33</v>
      </c>
      <c r="I1558" t="s">
        <v>43</v>
      </c>
      <c r="J1558" t="s">
        <v>44</v>
      </c>
      <c r="K1558" t="s">
        <v>36</v>
      </c>
      <c r="L1558" t="s">
        <v>45</v>
      </c>
      <c r="M1558">
        <v>0</v>
      </c>
      <c r="N1558">
        <v>0</v>
      </c>
      <c r="O1558" s="5">
        <v>50582</v>
      </c>
      <c r="P1558" s="5">
        <v>50581</v>
      </c>
      <c r="Q1558">
        <v>22</v>
      </c>
      <c r="R1558" t="s">
        <v>77</v>
      </c>
      <c r="S1558" t="s">
        <v>39</v>
      </c>
      <c r="T1558">
        <v>19</v>
      </c>
      <c r="U1558">
        <v>85</v>
      </c>
      <c r="V1558">
        <v>16</v>
      </c>
      <c r="W1558">
        <v>11.9</v>
      </c>
      <c r="X1558">
        <v>28</v>
      </c>
      <c r="Z1558" t="s">
        <v>39</v>
      </c>
      <c r="AB1558" t="s">
        <v>214</v>
      </c>
      <c r="AC1558" t="s">
        <v>137</v>
      </c>
    </row>
    <row r="1559" spans="1:30" x14ac:dyDescent="0.35">
      <c r="A1559" s="4">
        <v>42565</v>
      </c>
      <c r="B1559" t="s">
        <v>30</v>
      </c>
      <c r="C1559">
        <v>701</v>
      </c>
      <c r="D1559">
        <v>9</v>
      </c>
      <c r="E1559">
        <v>2</v>
      </c>
      <c r="F1559" t="s">
        <v>31</v>
      </c>
      <c r="G1559" t="s">
        <v>32</v>
      </c>
      <c r="H1559" t="s">
        <v>33</v>
      </c>
      <c r="I1559" t="s">
        <v>43</v>
      </c>
      <c r="J1559" t="s">
        <v>44</v>
      </c>
      <c r="K1559" t="s">
        <v>113</v>
      </c>
      <c r="L1559" t="s">
        <v>37</v>
      </c>
      <c r="M1559">
        <v>0</v>
      </c>
      <c r="N1559">
        <v>0</v>
      </c>
      <c r="O1559" s="5">
        <v>50584</v>
      </c>
      <c r="P1559" s="5">
        <v>50583</v>
      </c>
      <c r="Q1559">
        <v>18</v>
      </c>
      <c r="R1559" t="s">
        <v>38</v>
      </c>
      <c r="T1559">
        <v>19</v>
      </c>
      <c r="U1559">
        <v>80</v>
      </c>
      <c r="V1559">
        <v>16</v>
      </c>
      <c r="W1559">
        <v>13.1</v>
      </c>
      <c r="X1559">
        <v>26.8</v>
      </c>
      <c r="Z1559" t="s">
        <v>39</v>
      </c>
      <c r="AB1559" t="s">
        <v>86</v>
      </c>
      <c r="AC1559" t="s">
        <v>137</v>
      </c>
    </row>
    <row r="1560" spans="1:30" x14ac:dyDescent="0.35">
      <c r="A1560" s="4">
        <v>42565</v>
      </c>
      <c r="B1560" t="s">
        <v>30</v>
      </c>
      <c r="C1560">
        <v>401</v>
      </c>
      <c r="D1560">
        <v>3</v>
      </c>
      <c r="E1560">
        <v>1</v>
      </c>
      <c r="F1560" t="s">
        <v>42</v>
      </c>
      <c r="G1560" t="s">
        <v>32</v>
      </c>
      <c r="H1560" t="s">
        <v>33</v>
      </c>
      <c r="I1560" t="s">
        <v>43</v>
      </c>
      <c r="J1560" t="s">
        <v>44</v>
      </c>
      <c r="K1560" t="s">
        <v>113</v>
      </c>
      <c r="L1560" t="s">
        <v>37</v>
      </c>
      <c r="M1560">
        <v>0</v>
      </c>
      <c r="N1560">
        <v>0</v>
      </c>
      <c r="O1560" s="5">
        <v>50590</v>
      </c>
      <c r="P1560" s="5">
        <v>50589</v>
      </c>
      <c r="Q1560">
        <f>29-12</f>
        <v>17</v>
      </c>
      <c r="R1560" t="s">
        <v>38</v>
      </c>
      <c r="T1560">
        <v>17</v>
      </c>
      <c r="U1560">
        <v>77</v>
      </c>
      <c r="V1560">
        <v>16.5</v>
      </c>
      <c r="W1560">
        <v>13</v>
      </c>
      <c r="X1560">
        <v>25.8</v>
      </c>
      <c r="Z1560" t="s">
        <v>39</v>
      </c>
      <c r="AB1560" t="s">
        <v>214</v>
      </c>
    </row>
    <row r="1561" spans="1:30" x14ac:dyDescent="0.35">
      <c r="A1561" s="4">
        <v>42565</v>
      </c>
      <c r="B1561" t="s">
        <v>30</v>
      </c>
      <c r="C1561">
        <v>701</v>
      </c>
      <c r="D1561">
        <v>9</v>
      </c>
      <c r="E1561">
        <v>1</v>
      </c>
      <c r="F1561" t="s">
        <v>31</v>
      </c>
      <c r="G1561" t="s">
        <v>32</v>
      </c>
      <c r="H1561" t="s">
        <v>33</v>
      </c>
      <c r="I1561" t="s">
        <v>43</v>
      </c>
      <c r="J1561" t="s">
        <v>44</v>
      </c>
      <c r="K1561" t="s">
        <v>88</v>
      </c>
      <c r="L1561" t="s">
        <v>45</v>
      </c>
      <c r="M1561">
        <v>0</v>
      </c>
      <c r="N1561">
        <v>0</v>
      </c>
      <c r="O1561" s="5">
        <v>50610</v>
      </c>
      <c r="P1561" s="5">
        <v>50609</v>
      </c>
      <c r="Q1561">
        <v>13</v>
      </c>
      <c r="R1561" t="s">
        <v>46</v>
      </c>
      <c r="S1561" t="s">
        <v>39</v>
      </c>
      <c r="T1561">
        <v>18</v>
      </c>
      <c r="U1561">
        <v>65</v>
      </c>
      <c r="V1561">
        <v>13</v>
      </c>
      <c r="W1561">
        <v>12.9</v>
      </c>
      <c r="X1561">
        <v>26.8</v>
      </c>
      <c r="Z1561" t="s">
        <v>39</v>
      </c>
      <c r="AB1561" t="s">
        <v>86</v>
      </c>
      <c r="AC1561" t="s">
        <v>137</v>
      </c>
    </row>
    <row r="1562" spans="1:30" x14ac:dyDescent="0.35">
      <c r="A1562" s="4">
        <v>42565</v>
      </c>
      <c r="B1562" t="s">
        <v>30</v>
      </c>
      <c r="C1562">
        <v>703</v>
      </c>
      <c r="D1562">
        <v>10</v>
      </c>
      <c r="E1562">
        <v>1</v>
      </c>
      <c r="F1562" t="s">
        <v>31</v>
      </c>
      <c r="G1562" t="s">
        <v>32</v>
      </c>
      <c r="H1562" t="s">
        <v>33</v>
      </c>
      <c r="I1562" t="s">
        <v>43</v>
      </c>
      <c r="J1562" t="s">
        <v>44</v>
      </c>
      <c r="K1562" t="s">
        <v>88</v>
      </c>
      <c r="L1562" t="s">
        <v>45</v>
      </c>
      <c r="M1562">
        <v>0</v>
      </c>
      <c r="N1562">
        <v>0</v>
      </c>
      <c r="O1562" s="5">
        <v>50612</v>
      </c>
      <c r="P1562" s="5">
        <v>50611</v>
      </c>
      <c r="Q1562">
        <f>21-9.5</f>
        <v>11.5</v>
      </c>
      <c r="R1562" t="s">
        <v>46</v>
      </c>
      <c r="S1562" t="s">
        <v>39</v>
      </c>
      <c r="T1562">
        <v>21</v>
      </c>
      <c r="U1562">
        <v>71</v>
      </c>
      <c r="V1562">
        <v>15</v>
      </c>
      <c r="W1562">
        <v>12.9</v>
      </c>
      <c r="X1562">
        <v>26.4</v>
      </c>
      <c r="Z1562" t="s">
        <v>39</v>
      </c>
      <c r="AB1562" t="s">
        <v>86</v>
      </c>
      <c r="AC1562" t="s">
        <v>137</v>
      </c>
    </row>
    <row r="1563" spans="1:30" x14ac:dyDescent="0.35">
      <c r="A1563" s="4">
        <v>42565</v>
      </c>
      <c r="B1563" t="s">
        <v>30</v>
      </c>
      <c r="C1563">
        <v>801</v>
      </c>
      <c r="D1563">
        <v>5</v>
      </c>
      <c r="E1563">
        <v>1</v>
      </c>
      <c r="F1563" t="s">
        <v>31</v>
      </c>
      <c r="G1563" t="s">
        <v>32</v>
      </c>
      <c r="H1563" t="s">
        <v>33</v>
      </c>
      <c r="I1563" t="s">
        <v>43</v>
      </c>
      <c r="J1563" t="s">
        <v>44</v>
      </c>
      <c r="K1563" t="s">
        <v>113</v>
      </c>
      <c r="L1563" t="s">
        <v>45</v>
      </c>
      <c r="M1563">
        <v>0</v>
      </c>
      <c r="N1563">
        <v>0</v>
      </c>
      <c r="O1563" s="5">
        <v>50614</v>
      </c>
      <c r="P1563" s="5">
        <v>50613</v>
      </c>
      <c r="Q1563">
        <v>23</v>
      </c>
      <c r="R1563" t="s">
        <v>145</v>
      </c>
      <c r="S1563" t="s">
        <v>102</v>
      </c>
      <c r="T1563">
        <v>20</v>
      </c>
      <c r="U1563">
        <v>80</v>
      </c>
      <c r="V1563">
        <v>14</v>
      </c>
      <c r="W1563">
        <v>12.8</v>
      </c>
      <c r="X1563">
        <v>26.5</v>
      </c>
      <c r="Z1563" t="s">
        <v>39</v>
      </c>
      <c r="AB1563" t="s">
        <v>86</v>
      </c>
      <c r="AC1563" t="s">
        <v>137</v>
      </c>
    </row>
    <row r="1564" spans="1:30" x14ac:dyDescent="0.35">
      <c r="A1564" s="4">
        <v>42565</v>
      </c>
      <c r="B1564" t="s">
        <v>30</v>
      </c>
      <c r="C1564">
        <v>901</v>
      </c>
      <c r="D1564">
        <v>9</v>
      </c>
      <c r="E1564">
        <v>1</v>
      </c>
      <c r="F1564" t="s">
        <v>31</v>
      </c>
      <c r="G1564" t="s">
        <v>32</v>
      </c>
      <c r="H1564" t="s">
        <v>33</v>
      </c>
      <c r="I1564" t="s">
        <v>43</v>
      </c>
      <c r="J1564" t="s">
        <v>44</v>
      </c>
      <c r="K1564" t="s">
        <v>36</v>
      </c>
      <c r="L1564" t="s">
        <v>45</v>
      </c>
      <c r="M1564">
        <v>0</v>
      </c>
      <c r="N1564">
        <v>0</v>
      </c>
      <c r="O1564" s="5">
        <v>50617</v>
      </c>
      <c r="P1564" s="5">
        <v>50616</v>
      </c>
      <c r="Q1564">
        <f>30-11.5</f>
        <v>18.5</v>
      </c>
      <c r="R1564" t="s">
        <v>145</v>
      </c>
      <c r="S1564" t="s">
        <v>102</v>
      </c>
      <c r="T1564">
        <v>20</v>
      </c>
      <c r="U1564">
        <v>88</v>
      </c>
      <c r="V1564">
        <v>15</v>
      </c>
      <c r="W1564">
        <v>12.8</v>
      </c>
      <c r="X1564">
        <v>27</v>
      </c>
      <c r="Z1564" t="s">
        <v>39</v>
      </c>
      <c r="AB1564" t="s">
        <v>86</v>
      </c>
      <c r="AC1564" t="s">
        <v>137</v>
      </c>
    </row>
    <row r="1565" spans="1:30" x14ac:dyDescent="0.35">
      <c r="A1565" s="4">
        <v>42565</v>
      </c>
      <c r="B1565" t="s">
        <v>30</v>
      </c>
      <c r="C1565">
        <v>801</v>
      </c>
      <c r="D1565">
        <v>6</v>
      </c>
      <c r="E1565">
        <v>1</v>
      </c>
      <c r="F1565" t="s">
        <v>31</v>
      </c>
      <c r="G1565" t="s">
        <v>32</v>
      </c>
      <c r="H1565" t="s">
        <v>33</v>
      </c>
      <c r="I1565" t="s">
        <v>43</v>
      </c>
      <c r="J1565" t="s">
        <v>44</v>
      </c>
      <c r="K1565" t="s">
        <v>36</v>
      </c>
      <c r="L1565" t="s">
        <v>37</v>
      </c>
      <c r="M1565">
        <v>0</v>
      </c>
      <c r="N1565">
        <v>0</v>
      </c>
      <c r="O1565" s="5">
        <v>50677</v>
      </c>
      <c r="P1565" s="5">
        <v>50676</v>
      </c>
      <c r="Q1565">
        <v>19</v>
      </c>
      <c r="R1565" t="s">
        <v>38</v>
      </c>
      <c r="T1565">
        <v>19</v>
      </c>
      <c r="U1565">
        <v>85</v>
      </c>
      <c r="V1565">
        <v>15</v>
      </c>
      <c r="W1565">
        <v>13</v>
      </c>
      <c r="X1565">
        <v>27.6</v>
      </c>
      <c r="Z1565" t="s">
        <v>39</v>
      </c>
      <c r="AB1565" t="s">
        <v>86</v>
      </c>
      <c r="AC1565" t="s">
        <v>137</v>
      </c>
      <c r="AD1565" t="s">
        <v>216</v>
      </c>
    </row>
    <row r="1566" spans="1:30" x14ac:dyDescent="0.35">
      <c r="A1566" s="4">
        <v>42565</v>
      </c>
      <c r="B1566" t="s">
        <v>30</v>
      </c>
      <c r="C1566">
        <v>703</v>
      </c>
      <c r="D1566">
        <v>6</v>
      </c>
      <c r="E1566">
        <v>1</v>
      </c>
      <c r="F1566" t="s">
        <v>31</v>
      </c>
      <c r="G1566" t="s">
        <v>32</v>
      </c>
      <c r="H1566" t="s">
        <v>33</v>
      </c>
      <c r="I1566" t="s">
        <v>43</v>
      </c>
      <c r="J1566" t="s">
        <v>44</v>
      </c>
      <c r="K1566" t="s">
        <v>88</v>
      </c>
      <c r="L1566" t="s">
        <v>45</v>
      </c>
      <c r="M1566">
        <v>0</v>
      </c>
      <c r="N1566">
        <v>0</v>
      </c>
      <c r="O1566" s="5">
        <v>50690</v>
      </c>
      <c r="P1566" s="5">
        <v>50689</v>
      </c>
      <c r="Q1566">
        <f>24-11</f>
        <v>13</v>
      </c>
      <c r="R1566" t="s">
        <v>46</v>
      </c>
      <c r="S1566" t="s">
        <v>39</v>
      </c>
      <c r="T1566">
        <v>19</v>
      </c>
      <c r="U1566">
        <v>75</v>
      </c>
      <c r="V1566">
        <v>15</v>
      </c>
      <c r="W1566">
        <v>12.9</v>
      </c>
      <c r="X1566">
        <v>26.4</v>
      </c>
      <c r="Z1566" t="s">
        <v>102</v>
      </c>
      <c r="AB1566" t="s">
        <v>86</v>
      </c>
      <c r="AC1566" t="s">
        <v>137</v>
      </c>
    </row>
    <row r="1567" spans="1:30" x14ac:dyDescent="0.35">
      <c r="A1567" s="4">
        <v>42565</v>
      </c>
      <c r="B1567" t="s">
        <v>30</v>
      </c>
      <c r="C1567">
        <v>703</v>
      </c>
      <c r="D1567">
        <v>1</v>
      </c>
      <c r="E1567">
        <v>2</v>
      </c>
      <c r="F1567" t="s">
        <v>31</v>
      </c>
      <c r="G1567" t="s">
        <v>32</v>
      </c>
      <c r="H1567" t="s">
        <v>33</v>
      </c>
      <c r="I1567" t="s">
        <v>43</v>
      </c>
      <c r="J1567" t="s">
        <v>44</v>
      </c>
      <c r="K1567" t="s">
        <v>88</v>
      </c>
      <c r="L1567" t="s">
        <v>37</v>
      </c>
      <c r="M1567">
        <v>0</v>
      </c>
      <c r="N1567">
        <v>0</v>
      </c>
      <c r="O1567" s="5">
        <v>50692</v>
      </c>
      <c r="P1567" s="5">
        <v>50691</v>
      </c>
      <c r="Q1567">
        <f>26-11.5</f>
        <v>14.5</v>
      </c>
      <c r="R1567" t="s">
        <v>64</v>
      </c>
      <c r="T1567">
        <v>19</v>
      </c>
      <c r="U1567">
        <v>70</v>
      </c>
      <c r="V1567">
        <v>14</v>
      </c>
      <c r="W1567">
        <v>12.8</v>
      </c>
      <c r="X1567">
        <v>26.5</v>
      </c>
      <c r="Z1567" t="s">
        <v>39</v>
      </c>
      <c r="AB1567" t="s">
        <v>86</v>
      </c>
      <c r="AC1567" t="s">
        <v>137</v>
      </c>
    </row>
    <row r="1568" spans="1:30" x14ac:dyDescent="0.35">
      <c r="A1568" s="4">
        <v>42565</v>
      </c>
      <c r="B1568" t="s">
        <v>30</v>
      </c>
      <c r="C1568">
        <v>801</v>
      </c>
      <c r="D1568">
        <v>5</v>
      </c>
      <c r="E1568">
        <v>2</v>
      </c>
      <c r="F1568" t="s">
        <v>31</v>
      </c>
      <c r="G1568" t="s">
        <v>32</v>
      </c>
      <c r="H1568" t="s">
        <v>33</v>
      </c>
      <c r="I1568" t="s">
        <v>43</v>
      </c>
      <c r="J1568" t="s">
        <v>44</v>
      </c>
      <c r="K1568" t="s">
        <v>36</v>
      </c>
      <c r="L1568" t="s">
        <v>37</v>
      </c>
      <c r="M1568">
        <v>0</v>
      </c>
      <c r="N1568">
        <v>0</v>
      </c>
      <c r="O1568" s="5">
        <v>50697</v>
      </c>
      <c r="P1568" s="5">
        <v>50696</v>
      </c>
      <c r="Q1568">
        <v>20</v>
      </c>
      <c r="R1568" t="s">
        <v>38</v>
      </c>
      <c r="T1568">
        <v>18</v>
      </c>
      <c r="U1568">
        <v>72</v>
      </c>
      <c r="V1568">
        <v>16</v>
      </c>
      <c r="W1568">
        <v>12.8</v>
      </c>
      <c r="X1568">
        <v>26.8</v>
      </c>
      <c r="Z1568" t="s">
        <v>39</v>
      </c>
      <c r="AB1568" t="s">
        <v>86</v>
      </c>
      <c r="AC1568" t="s">
        <v>137</v>
      </c>
      <c r="AD1568" t="s">
        <v>217</v>
      </c>
    </row>
    <row r="1569" spans="1:29" x14ac:dyDescent="0.35">
      <c r="A1569" s="4">
        <v>42565</v>
      </c>
      <c r="B1569" t="s">
        <v>30</v>
      </c>
      <c r="C1569">
        <v>703</v>
      </c>
      <c r="D1569">
        <v>9</v>
      </c>
      <c r="E1569">
        <v>2</v>
      </c>
      <c r="F1569" t="s">
        <v>31</v>
      </c>
      <c r="G1569" t="s">
        <v>32</v>
      </c>
      <c r="H1569" t="s">
        <v>33</v>
      </c>
      <c r="I1569" t="s">
        <v>43</v>
      </c>
      <c r="J1569" t="s">
        <v>44</v>
      </c>
      <c r="K1569" t="s">
        <v>88</v>
      </c>
      <c r="L1569" t="s">
        <v>45</v>
      </c>
      <c r="M1569">
        <v>0</v>
      </c>
      <c r="N1569">
        <v>0</v>
      </c>
      <c r="O1569" s="5">
        <v>50700</v>
      </c>
      <c r="P1569" s="5">
        <v>50699</v>
      </c>
      <c r="Q1569">
        <f>23-10</f>
        <v>13</v>
      </c>
      <c r="R1569" t="s">
        <v>46</v>
      </c>
      <c r="S1569" t="s">
        <v>39</v>
      </c>
      <c r="T1569">
        <v>19</v>
      </c>
      <c r="U1569">
        <v>70</v>
      </c>
      <c r="V1569">
        <v>16</v>
      </c>
      <c r="W1569">
        <v>12.8</v>
      </c>
      <c r="X1569">
        <v>26.1</v>
      </c>
      <c r="Z1569" t="s">
        <v>39</v>
      </c>
      <c r="AB1569" t="s">
        <v>86</v>
      </c>
      <c r="AC1569" t="s">
        <v>137</v>
      </c>
    </row>
    <row r="1570" spans="1:29" x14ac:dyDescent="0.35">
      <c r="A1570" s="4">
        <v>42565</v>
      </c>
      <c r="B1570" t="s">
        <v>30</v>
      </c>
      <c r="C1570">
        <v>501</v>
      </c>
      <c r="D1570">
        <v>6</v>
      </c>
      <c r="E1570">
        <v>1</v>
      </c>
      <c r="F1570" t="s">
        <v>42</v>
      </c>
      <c r="G1570" t="s">
        <v>32</v>
      </c>
      <c r="H1570" t="s">
        <v>33</v>
      </c>
      <c r="I1570" t="s">
        <v>43</v>
      </c>
      <c r="J1570" t="s">
        <v>44</v>
      </c>
      <c r="K1570" t="s">
        <v>113</v>
      </c>
      <c r="L1570" t="s">
        <v>45</v>
      </c>
      <c r="M1570">
        <v>0</v>
      </c>
      <c r="N1570">
        <v>0</v>
      </c>
      <c r="O1570" s="5">
        <v>50729</v>
      </c>
      <c r="P1570" s="5">
        <v>50728</v>
      </c>
      <c r="Q1570">
        <f>31.5-14</f>
        <v>17.5</v>
      </c>
      <c r="R1570" t="s">
        <v>46</v>
      </c>
      <c r="S1570" t="s">
        <v>39</v>
      </c>
      <c r="T1570">
        <v>20</v>
      </c>
      <c r="U1570">
        <v>95</v>
      </c>
      <c r="V1570">
        <v>15</v>
      </c>
      <c r="W1570">
        <v>13.6</v>
      </c>
      <c r="X1570">
        <v>26</v>
      </c>
      <c r="Z1570" t="s">
        <v>39</v>
      </c>
      <c r="AB1570" t="s">
        <v>214</v>
      </c>
      <c r="AC1570" t="s">
        <v>137</v>
      </c>
    </row>
    <row r="1571" spans="1:29" x14ac:dyDescent="0.35">
      <c r="A1571" s="4">
        <v>42565</v>
      </c>
      <c r="B1571" t="s">
        <v>30</v>
      </c>
      <c r="C1571">
        <v>503</v>
      </c>
      <c r="D1571">
        <v>7</v>
      </c>
      <c r="E1571">
        <v>2</v>
      </c>
      <c r="F1571" t="s">
        <v>42</v>
      </c>
      <c r="G1571" t="s">
        <v>32</v>
      </c>
      <c r="H1571" t="s">
        <v>33</v>
      </c>
      <c r="I1571" t="s">
        <v>43</v>
      </c>
      <c r="J1571" t="s">
        <v>35</v>
      </c>
      <c r="K1571" t="s">
        <v>88</v>
      </c>
      <c r="L1571" t="s">
        <v>45</v>
      </c>
      <c r="M1571">
        <v>0</v>
      </c>
      <c r="N1571">
        <v>1</v>
      </c>
      <c r="O1571" s="5">
        <v>50742</v>
      </c>
      <c r="P1571" s="5">
        <v>50741</v>
      </c>
      <c r="Q1571">
        <v>16</v>
      </c>
      <c r="R1571" t="s">
        <v>46</v>
      </c>
      <c r="S1571" t="s">
        <v>39</v>
      </c>
      <c r="T1571">
        <v>17</v>
      </c>
      <c r="U1571">
        <v>81</v>
      </c>
      <c r="V1571">
        <v>15</v>
      </c>
      <c r="W1571">
        <v>12.9</v>
      </c>
      <c r="X1571">
        <v>27</v>
      </c>
      <c r="Z1571" t="s">
        <v>39</v>
      </c>
      <c r="AB1571" t="s">
        <v>214</v>
      </c>
      <c r="AC1571" t="s">
        <v>137</v>
      </c>
    </row>
    <row r="1572" spans="1:29" x14ac:dyDescent="0.35">
      <c r="A1572" s="4">
        <v>42565</v>
      </c>
      <c r="B1572" t="s">
        <v>30</v>
      </c>
      <c r="C1572">
        <v>503</v>
      </c>
      <c r="D1572">
        <v>9</v>
      </c>
      <c r="E1572">
        <v>1</v>
      </c>
      <c r="F1572" t="s">
        <v>42</v>
      </c>
      <c r="G1572" t="s">
        <v>32</v>
      </c>
      <c r="H1572" t="s">
        <v>33</v>
      </c>
      <c r="I1572" t="s">
        <v>43</v>
      </c>
      <c r="J1572" t="s">
        <v>35</v>
      </c>
      <c r="K1572" t="s">
        <v>36</v>
      </c>
      <c r="L1572" t="s">
        <v>37</v>
      </c>
      <c r="M1572">
        <v>0</v>
      </c>
      <c r="N1572">
        <v>1</v>
      </c>
      <c r="O1572" s="5">
        <v>50744</v>
      </c>
      <c r="P1572" s="5">
        <v>50743</v>
      </c>
      <c r="Q1572">
        <f>32-13</f>
        <v>19</v>
      </c>
      <c r="R1572" t="s">
        <v>38</v>
      </c>
      <c r="T1572">
        <v>18</v>
      </c>
      <c r="U1572">
        <v>80</v>
      </c>
      <c r="V1572">
        <v>17</v>
      </c>
      <c r="W1572">
        <v>13.2</v>
      </c>
      <c r="X1572">
        <v>28.4</v>
      </c>
      <c r="Z1572" t="s">
        <v>39</v>
      </c>
      <c r="AB1572" t="s">
        <v>215</v>
      </c>
      <c r="AC1572" t="s">
        <v>137</v>
      </c>
    </row>
    <row r="1573" spans="1:29" x14ac:dyDescent="0.35">
      <c r="A1573" s="4">
        <v>42565</v>
      </c>
      <c r="B1573" t="s">
        <v>30</v>
      </c>
      <c r="C1573">
        <v>303</v>
      </c>
      <c r="D1573">
        <v>1</v>
      </c>
      <c r="E1573">
        <v>1</v>
      </c>
      <c r="F1573" t="s">
        <v>42</v>
      </c>
      <c r="G1573" t="s">
        <v>32</v>
      </c>
      <c r="H1573" t="s">
        <v>33</v>
      </c>
      <c r="I1573" t="s">
        <v>43</v>
      </c>
      <c r="J1573" t="s">
        <v>35</v>
      </c>
      <c r="K1573" t="s">
        <v>113</v>
      </c>
      <c r="L1573" t="s">
        <v>37</v>
      </c>
      <c r="M1573">
        <v>0</v>
      </c>
      <c r="N1573">
        <v>1</v>
      </c>
      <c r="O1573" s="5">
        <v>50746</v>
      </c>
      <c r="P1573" s="5">
        <v>50745</v>
      </c>
      <c r="Q1573">
        <f>29.5-11</f>
        <v>18.5</v>
      </c>
      <c r="R1573" t="s">
        <v>38</v>
      </c>
      <c r="T1573">
        <v>18</v>
      </c>
      <c r="U1573">
        <v>90</v>
      </c>
      <c r="V1573">
        <v>15</v>
      </c>
      <c r="W1573">
        <v>13.2</v>
      </c>
      <c r="X1573">
        <v>29.5</v>
      </c>
      <c r="Z1573" t="s">
        <v>39</v>
      </c>
      <c r="AB1573" t="s">
        <v>214</v>
      </c>
      <c r="AC1573" t="s">
        <v>137</v>
      </c>
    </row>
    <row r="1574" spans="1:29" x14ac:dyDescent="0.35">
      <c r="A1574" s="4">
        <v>42565</v>
      </c>
      <c r="B1574" t="s">
        <v>30</v>
      </c>
      <c r="C1574">
        <v>303</v>
      </c>
      <c r="D1574">
        <v>2</v>
      </c>
      <c r="E1574">
        <v>1</v>
      </c>
      <c r="F1574" t="s">
        <v>42</v>
      </c>
      <c r="G1574" t="s">
        <v>32</v>
      </c>
      <c r="H1574" t="s">
        <v>33</v>
      </c>
      <c r="I1574" t="s">
        <v>43</v>
      </c>
      <c r="J1574" t="s">
        <v>35</v>
      </c>
      <c r="K1574" t="s">
        <v>36</v>
      </c>
      <c r="L1574" t="s">
        <v>37</v>
      </c>
      <c r="M1574">
        <v>0</v>
      </c>
      <c r="N1574">
        <v>1</v>
      </c>
      <c r="O1574" s="5">
        <v>50749</v>
      </c>
      <c r="P1574" s="5">
        <v>50748</v>
      </c>
      <c r="Q1574">
        <f>31-11</f>
        <v>20</v>
      </c>
      <c r="R1574" t="s">
        <v>38</v>
      </c>
      <c r="T1574">
        <v>16</v>
      </c>
      <c r="U1574">
        <v>71</v>
      </c>
      <c r="V1574">
        <v>18</v>
      </c>
      <c r="W1574">
        <v>13.4</v>
      </c>
      <c r="X1574">
        <v>28.8</v>
      </c>
      <c r="Z1574" t="s">
        <v>39</v>
      </c>
      <c r="AB1574" t="s">
        <v>214</v>
      </c>
      <c r="AC1574" t="s">
        <v>137</v>
      </c>
    </row>
    <row r="1575" spans="1:29" x14ac:dyDescent="0.35">
      <c r="A1575" s="4">
        <v>42565</v>
      </c>
      <c r="B1575" t="s">
        <v>30</v>
      </c>
      <c r="C1575">
        <v>701</v>
      </c>
      <c r="D1575">
        <v>8</v>
      </c>
      <c r="E1575">
        <v>1</v>
      </c>
      <c r="F1575" t="s">
        <v>31</v>
      </c>
      <c r="G1575" t="s">
        <v>32</v>
      </c>
      <c r="H1575" t="s">
        <v>33</v>
      </c>
      <c r="I1575" t="s">
        <v>43</v>
      </c>
      <c r="J1575" t="s">
        <v>35</v>
      </c>
      <c r="K1575" t="s">
        <v>36</v>
      </c>
      <c r="L1575" t="s">
        <v>45</v>
      </c>
      <c r="M1575">
        <v>0</v>
      </c>
      <c r="N1575">
        <v>1</v>
      </c>
      <c r="O1575" s="5">
        <v>50758</v>
      </c>
      <c r="P1575" s="5">
        <v>50757</v>
      </c>
      <c r="Q1575">
        <v>21</v>
      </c>
      <c r="R1575" t="s">
        <v>145</v>
      </c>
      <c r="S1575" t="s">
        <v>102</v>
      </c>
      <c r="T1575">
        <v>19</v>
      </c>
      <c r="U1575">
        <v>81</v>
      </c>
      <c r="V1575">
        <v>16</v>
      </c>
      <c r="X1575">
        <v>27.4</v>
      </c>
      <c r="Z1575" t="s">
        <v>102</v>
      </c>
      <c r="AA1575" t="s">
        <v>218</v>
      </c>
      <c r="AB1575" t="s">
        <v>86</v>
      </c>
      <c r="AC1575" t="s">
        <v>137</v>
      </c>
    </row>
    <row r="1576" spans="1:29" x14ac:dyDescent="0.35">
      <c r="A1576" s="4">
        <v>42565</v>
      </c>
      <c r="B1576" t="s">
        <v>30</v>
      </c>
      <c r="C1576">
        <v>701</v>
      </c>
      <c r="D1576">
        <v>6</v>
      </c>
      <c r="E1576">
        <v>1</v>
      </c>
      <c r="F1576" t="s">
        <v>31</v>
      </c>
      <c r="G1576" t="s">
        <v>32</v>
      </c>
      <c r="H1576" t="s">
        <v>33</v>
      </c>
      <c r="I1576" t="s">
        <v>43</v>
      </c>
      <c r="J1576" t="s">
        <v>35</v>
      </c>
      <c r="K1576" t="s">
        <v>113</v>
      </c>
      <c r="L1576" t="s">
        <v>37</v>
      </c>
      <c r="M1576">
        <v>0</v>
      </c>
      <c r="N1576">
        <v>1</v>
      </c>
      <c r="O1576" s="5">
        <v>50761</v>
      </c>
      <c r="P1576" s="5">
        <v>50760</v>
      </c>
      <c r="R1576" t="s">
        <v>64</v>
      </c>
      <c r="T1576">
        <v>20</v>
      </c>
      <c r="U1576">
        <v>81</v>
      </c>
      <c r="V1576">
        <v>10</v>
      </c>
      <c r="W1576">
        <v>12.8</v>
      </c>
      <c r="X1576">
        <v>27.4</v>
      </c>
      <c r="Z1576" t="s">
        <v>39</v>
      </c>
      <c r="AB1576" t="s">
        <v>86</v>
      </c>
      <c r="AC1576" t="s">
        <v>137</v>
      </c>
    </row>
    <row r="1577" spans="1:29" x14ac:dyDescent="0.35">
      <c r="A1577" s="4">
        <v>42565</v>
      </c>
      <c r="B1577" t="s">
        <v>30</v>
      </c>
      <c r="C1577">
        <v>901</v>
      </c>
      <c r="D1577">
        <v>8</v>
      </c>
      <c r="E1577">
        <v>1</v>
      </c>
      <c r="F1577" t="s">
        <v>31</v>
      </c>
      <c r="G1577" t="s">
        <v>32</v>
      </c>
      <c r="H1577" t="s">
        <v>33</v>
      </c>
      <c r="I1577" t="s">
        <v>43</v>
      </c>
      <c r="J1577" t="s">
        <v>44</v>
      </c>
      <c r="K1577" t="s">
        <v>113</v>
      </c>
      <c r="L1577" t="s">
        <v>37</v>
      </c>
      <c r="M1577">
        <v>0</v>
      </c>
      <c r="N1577">
        <v>0</v>
      </c>
      <c r="O1577" s="5">
        <v>50766</v>
      </c>
      <c r="P1577" s="5">
        <v>50765</v>
      </c>
      <c r="Q1577">
        <f>27-9</f>
        <v>18</v>
      </c>
      <c r="R1577" t="s">
        <v>38</v>
      </c>
      <c r="T1577">
        <v>19</v>
      </c>
      <c r="U1577">
        <v>79</v>
      </c>
      <c r="V1577">
        <v>14</v>
      </c>
      <c r="W1577">
        <v>12.8</v>
      </c>
      <c r="X1577">
        <v>25.9</v>
      </c>
      <c r="Z1577" t="s">
        <v>39</v>
      </c>
      <c r="AB1577" t="s">
        <v>86</v>
      </c>
      <c r="AC1577" t="s">
        <v>137</v>
      </c>
    </row>
    <row r="1578" spans="1:29" x14ac:dyDescent="0.35">
      <c r="A1578" s="4">
        <v>42565</v>
      </c>
      <c r="B1578" t="s">
        <v>30</v>
      </c>
      <c r="C1578">
        <v>801</v>
      </c>
      <c r="D1578">
        <v>9</v>
      </c>
      <c r="E1578">
        <v>2</v>
      </c>
      <c r="F1578" t="s">
        <v>31</v>
      </c>
      <c r="G1578" t="s">
        <v>32</v>
      </c>
      <c r="H1578" t="s">
        <v>33</v>
      </c>
      <c r="I1578" t="s">
        <v>43</v>
      </c>
      <c r="J1578" t="s">
        <v>44</v>
      </c>
      <c r="K1578" t="s">
        <v>36</v>
      </c>
      <c r="L1578" t="s">
        <v>37</v>
      </c>
      <c r="M1578">
        <v>0</v>
      </c>
      <c r="N1578">
        <v>0</v>
      </c>
      <c r="O1578" s="5">
        <v>50773</v>
      </c>
      <c r="P1578" s="5">
        <v>50772</v>
      </c>
      <c r="Q1578">
        <f>33-13</f>
        <v>20</v>
      </c>
      <c r="R1578" t="s">
        <v>38</v>
      </c>
      <c r="T1578">
        <v>19</v>
      </c>
      <c r="U1578">
        <v>75</v>
      </c>
      <c r="V1578">
        <v>16</v>
      </c>
      <c r="W1578">
        <v>12.9</v>
      </c>
      <c r="X1578">
        <v>26.4</v>
      </c>
      <c r="Z1578" t="s">
        <v>102</v>
      </c>
      <c r="AB1578" t="s">
        <v>86</v>
      </c>
      <c r="AC1578" t="s">
        <v>137</v>
      </c>
    </row>
    <row r="1579" spans="1:29" x14ac:dyDescent="0.35">
      <c r="A1579" s="4">
        <v>42565</v>
      </c>
      <c r="B1579" t="s">
        <v>30</v>
      </c>
      <c r="C1579">
        <v>901</v>
      </c>
      <c r="D1579">
        <v>3</v>
      </c>
      <c r="E1579">
        <v>1</v>
      </c>
      <c r="F1579" t="s">
        <v>31</v>
      </c>
      <c r="G1579" t="s">
        <v>32</v>
      </c>
      <c r="H1579" t="s">
        <v>33</v>
      </c>
      <c r="I1579" t="s">
        <v>43</v>
      </c>
      <c r="J1579" t="s">
        <v>35</v>
      </c>
      <c r="K1579" t="s">
        <v>88</v>
      </c>
      <c r="L1579" t="s">
        <v>45</v>
      </c>
      <c r="M1579">
        <v>0</v>
      </c>
      <c r="N1579">
        <v>1</v>
      </c>
      <c r="O1579" s="5">
        <v>50797</v>
      </c>
      <c r="P1579" s="5">
        <v>50796</v>
      </c>
      <c r="Q1579">
        <v>14</v>
      </c>
      <c r="R1579" t="s">
        <v>46</v>
      </c>
      <c r="S1579" t="s">
        <v>39</v>
      </c>
      <c r="T1579">
        <v>18</v>
      </c>
      <c r="U1579">
        <v>77</v>
      </c>
      <c r="V1579">
        <v>15</v>
      </c>
      <c r="W1579">
        <v>12.8</v>
      </c>
      <c r="X1579">
        <v>26.8</v>
      </c>
      <c r="Z1579" t="s">
        <v>39</v>
      </c>
      <c r="AB1579" t="s">
        <v>86</v>
      </c>
      <c r="AC1579" t="s">
        <v>137</v>
      </c>
    </row>
    <row r="1580" spans="1:29" x14ac:dyDescent="0.35">
      <c r="A1580" s="4">
        <v>42565</v>
      </c>
      <c r="B1580" t="s">
        <v>30</v>
      </c>
      <c r="C1580">
        <v>901</v>
      </c>
      <c r="D1580">
        <v>2</v>
      </c>
      <c r="E1580">
        <v>2</v>
      </c>
      <c r="F1580" t="s">
        <v>31</v>
      </c>
      <c r="G1580" t="s">
        <v>32</v>
      </c>
      <c r="H1580" t="s">
        <v>33</v>
      </c>
      <c r="I1580" t="s">
        <v>43</v>
      </c>
      <c r="J1580" t="s">
        <v>35</v>
      </c>
      <c r="K1580" t="s">
        <v>113</v>
      </c>
      <c r="L1580" t="s">
        <v>37</v>
      </c>
      <c r="M1580">
        <v>0</v>
      </c>
      <c r="N1580">
        <v>1</v>
      </c>
      <c r="O1580" s="5">
        <v>50799</v>
      </c>
      <c r="P1580" s="5">
        <v>50798</v>
      </c>
      <c r="Q1580">
        <v>16</v>
      </c>
      <c r="R1580" t="s">
        <v>38</v>
      </c>
      <c r="T1580">
        <v>19</v>
      </c>
      <c r="U1580">
        <v>81</v>
      </c>
      <c r="V1580">
        <v>14</v>
      </c>
      <c r="W1580">
        <v>12.8</v>
      </c>
      <c r="X1580">
        <v>25.8</v>
      </c>
      <c r="Z1580" t="s">
        <v>39</v>
      </c>
      <c r="AB1580" t="s">
        <v>86</v>
      </c>
      <c r="AC1580" t="s">
        <v>137</v>
      </c>
    </row>
    <row r="1581" spans="1:29" x14ac:dyDescent="0.35">
      <c r="A1581" s="4">
        <v>42565</v>
      </c>
      <c r="B1581" t="s">
        <v>30</v>
      </c>
      <c r="C1581">
        <v>901</v>
      </c>
      <c r="D1581">
        <v>1</v>
      </c>
      <c r="E1581">
        <v>2</v>
      </c>
      <c r="F1581" t="s">
        <v>31</v>
      </c>
      <c r="G1581" t="s">
        <v>32</v>
      </c>
      <c r="H1581" t="s">
        <v>33</v>
      </c>
      <c r="I1581" t="s">
        <v>43</v>
      </c>
      <c r="J1581" t="s">
        <v>44</v>
      </c>
      <c r="K1581" t="s">
        <v>36</v>
      </c>
      <c r="L1581" t="s">
        <v>45</v>
      </c>
      <c r="M1581">
        <v>0</v>
      </c>
      <c r="N1581">
        <v>0</v>
      </c>
      <c r="O1581" s="5" t="s">
        <v>99</v>
      </c>
      <c r="P1581" s="5" t="s">
        <v>171</v>
      </c>
      <c r="Q1581">
        <v>27</v>
      </c>
      <c r="R1581" t="s">
        <v>145</v>
      </c>
      <c r="S1581" t="s">
        <v>102</v>
      </c>
      <c r="T1581">
        <v>20</v>
      </c>
      <c r="U1581">
        <v>85</v>
      </c>
      <c r="V1581">
        <v>15</v>
      </c>
      <c r="W1581">
        <v>13</v>
      </c>
      <c r="X1581">
        <v>27.3</v>
      </c>
      <c r="Z1581" t="s">
        <v>39</v>
      </c>
      <c r="AB1581" t="s">
        <v>86</v>
      </c>
      <c r="AC1581" t="s">
        <v>137</v>
      </c>
    </row>
    <row r="1582" spans="1:29" x14ac:dyDescent="0.35">
      <c r="A1582" s="4">
        <v>42565</v>
      </c>
      <c r="B1582" t="s">
        <v>30</v>
      </c>
      <c r="C1582">
        <v>803</v>
      </c>
      <c r="D1582">
        <v>7</v>
      </c>
      <c r="E1582">
        <v>2</v>
      </c>
      <c r="F1582" t="s">
        <v>31</v>
      </c>
      <c r="G1582" t="s">
        <v>32</v>
      </c>
      <c r="H1582" t="s">
        <v>33</v>
      </c>
      <c r="I1582" t="s">
        <v>34</v>
      </c>
      <c r="J1582" t="s">
        <v>44</v>
      </c>
      <c r="K1582" t="s">
        <v>36</v>
      </c>
      <c r="L1582" t="s">
        <v>37</v>
      </c>
      <c r="M1582">
        <v>0</v>
      </c>
      <c r="N1582">
        <v>0</v>
      </c>
      <c r="O1582" s="5">
        <v>50391</v>
      </c>
      <c r="P1582" s="5"/>
      <c r="Q1582">
        <f>152-56</f>
        <v>96</v>
      </c>
      <c r="R1582" t="s">
        <v>38</v>
      </c>
      <c r="Z1582" t="s">
        <v>39</v>
      </c>
      <c r="AB1582" t="s">
        <v>86</v>
      </c>
      <c r="AC1582" t="s">
        <v>137</v>
      </c>
    </row>
    <row r="1583" spans="1:29" x14ac:dyDescent="0.35">
      <c r="A1583" s="4">
        <v>42565</v>
      </c>
      <c r="B1583" t="s">
        <v>30</v>
      </c>
      <c r="C1583">
        <v>803</v>
      </c>
      <c r="D1583">
        <v>3</v>
      </c>
      <c r="E1583">
        <v>2</v>
      </c>
      <c r="F1583" t="s">
        <v>31</v>
      </c>
      <c r="G1583" t="s">
        <v>32</v>
      </c>
      <c r="H1583" t="s">
        <v>33</v>
      </c>
      <c r="I1583" t="s">
        <v>34</v>
      </c>
      <c r="J1583" t="s">
        <v>44</v>
      </c>
      <c r="K1583" t="s">
        <v>36</v>
      </c>
      <c r="L1583" t="s">
        <v>37</v>
      </c>
      <c r="M1583">
        <v>0</v>
      </c>
      <c r="N1583">
        <v>0</v>
      </c>
      <c r="O1583" s="5">
        <v>50463</v>
      </c>
      <c r="P1583" s="5"/>
      <c r="Q1583">
        <f>142-62</f>
        <v>80</v>
      </c>
      <c r="R1583" t="s">
        <v>38</v>
      </c>
      <c r="Z1583" t="s">
        <v>39</v>
      </c>
      <c r="AB1583" t="s">
        <v>86</v>
      </c>
      <c r="AC1583" t="s">
        <v>137</v>
      </c>
    </row>
    <row r="1584" spans="1:29" x14ac:dyDescent="0.35">
      <c r="A1584" s="4">
        <v>42565</v>
      </c>
      <c r="B1584" t="s">
        <v>30</v>
      </c>
      <c r="C1584">
        <v>801</v>
      </c>
      <c r="D1584">
        <v>10</v>
      </c>
      <c r="E1584">
        <v>1</v>
      </c>
      <c r="F1584" t="s">
        <v>31</v>
      </c>
      <c r="G1584" t="s">
        <v>32</v>
      </c>
      <c r="H1584" t="s">
        <v>33</v>
      </c>
      <c r="I1584" t="s">
        <v>34</v>
      </c>
      <c r="J1584" t="s">
        <v>44</v>
      </c>
      <c r="K1584" t="s">
        <v>36</v>
      </c>
      <c r="L1584" t="s">
        <v>45</v>
      </c>
      <c r="M1584">
        <v>0</v>
      </c>
      <c r="N1584">
        <v>0</v>
      </c>
      <c r="O1584" s="5">
        <v>50501</v>
      </c>
      <c r="P1584" s="5"/>
      <c r="Q1584">
        <f>142-56</f>
        <v>86</v>
      </c>
      <c r="R1584" t="s">
        <v>74</v>
      </c>
      <c r="S1584" t="s">
        <v>102</v>
      </c>
      <c r="T1584">
        <v>32</v>
      </c>
      <c r="W1584">
        <v>20.9</v>
      </c>
      <c r="X1584">
        <v>41.6</v>
      </c>
      <c r="Z1584" t="s">
        <v>39</v>
      </c>
      <c r="AB1584" t="s">
        <v>86</v>
      </c>
      <c r="AC1584" t="s">
        <v>137</v>
      </c>
    </row>
    <row r="1585" spans="1:30" x14ac:dyDescent="0.35">
      <c r="A1585" s="4">
        <v>42565</v>
      </c>
      <c r="B1585" t="s">
        <v>30</v>
      </c>
      <c r="C1585">
        <v>801</v>
      </c>
      <c r="D1585">
        <v>10</v>
      </c>
      <c r="E1585">
        <v>2</v>
      </c>
      <c r="F1585" t="s">
        <v>31</v>
      </c>
      <c r="G1585" t="s">
        <v>32</v>
      </c>
      <c r="H1585" t="s">
        <v>33</v>
      </c>
      <c r="I1585" t="s">
        <v>34</v>
      </c>
      <c r="J1585" t="s">
        <v>44</v>
      </c>
      <c r="K1585" t="s">
        <v>88</v>
      </c>
      <c r="L1585" t="s">
        <v>45</v>
      </c>
      <c r="M1585">
        <v>0</v>
      </c>
      <c r="N1585">
        <v>0</v>
      </c>
      <c r="O1585" s="5">
        <v>50512</v>
      </c>
      <c r="P1585" s="5"/>
      <c r="Q1585">
        <f>130-58</f>
        <v>72</v>
      </c>
      <c r="R1585" t="s">
        <v>46</v>
      </c>
      <c r="S1585" t="s">
        <v>39</v>
      </c>
      <c r="T1585">
        <v>30</v>
      </c>
      <c r="W1585">
        <v>20.8</v>
      </c>
      <c r="X1585">
        <v>38.9</v>
      </c>
      <c r="Z1585" t="s">
        <v>39</v>
      </c>
      <c r="AB1585" t="s">
        <v>86</v>
      </c>
      <c r="AC1585" t="s">
        <v>137</v>
      </c>
    </row>
    <row r="1586" spans="1:30" x14ac:dyDescent="0.35">
      <c r="A1586" s="4">
        <v>42565</v>
      </c>
      <c r="B1586" t="s">
        <v>30</v>
      </c>
      <c r="C1586">
        <v>501</v>
      </c>
      <c r="D1586">
        <v>5</v>
      </c>
      <c r="E1586">
        <v>2</v>
      </c>
      <c r="F1586" t="s">
        <v>42</v>
      </c>
      <c r="G1586" t="s">
        <v>32</v>
      </c>
      <c r="H1586" t="s">
        <v>33</v>
      </c>
      <c r="I1586" t="s">
        <v>34</v>
      </c>
      <c r="J1586" t="s">
        <v>44</v>
      </c>
      <c r="K1586" t="s">
        <v>88</v>
      </c>
      <c r="L1586" t="s">
        <v>45</v>
      </c>
      <c r="M1586">
        <v>0</v>
      </c>
      <c r="N1586">
        <v>0</v>
      </c>
      <c r="O1586" s="5">
        <v>50734</v>
      </c>
      <c r="P1586" s="5"/>
      <c r="Q1586">
        <f>150-100</f>
        <v>50</v>
      </c>
      <c r="R1586" t="s">
        <v>46</v>
      </c>
      <c r="S1586" t="s">
        <v>39</v>
      </c>
      <c r="T1586">
        <v>26</v>
      </c>
      <c r="W1586">
        <v>20</v>
      </c>
      <c r="X1586">
        <v>38.1</v>
      </c>
      <c r="Z1586" t="s">
        <v>39</v>
      </c>
      <c r="AB1586" t="s">
        <v>214</v>
      </c>
      <c r="AC1586" t="s">
        <v>137</v>
      </c>
    </row>
    <row r="1587" spans="1:30" x14ac:dyDescent="0.35">
      <c r="A1587" s="4">
        <v>42565</v>
      </c>
      <c r="B1587" t="s">
        <v>30</v>
      </c>
      <c r="C1587">
        <v>801</v>
      </c>
      <c r="D1587">
        <v>8</v>
      </c>
      <c r="E1587">
        <v>1</v>
      </c>
      <c r="F1587" t="s">
        <v>31</v>
      </c>
      <c r="G1587" t="s">
        <v>32</v>
      </c>
      <c r="H1587" t="s">
        <v>33</v>
      </c>
      <c r="I1587" t="s">
        <v>34</v>
      </c>
      <c r="J1587" t="s">
        <v>35</v>
      </c>
      <c r="K1587" t="s">
        <v>88</v>
      </c>
      <c r="L1587" t="s">
        <v>45</v>
      </c>
      <c r="M1587">
        <v>0</v>
      </c>
      <c r="N1587">
        <v>1</v>
      </c>
      <c r="O1587" s="5">
        <v>50754</v>
      </c>
      <c r="P1587" s="5"/>
      <c r="Q1587">
        <f>110-56</f>
        <v>54</v>
      </c>
      <c r="R1587" t="s">
        <v>46</v>
      </c>
      <c r="S1587" t="s">
        <v>39</v>
      </c>
      <c r="T1587">
        <v>31</v>
      </c>
      <c r="W1587">
        <v>20.8</v>
      </c>
      <c r="X1587">
        <v>37.5</v>
      </c>
      <c r="Z1587" t="s">
        <v>39</v>
      </c>
      <c r="AB1587" t="s">
        <v>86</v>
      </c>
      <c r="AC1587" t="s">
        <v>137</v>
      </c>
    </row>
    <row r="1588" spans="1:30" x14ac:dyDescent="0.35">
      <c r="A1588" s="4">
        <v>42565</v>
      </c>
      <c r="B1588" t="s">
        <v>30</v>
      </c>
      <c r="C1588">
        <v>901</v>
      </c>
      <c r="D1588">
        <v>5</v>
      </c>
      <c r="E1588">
        <v>2</v>
      </c>
      <c r="F1588" t="s">
        <v>31</v>
      </c>
      <c r="G1588" t="s">
        <v>32</v>
      </c>
      <c r="H1588" t="s">
        <v>33</v>
      </c>
      <c r="I1588" t="s">
        <v>34</v>
      </c>
      <c r="J1588" t="s">
        <v>44</v>
      </c>
      <c r="K1588" t="s">
        <v>36</v>
      </c>
      <c r="L1588" t="s">
        <v>37</v>
      </c>
      <c r="M1588">
        <v>0</v>
      </c>
      <c r="N1588">
        <v>0</v>
      </c>
      <c r="O1588" s="5">
        <v>50767</v>
      </c>
      <c r="P1588" s="5"/>
      <c r="Q1588">
        <f>146-58</f>
        <v>88</v>
      </c>
      <c r="R1588" t="s">
        <v>38</v>
      </c>
      <c r="Z1588" t="s">
        <v>39</v>
      </c>
      <c r="AB1588" t="s">
        <v>86</v>
      </c>
      <c r="AC1588" t="s">
        <v>137</v>
      </c>
    </row>
    <row r="1589" spans="1:30" x14ac:dyDescent="0.35">
      <c r="A1589" s="4">
        <v>42565</v>
      </c>
      <c r="B1589" t="s">
        <v>30</v>
      </c>
      <c r="C1589">
        <v>501</v>
      </c>
      <c r="D1589">
        <v>7</v>
      </c>
      <c r="E1589">
        <v>1</v>
      </c>
      <c r="F1589" t="s">
        <v>42</v>
      </c>
      <c r="G1589" t="s">
        <v>32</v>
      </c>
      <c r="H1589" t="s">
        <v>33</v>
      </c>
      <c r="I1589" t="s">
        <v>34</v>
      </c>
      <c r="J1589" t="s">
        <v>44</v>
      </c>
      <c r="K1589" t="s">
        <v>88</v>
      </c>
      <c r="L1589" t="s">
        <v>45</v>
      </c>
      <c r="M1589">
        <v>0</v>
      </c>
      <c r="N1589">
        <v>0</v>
      </c>
      <c r="O1589" s="5"/>
      <c r="P1589" s="5">
        <v>50337</v>
      </c>
      <c r="Q1589">
        <f>180-110</f>
        <v>70</v>
      </c>
      <c r="R1589" t="s">
        <v>46</v>
      </c>
      <c r="S1589" t="s">
        <v>39</v>
      </c>
      <c r="T1589">
        <v>28</v>
      </c>
      <c r="W1589">
        <v>22.1</v>
      </c>
      <c r="X1589">
        <v>42.2</v>
      </c>
      <c r="Z1589" t="s">
        <v>39</v>
      </c>
      <c r="AB1589" t="s">
        <v>214</v>
      </c>
      <c r="AC1589" t="s">
        <v>137</v>
      </c>
    </row>
    <row r="1590" spans="1:30" x14ac:dyDescent="0.35">
      <c r="A1590" s="4">
        <v>42565</v>
      </c>
      <c r="B1590" t="s">
        <v>30</v>
      </c>
      <c r="C1590">
        <v>501</v>
      </c>
      <c r="D1590">
        <v>10</v>
      </c>
      <c r="E1590">
        <v>2</v>
      </c>
      <c r="F1590" t="s">
        <v>42</v>
      </c>
      <c r="G1590" t="s">
        <v>32</v>
      </c>
      <c r="H1590" t="s">
        <v>33</v>
      </c>
      <c r="I1590" t="s">
        <v>34</v>
      </c>
      <c r="J1590" t="s">
        <v>44</v>
      </c>
      <c r="K1590" t="s">
        <v>36</v>
      </c>
      <c r="L1590" t="s">
        <v>45</v>
      </c>
      <c r="M1590">
        <v>0</v>
      </c>
      <c r="N1590">
        <v>0</v>
      </c>
      <c r="O1590" s="5"/>
      <c r="P1590" s="5">
        <v>50314</v>
      </c>
      <c r="Q1590">
        <f>225-115</f>
        <v>110</v>
      </c>
      <c r="R1590" t="s">
        <v>74</v>
      </c>
      <c r="S1590" t="s">
        <v>102</v>
      </c>
      <c r="T1590">
        <v>34</v>
      </c>
      <c r="W1590">
        <v>23.4</v>
      </c>
      <c r="X1590">
        <v>42.7</v>
      </c>
      <c r="Z1590" t="s">
        <v>39</v>
      </c>
      <c r="AB1590" t="s">
        <v>214</v>
      </c>
      <c r="AC1590" t="s">
        <v>137</v>
      </c>
    </row>
    <row r="1591" spans="1:30" x14ac:dyDescent="0.35">
      <c r="A1591" s="4">
        <v>42565</v>
      </c>
      <c r="B1591" t="s">
        <v>30</v>
      </c>
      <c r="C1591">
        <v>801</v>
      </c>
      <c r="D1591">
        <v>1</v>
      </c>
      <c r="E1591">
        <v>2</v>
      </c>
      <c r="F1591" t="s">
        <v>31</v>
      </c>
      <c r="G1591" t="s">
        <v>32</v>
      </c>
      <c r="H1591" t="s">
        <v>33</v>
      </c>
      <c r="I1591" t="s">
        <v>34</v>
      </c>
      <c r="J1591" t="s">
        <v>44</v>
      </c>
      <c r="K1591" t="s">
        <v>36</v>
      </c>
      <c r="L1591" t="s">
        <v>37</v>
      </c>
      <c r="M1591">
        <v>0</v>
      </c>
      <c r="N1591">
        <v>0</v>
      </c>
      <c r="O1591" s="5"/>
      <c r="P1591" s="5">
        <v>50392</v>
      </c>
      <c r="Q1591">
        <f>142-55</f>
        <v>87</v>
      </c>
      <c r="R1591" t="s">
        <v>38</v>
      </c>
      <c r="T1591">
        <v>30</v>
      </c>
      <c r="W1591">
        <v>22.5</v>
      </c>
      <c r="X1591">
        <v>41.2</v>
      </c>
      <c r="Z1591" t="s">
        <v>39</v>
      </c>
      <c r="AB1591" t="s">
        <v>86</v>
      </c>
      <c r="AC1591" t="s">
        <v>137</v>
      </c>
    </row>
    <row r="1592" spans="1:30" x14ac:dyDescent="0.35">
      <c r="A1592" s="4">
        <v>42565</v>
      </c>
      <c r="B1592" t="s">
        <v>30</v>
      </c>
      <c r="C1592">
        <v>803</v>
      </c>
      <c r="D1592">
        <v>1</v>
      </c>
      <c r="E1592">
        <v>2</v>
      </c>
      <c r="F1592" t="s">
        <v>31</v>
      </c>
      <c r="G1592" t="s">
        <v>32</v>
      </c>
      <c r="H1592" t="s">
        <v>33</v>
      </c>
      <c r="I1592" t="s">
        <v>34</v>
      </c>
      <c r="J1592" t="s">
        <v>44</v>
      </c>
      <c r="K1592" t="s">
        <v>113</v>
      </c>
      <c r="L1592" t="s">
        <v>45</v>
      </c>
      <c r="M1592">
        <v>0</v>
      </c>
      <c r="N1592">
        <v>0</v>
      </c>
      <c r="O1592" s="5"/>
      <c r="P1592" s="5">
        <v>50770</v>
      </c>
      <c r="Q1592">
        <f>114-58</f>
        <v>56</v>
      </c>
      <c r="R1592" t="s">
        <v>46</v>
      </c>
      <c r="S1592" t="s">
        <v>102</v>
      </c>
      <c r="Z1592" t="s">
        <v>39</v>
      </c>
      <c r="AB1592" t="s">
        <v>86</v>
      </c>
      <c r="AC1592" t="s">
        <v>137</v>
      </c>
    </row>
    <row r="1593" spans="1:30" x14ac:dyDescent="0.35">
      <c r="A1593" s="4">
        <v>42565</v>
      </c>
      <c r="B1593" t="s">
        <v>30</v>
      </c>
      <c r="C1593">
        <v>303</v>
      </c>
      <c r="D1593">
        <v>10</v>
      </c>
      <c r="E1593">
        <v>2</v>
      </c>
      <c r="F1593" t="s">
        <v>42</v>
      </c>
      <c r="G1593" t="s">
        <v>32</v>
      </c>
      <c r="H1593" t="s">
        <v>33</v>
      </c>
      <c r="I1593" t="s">
        <v>58</v>
      </c>
      <c r="J1593" t="s">
        <v>44</v>
      </c>
      <c r="K1593" t="s">
        <v>36</v>
      </c>
      <c r="L1593" t="s">
        <v>37</v>
      </c>
      <c r="M1593">
        <v>0</v>
      </c>
      <c r="N1593">
        <v>0</v>
      </c>
      <c r="O1593" s="5">
        <v>50437</v>
      </c>
      <c r="P1593" s="5"/>
      <c r="Q1593">
        <f>33-12.5</f>
        <v>20.5</v>
      </c>
      <c r="R1593" t="s">
        <v>64</v>
      </c>
      <c r="T1593">
        <v>16.5</v>
      </c>
      <c r="W1593">
        <v>13</v>
      </c>
      <c r="X1593">
        <v>26.9</v>
      </c>
      <c r="Z1593" t="s">
        <v>102</v>
      </c>
      <c r="AB1593" t="s">
        <v>214</v>
      </c>
      <c r="AC1593" t="s">
        <v>137</v>
      </c>
    </row>
    <row r="1594" spans="1:30" x14ac:dyDescent="0.35">
      <c r="A1594" s="4">
        <v>42565</v>
      </c>
      <c r="B1594" t="s">
        <v>30</v>
      </c>
      <c r="C1594">
        <v>303</v>
      </c>
      <c r="D1594">
        <v>2</v>
      </c>
      <c r="E1594">
        <v>2</v>
      </c>
      <c r="F1594" t="s">
        <v>42</v>
      </c>
      <c r="G1594" t="s">
        <v>32</v>
      </c>
      <c r="H1594" t="s">
        <v>33</v>
      </c>
      <c r="I1594" t="s">
        <v>58</v>
      </c>
      <c r="J1594" t="s">
        <v>44</v>
      </c>
      <c r="K1594" t="s">
        <v>36</v>
      </c>
      <c r="L1594" t="s">
        <v>37</v>
      </c>
      <c r="M1594">
        <v>0</v>
      </c>
      <c r="N1594">
        <v>0</v>
      </c>
      <c r="O1594" s="5">
        <v>50439</v>
      </c>
      <c r="P1594" s="5"/>
      <c r="Q1594">
        <f>32.5-11.5</f>
        <v>21</v>
      </c>
      <c r="R1594" t="s">
        <v>64</v>
      </c>
      <c r="T1594">
        <v>17</v>
      </c>
      <c r="W1594">
        <v>13</v>
      </c>
      <c r="X1594">
        <v>26</v>
      </c>
      <c r="Z1594" t="s">
        <v>102</v>
      </c>
      <c r="AB1594" t="s">
        <v>214</v>
      </c>
      <c r="AC1594" t="s">
        <v>137</v>
      </c>
    </row>
    <row r="1595" spans="1:30" x14ac:dyDescent="0.35">
      <c r="A1595" s="4">
        <v>42565</v>
      </c>
      <c r="B1595" t="s">
        <v>30</v>
      </c>
      <c r="C1595">
        <v>801</v>
      </c>
      <c r="D1595">
        <v>2</v>
      </c>
      <c r="E1595">
        <v>2</v>
      </c>
      <c r="F1595" t="s">
        <v>31</v>
      </c>
      <c r="G1595" t="s">
        <v>32</v>
      </c>
      <c r="H1595" t="s">
        <v>33</v>
      </c>
      <c r="I1595" t="s">
        <v>58</v>
      </c>
      <c r="J1595" t="s">
        <v>44</v>
      </c>
      <c r="K1595" t="s">
        <v>36</v>
      </c>
      <c r="L1595" t="s">
        <v>45</v>
      </c>
      <c r="M1595">
        <v>0</v>
      </c>
      <c r="N1595">
        <v>0</v>
      </c>
      <c r="O1595" s="5">
        <v>50513</v>
      </c>
      <c r="P1595" s="5"/>
      <c r="Q1595">
        <v>22</v>
      </c>
      <c r="R1595" t="s">
        <v>145</v>
      </c>
      <c r="S1595" t="s">
        <v>102</v>
      </c>
      <c r="T1595">
        <v>17</v>
      </c>
      <c r="W1595">
        <v>12.8</v>
      </c>
      <c r="X1595">
        <v>28.7</v>
      </c>
      <c r="Z1595" t="s">
        <v>39</v>
      </c>
      <c r="AB1595" t="s">
        <v>86</v>
      </c>
      <c r="AC1595" t="s">
        <v>137</v>
      </c>
    </row>
    <row r="1596" spans="1:30" x14ac:dyDescent="0.35">
      <c r="A1596" s="4">
        <v>42565</v>
      </c>
      <c r="B1596" t="s">
        <v>30</v>
      </c>
      <c r="C1596">
        <v>801</v>
      </c>
      <c r="D1596">
        <v>3</v>
      </c>
      <c r="E1596">
        <v>2</v>
      </c>
      <c r="F1596" t="s">
        <v>31</v>
      </c>
      <c r="G1596" t="s">
        <v>32</v>
      </c>
      <c r="H1596" t="s">
        <v>33</v>
      </c>
      <c r="I1596" t="s">
        <v>58</v>
      </c>
      <c r="J1596" t="s">
        <v>44</v>
      </c>
      <c r="K1596" t="s">
        <v>36</v>
      </c>
      <c r="L1596" t="s">
        <v>37</v>
      </c>
      <c r="M1596">
        <v>0</v>
      </c>
      <c r="N1596">
        <v>0</v>
      </c>
      <c r="O1596" s="5">
        <v>50514</v>
      </c>
      <c r="P1596" s="5"/>
      <c r="Q1596">
        <f>28-11</f>
        <v>17</v>
      </c>
      <c r="R1596" t="s">
        <v>38</v>
      </c>
      <c r="T1596">
        <v>16</v>
      </c>
      <c r="W1596">
        <v>12.2</v>
      </c>
      <c r="X1596">
        <v>24.8</v>
      </c>
      <c r="Z1596" t="s">
        <v>39</v>
      </c>
      <c r="AB1596" t="s">
        <v>86</v>
      </c>
      <c r="AC1596" t="s">
        <v>137</v>
      </c>
    </row>
    <row r="1597" spans="1:30" x14ac:dyDescent="0.35">
      <c r="A1597" s="4">
        <v>42565</v>
      </c>
      <c r="B1597" t="s">
        <v>30</v>
      </c>
      <c r="C1597">
        <v>701</v>
      </c>
      <c r="D1597">
        <v>2</v>
      </c>
      <c r="E1597">
        <v>1</v>
      </c>
      <c r="F1597" t="s">
        <v>31</v>
      </c>
      <c r="G1597" t="s">
        <v>32</v>
      </c>
      <c r="H1597" t="s">
        <v>33</v>
      </c>
      <c r="I1597" t="s">
        <v>58</v>
      </c>
      <c r="J1597" t="s">
        <v>44</v>
      </c>
      <c r="K1597" t="s">
        <v>36</v>
      </c>
      <c r="L1597" t="s">
        <v>37</v>
      </c>
      <c r="M1597">
        <v>0</v>
      </c>
      <c r="N1597">
        <v>0</v>
      </c>
      <c r="O1597" s="5">
        <v>50515</v>
      </c>
      <c r="P1597" s="5"/>
      <c r="Q1597">
        <f>30.5-10</f>
        <v>20.5</v>
      </c>
      <c r="R1597" t="s">
        <v>38</v>
      </c>
      <c r="T1597">
        <v>19</v>
      </c>
      <c r="W1597">
        <v>12.5</v>
      </c>
      <c r="X1597">
        <v>27.4</v>
      </c>
      <c r="Z1597" t="s">
        <v>102</v>
      </c>
      <c r="AA1597" t="s">
        <v>219</v>
      </c>
      <c r="AB1597" t="s">
        <v>86</v>
      </c>
      <c r="AC1597" t="s">
        <v>137</v>
      </c>
      <c r="AD1597" t="s">
        <v>220</v>
      </c>
    </row>
    <row r="1598" spans="1:30" x14ac:dyDescent="0.35">
      <c r="A1598" s="4">
        <v>42565</v>
      </c>
      <c r="B1598" t="s">
        <v>30</v>
      </c>
      <c r="C1598">
        <v>503</v>
      </c>
      <c r="D1598">
        <v>6</v>
      </c>
      <c r="E1598">
        <v>1</v>
      </c>
      <c r="F1598" t="s">
        <v>42</v>
      </c>
      <c r="G1598" t="s">
        <v>32</v>
      </c>
      <c r="H1598" t="s">
        <v>33</v>
      </c>
      <c r="I1598" t="s">
        <v>58</v>
      </c>
      <c r="J1598" t="s">
        <v>44</v>
      </c>
      <c r="K1598" t="s">
        <v>36</v>
      </c>
      <c r="L1598" t="s">
        <v>37</v>
      </c>
      <c r="M1598">
        <v>0</v>
      </c>
      <c r="N1598">
        <v>0</v>
      </c>
      <c r="O1598" s="5">
        <v>50578</v>
      </c>
      <c r="P1598" s="5"/>
      <c r="Q1598">
        <v>28</v>
      </c>
      <c r="R1598" t="s">
        <v>64</v>
      </c>
      <c r="Z1598" t="s">
        <v>39</v>
      </c>
      <c r="AB1598" t="s">
        <v>214</v>
      </c>
      <c r="AC1598" t="s">
        <v>137</v>
      </c>
    </row>
    <row r="1599" spans="1:30" x14ac:dyDescent="0.35">
      <c r="A1599" s="4">
        <v>42565</v>
      </c>
      <c r="B1599" t="s">
        <v>30</v>
      </c>
      <c r="C1599">
        <v>703</v>
      </c>
      <c r="D1599">
        <v>5</v>
      </c>
      <c r="E1599">
        <v>1</v>
      </c>
      <c r="F1599" t="s">
        <v>31</v>
      </c>
      <c r="G1599" t="s">
        <v>32</v>
      </c>
      <c r="H1599" t="s">
        <v>33</v>
      </c>
      <c r="I1599" t="s">
        <v>58</v>
      </c>
      <c r="J1599" t="s">
        <v>44</v>
      </c>
      <c r="K1599" t="s">
        <v>36</v>
      </c>
      <c r="L1599" t="s">
        <v>37</v>
      </c>
      <c r="M1599">
        <v>0</v>
      </c>
      <c r="N1599">
        <v>0</v>
      </c>
      <c r="O1599" s="5">
        <v>50618</v>
      </c>
      <c r="P1599" s="5"/>
      <c r="Q1599">
        <f>32-9</f>
        <v>23</v>
      </c>
      <c r="R1599" t="s">
        <v>38</v>
      </c>
      <c r="T1599">
        <v>17</v>
      </c>
      <c r="Z1599" t="s">
        <v>102</v>
      </c>
      <c r="AA1599" t="s">
        <v>201</v>
      </c>
      <c r="AB1599" t="s">
        <v>86</v>
      </c>
      <c r="AC1599" t="s">
        <v>137</v>
      </c>
    </row>
    <row r="1600" spans="1:30" x14ac:dyDescent="0.35">
      <c r="A1600" s="4">
        <v>42565</v>
      </c>
      <c r="B1600" t="s">
        <v>30</v>
      </c>
      <c r="C1600">
        <v>303</v>
      </c>
      <c r="D1600">
        <v>9</v>
      </c>
      <c r="E1600">
        <v>1</v>
      </c>
      <c r="F1600" t="s">
        <v>42</v>
      </c>
      <c r="G1600" t="s">
        <v>32</v>
      </c>
      <c r="H1600" t="s">
        <v>33</v>
      </c>
      <c r="I1600" t="s">
        <v>58</v>
      </c>
      <c r="J1600" t="s">
        <v>44</v>
      </c>
      <c r="K1600" t="s">
        <v>36</v>
      </c>
      <c r="L1600" t="s">
        <v>37</v>
      </c>
      <c r="M1600">
        <v>0</v>
      </c>
      <c r="N1600">
        <v>0</v>
      </c>
      <c r="O1600" s="5">
        <v>50732</v>
      </c>
      <c r="P1600" s="5"/>
      <c r="Q1600">
        <f>35-12</f>
        <v>23</v>
      </c>
      <c r="R1600" t="s">
        <v>64</v>
      </c>
      <c r="T1600">
        <v>16</v>
      </c>
      <c r="W1600">
        <v>13.5</v>
      </c>
      <c r="X1600">
        <v>26.4</v>
      </c>
      <c r="Z1600" t="s">
        <v>102</v>
      </c>
      <c r="AB1600" t="s">
        <v>214</v>
      </c>
      <c r="AC1600" t="s">
        <v>137</v>
      </c>
    </row>
    <row r="1601" spans="1:30" x14ac:dyDescent="0.35">
      <c r="A1601" s="4">
        <v>42565</v>
      </c>
      <c r="B1601" t="s">
        <v>30</v>
      </c>
      <c r="C1601">
        <v>303</v>
      </c>
      <c r="D1601">
        <v>9</v>
      </c>
      <c r="E1601">
        <v>2</v>
      </c>
      <c r="F1601" t="s">
        <v>42</v>
      </c>
      <c r="G1601" t="s">
        <v>32</v>
      </c>
      <c r="H1601" t="s">
        <v>33</v>
      </c>
      <c r="I1601" t="s">
        <v>58</v>
      </c>
      <c r="J1601" t="s">
        <v>44</v>
      </c>
      <c r="K1601" t="s">
        <v>36</v>
      </c>
      <c r="L1601" t="s">
        <v>45</v>
      </c>
      <c r="M1601">
        <v>0</v>
      </c>
      <c r="N1601">
        <v>0</v>
      </c>
      <c r="O1601" s="5">
        <v>50738</v>
      </c>
      <c r="P1601" s="5"/>
      <c r="Q1601">
        <f>30.5-12</f>
        <v>18.5</v>
      </c>
      <c r="R1601" t="s">
        <v>79</v>
      </c>
      <c r="S1601" t="s">
        <v>39</v>
      </c>
      <c r="T1601">
        <v>15</v>
      </c>
      <c r="W1601">
        <v>12.8</v>
      </c>
      <c r="X1601">
        <v>23.4</v>
      </c>
      <c r="Z1601" t="s">
        <v>102</v>
      </c>
      <c r="AB1601" t="s">
        <v>214</v>
      </c>
      <c r="AC1601" t="s">
        <v>137</v>
      </c>
    </row>
    <row r="1602" spans="1:30" x14ac:dyDescent="0.35">
      <c r="A1602" s="4">
        <v>42565</v>
      </c>
      <c r="B1602" t="s">
        <v>30</v>
      </c>
      <c r="C1602">
        <v>303</v>
      </c>
      <c r="D1602">
        <v>6</v>
      </c>
      <c r="E1602">
        <v>2</v>
      </c>
      <c r="F1602" t="s">
        <v>42</v>
      </c>
      <c r="G1602" t="s">
        <v>32</v>
      </c>
      <c r="H1602" t="s">
        <v>33</v>
      </c>
      <c r="I1602" t="s">
        <v>58</v>
      </c>
      <c r="J1602" t="s">
        <v>35</v>
      </c>
      <c r="K1602" t="s">
        <v>36</v>
      </c>
      <c r="L1602" t="s">
        <v>37</v>
      </c>
      <c r="M1602">
        <v>0</v>
      </c>
      <c r="N1602">
        <v>1</v>
      </c>
      <c r="O1602" s="5">
        <v>50747</v>
      </c>
      <c r="P1602" s="5"/>
      <c r="Q1602">
        <f>35.5-9</f>
        <v>26.5</v>
      </c>
      <c r="R1602" t="s">
        <v>38</v>
      </c>
      <c r="T1602">
        <v>18</v>
      </c>
      <c r="W1602">
        <v>13.05</v>
      </c>
      <c r="X1602">
        <v>29.9</v>
      </c>
      <c r="Z1602" t="s">
        <v>102</v>
      </c>
      <c r="AB1602" t="s">
        <v>214</v>
      </c>
      <c r="AC1602" t="s">
        <v>137</v>
      </c>
    </row>
    <row r="1603" spans="1:30" x14ac:dyDescent="0.35">
      <c r="A1603" s="4">
        <v>42565</v>
      </c>
      <c r="B1603" t="s">
        <v>30</v>
      </c>
      <c r="C1603">
        <v>303</v>
      </c>
      <c r="D1603">
        <v>7</v>
      </c>
      <c r="E1603">
        <v>1</v>
      </c>
      <c r="F1603" t="s">
        <v>42</v>
      </c>
      <c r="G1603" t="s">
        <v>32</v>
      </c>
      <c r="H1603" t="s">
        <v>33</v>
      </c>
      <c r="I1603" t="s">
        <v>58</v>
      </c>
      <c r="J1603" t="s">
        <v>35</v>
      </c>
      <c r="K1603" t="s">
        <v>36</v>
      </c>
      <c r="L1603" t="s">
        <v>37</v>
      </c>
      <c r="M1603">
        <v>0</v>
      </c>
      <c r="N1603">
        <v>1</v>
      </c>
      <c r="O1603" s="5">
        <v>50750</v>
      </c>
      <c r="P1603" s="5"/>
      <c r="Q1603">
        <v>22</v>
      </c>
      <c r="R1603" t="s">
        <v>64</v>
      </c>
      <c r="Z1603" t="s">
        <v>102</v>
      </c>
      <c r="AB1603" t="s">
        <v>214</v>
      </c>
      <c r="AC1603" t="s">
        <v>137</v>
      </c>
    </row>
    <row r="1604" spans="1:30" x14ac:dyDescent="0.35">
      <c r="A1604" s="4">
        <v>42565</v>
      </c>
      <c r="B1604" t="s">
        <v>30</v>
      </c>
      <c r="C1604">
        <v>801</v>
      </c>
      <c r="D1604">
        <v>6</v>
      </c>
      <c r="E1604">
        <v>2</v>
      </c>
      <c r="F1604" t="s">
        <v>31</v>
      </c>
      <c r="G1604" t="s">
        <v>32</v>
      </c>
      <c r="H1604" t="s">
        <v>33</v>
      </c>
      <c r="I1604" t="s">
        <v>58</v>
      </c>
      <c r="J1604" t="s">
        <v>35</v>
      </c>
      <c r="K1604" t="s">
        <v>36</v>
      </c>
      <c r="L1604" t="s">
        <v>37</v>
      </c>
      <c r="M1604">
        <v>0</v>
      </c>
      <c r="N1604">
        <v>1</v>
      </c>
      <c r="O1604" s="5">
        <v>50755</v>
      </c>
      <c r="P1604" s="5"/>
      <c r="Q1604">
        <v>20</v>
      </c>
      <c r="R1604" t="s">
        <v>38</v>
      </c>
      <c r="T1604">
        <v>18</v>
      </c>
      <c r="W1604">
        <v>12.8</v>
      </c>
      <c r="X1604">
        <v>27.6</v>
      </c>
      <c r="Z1604" t="s">
        <v>102</v>
      </c>
      <c r="AB1604" t="s">
        <v>86</v>
      </c>
      <c r="AC1604" t="s">
        <v>137</v>
      </c>
    </row>
    <row r="1605" spans="1:30" x14ac:dyDescent="0.35">
      <c r="A1605" s="4">
        <v>42565</v>
      </c>
      <c r="B1605" t="s">
        <v>30</v>
      </c>
      <c r="C1605">
        <v>801</v>
      </c>
      <c r="D1605">
        <v>4</v>
      </c>
      <c r="E1605">
        <v>2</v>
      </c>
      <c r="F1605" t="s">
        <v>31</v>
      </c>
      <c r="G1605" t="s">
        <v>32</v>
      </c>
      <c r="H1605" t="s">
        <v>33</v>
      </c>
      <c r="I1605" t="s">
        <v>58</v>
      </c>
      <c r="J1605" t="s">
        <v>35</v>
      </c>
      <c r="K1605" t="s">
        <v>36</v>
      </c>
      <c r="L1605" t="s">
        <v>45</v>
      </c>
      <c r="M1605">
        <v>0</v>
      </c>
      <c r="N1605">
        <v>1</v>
      </c>
      <c r="O1605" s="5">
        <v>50756</v>
      </c>
      <c r="P1605" s="5"/>
      <c r="Q1605">
        <f>44-11</f>
        <v>33</v>
      </c>
      <c r="R1605" t="s">
        <v>145</v>
      </c>
      <c r="S1605" t="s">
        <v>102</v>
      </c>
      <c r="T1605">
        <v>18</v>
      </c>
      <c r="W1605">
        <v>12.8</v>
      </c>
      <c r="X1605">
        <v>27.6</v>
      </c>
      <c r="Z1605" t="s">
        <v>39</v>
      </c>
      <c r="AB1605" t="s">
        <v>86</v>
      </c>
      <c r="AC1605" t="s">
        <v>137</v>
      </c>
      <c r="AD1605" t="s">
        <v>221</v>
      </c>
    </row>
    <row r="1606" spans="1:30" x14ac:dyDescent="0.35">
      <c r="A1606" s="4">
        <v>42565</v>
      </c>
      <c r="B1606" t="s">
        <v>30</v>
      </c>
      <c r="C1606">
        <v>701</v>
      </c>
      <c r="D1606">
        <v>4</v>
      </c>
      <c r="E1606">
        <v>2</v>
      </c>
      <c r="F1606" t="s">
        <v>31</v>
      </c>
      <c r="G1606" t="s">
        <v>32</v>
      </c>
      <c r="H1606" t="s">
        <v>33</v>
      </c>
      <c r="I1606" t="s">
        <v>58</v>
      </c>
      <c r="J1606" t="s">
        <v>35</v>
      </c>
      <c r="K1606" t="s">
        <v>36</v>
      </c>
      <c r="L1606" t="s">
        <v>37</v>
      </c>
      <c r="M1606">
        <v>0</v>
      </c>
      <c r="N1606">
        <v>1</v>
      </c>
      <c r="O1606" s="5">
        <v>50762</v>
      </c>
      <c r="P1606" s="5"/>
      <c r="R1606" t="s">
        <v>38</v>
      </c>
      <c r="T1606">
        <v>18</v>
      </c>
      <c r="W1606">
        <v>13</v>
      </c>
      <c r="X1606">
        <v>27.8</v>
      </c>
      <c r="Z1606" t="s">
        <v>102</v>
      </c>
      <c r="AA1606" t="s">
        <v>222</v>
      </c>
      <c r="AB1606" t="s">
        <v>86</v>
      </c>
      <c r="AC1606" t="s">
        <v>137</v>
      </c>
    </row>
    <row r="1607" spans="1:30" x14ac:dyDescent="0.35">
      <c r="A1607" s="4">
        <v>42565</v>
      </c>
      <c r="B1607" t="s">
        <v>30</v>
      </c>
      <c r="C1607">
        <v>703</v>
      </c>
      <c r="D1607">
        <v>7</v>
      </c>
      <c r="E1607">
        <v>2</v>
      </c>
      <c r="F1607" t="s">
        <v>31</v>
      </c>
      <c r="G1607" t="s">
        <v>32</v>
      </c>
      <c r="H1607" t="s">
        <v>33</v>
      </c>
      <c r="I1607" t="s">
        <v>58</v>
      </c>
      <c r="J1607" t="s">
        <v>35</v>
      </c>
      <c r="K1607" t="s">
        <v>36</v>
      </c>
      <c r="L1607" t="s">
        <v>37</v>
      </c>
      <c r="M1607">
        <v>0</v>
      </c>
      <c r="N1607">
        <v>1</v>
      </c>
      <c r="O1607" s="5">
        <v>50763</v>
      </c>
      <c r="P1607" s="5"/>
      <c r="Q1607">
        <f>29-9</f>
        <v>20</v>
      </c>
      <c r="R1607" t="s">
        <v>38</v>
      </c>
      <c r="T1607">
        <v>17</v>
      </c>
      <c r="W1607">
        <v>12.3</v>
      </c>
      <c r="X1607">
        <v>26.2</v>
      </c>
      <c r="Z1607" t="s">
        <v>102</v>
      </c>
      <c r="AA1607" t="s">
        <v>201</v>
      </c>
      <c r="AB1607" t="s">
        <v>86</v>
      </c>
      <c r="AC1607" t="s">
        <v>137</v>
      </c>
      <c r="AD1607" t="s">
        <v>223</v>
      </c>
    </row>
    <row r="1608" spans="1:30" x14ac:dyDescent="0.35">
      <c r="A1608" s="4">
        <v>42565</v>
      </c>
      <c r="B1608" t="s">
        <v>30</v>
      </c>
      <c r="C1608">
        <v>703</v>
      </c>
      <c r="D1608">
        <v>2</v>
      </c>
      <c r="E1608">
        <v>2</v>
      </c>
      <c r="F1608" t="s">
        <v>31</v>
      </c>
      <c r="G1608" t="s">
        <v>32</v>
      </c>
      <c r="H1608" t="s">
        <v>33</v>
      </c>
      <c r="I1608" t="s">
        <v>58</v>
      </c>
      <c r="J1608" t="s">
        <v>35</v>
      </c>
      <c r="K1608" t="s">
        <v>88</v>
      </c>
      <c r="L1608" t="s">
        <v>37</v>
      </c>
      <c r="M1608">
        <v>0</v>
      </c>
      <c r="N1608">
        <v>1</v>
      </c>
      <c r="O1608" s="5">
        <v>50764</v>
      </c>
      <c r="P1608" s="5"/>
      <c r="Q1608">
        <f>24-10</f>
        <v>14</v>
      </c>
      <c r="R1608" t="s">
        <v>38</v>
      </c>
      <c r="T1608">
        <v>17</v>
      </c>
      <c r="W1608">
        <v>12.2</v>
      </c>
      <c r="X1608">
        <v>25.6</v>
      </c>
      <c r="Z1608" t="s">
        <v>102</v>
      </c>
      <c r="AA1608" t="s">
        <v>201</v>
      </c>
      <c r="AB1608" t="s">
        <v>86</v>
      </c>
      <c r="AC1608" t="s">
        <v>137</v>
      </c>
    </row>
    <row r="1609" spans="1:30" x14ac:dyDescent="0.35">
      <c r="A1609" s="4">
        <v>42565</v>
      </c>
      <c r="B1609" t="s">
        <v>30</v>
      </c>
      <c r="C1609">
        <v>701</v>
      </c>
      <c r="D1609">
        <v>7</v>
      </c>
      <c r="E1609">
        <v>2</v>
      </c>
      <c r="F1609" t="s">
        <v>31</v>
      </c>
      <c r="G1609" t="s">
        <v>32</v>
      </c>
      <c r="H1609" t="s">
        <v>33</v>
      </c>
      <c r="I1609" t="s">
        <v>58</v>
      </c>
      <c r="J1609" t="s">
        <v>35</v>
      </c>
      <c r="K1609" t="s">
        <v>36</v>
      </c>
      <c r="L1609" t="s">
        <v>45</v>
      </c>
      <c r="M1609">
        <v>0</v>
      </c>
      <c r="N1609">
        <v>1</v>
      </c>
      <c r="O1609" s="5">
        <v>50769</v>
      </c>
      <c r="P1609" s="5"/>
      <c r="Q1609">
        <f>33.5-9</f>
        <v>24.5</v>
      </c>
      <c r="R1609" t="s">
        <v>145</v>
      </c>
      <c r="S1609" t="s">
        <v>102</v>
      </c>
      <c r="T1609">
        <v>17</v>
      </c>
      <c r="W1609">
        <v>12.9</v>
      </c>
      <c r="Z1609" t="s">
        <v>102</v>
      </c>
      <c r="AA1609" t="s">
        <v>224</v>
      </c>
      <c r="AB1609" t="s">
        <v>86</v>
      </c>
      <c r="AC1609" t="s">
        <v>137</v>
      </c>
    </row>
    <row r="1610" spans="1:30" x14ac:dyDescent="0.35">
      <c r="A1610" s="4">
        <v>42565</v>
      </c>
      <c r="B1610" t="s">
        <v>30</v>
      </c>
      <c r="C1610">
        <v>303</v>
      </c>
      <c r="D1610">
        <v>3</v>
      </c>
      <c r="E1610">
        <v>2</v>
      </c>
      <c r="F1610" t="s">
        <v>42</v>
      </c>
      <c r="G1610" t="s">
        <v>32</v>
      </c>
      <c r="H1610" t="s">
        <v>33</v>
      </c>
      <c r="I1610" t="s">
        <v>65</v>
      </c>
      <c r="J1610" t="s">
        <v>44</v>
      </c>
      <c r="K1610" t="s">
        <v>36</v>
      </c>
      <c r="L1610" t="s">
        <v>45</v>
      </c>
      <c r="M1610">
        <v>0</v>
      </c>
      <c r="N1610">
        <v>0</v>
      </c>
      <c r="O1610" s="5"/>
      <c r="P1610" s="5" t="s">
        <v>225</v>
      </c>
      <c r="Q1610">
        <f>290-120</f>
        <v>170</v>
      </c>
      <c r="R1610" t="s">
        <v>46</v>
      </c>
      <c r="S1610" t="s">
        <v>39</v>
      </c>
      <c r="T1610">
        <v>42</v>
      </c>
      <c r="W1610">
        <v>27.7</v>
      </c>
      <c r="X1610">
        <v>47.5</v>
      </c>
      <c r="Z1610" t="s">
        <v>39</v>
      </c>
      <c r="AB1610" t="s">
        <v>214</v>
      </c>
      <c r="AC1610" t="s">
        <v>137</v>
      </c>
    </row>
    <row r="1611" spans="1:30" x14ac:dyDescent="0.35">
      <c r="A1611" s="4">
        <v>42565</v>
      </c>
      <c r="B1611" t="s">
        <v>30</v>
      </c>
      <c r="C1611">
        <v>303</v>
      </c>
      <c r="D1611">
        <v>7</v>
      </c>
      <c r="E1611">
        <v>2</v>
      </c>
      <c r="F1611" t="s">
        <v>42</v>
      </c>
      <c r="G1611" t="s">
        <v>32</v>
      </c>
      <c r="H1611" t="s">
        <v>33</v>
      </c>
      <c r="I1611" t="s">
        <v>55</v>
      </c>
      <c r="J1611" t="s">
        <v>66</v>
      </c>
      <c r="O1611" s="5"/>
      <c r="P1611" s="5"/>
    </row>
    <row r="1612" spans="1:30" x14ac:dyDescent="0.35">
      <c r="A1612" s="4">
        <v>42565</v>
      </c>
      <c r="B1612" t="s">
        <v>30</v>
      </c>
      <c r="C1612">
        <v>401</v>
      </c>
      <c r="D1612">
        <v>2</v>
      </c>
      <c r="E1612">
        <v>1</v>
      </c>
      <c r="F1612" t="s">
        <v>42</v>
      </c>
      <c r="G1612" t="s">
        <v>32</v>
      </c>
      <c r="H1612" t="s">
        <v>33</v>
      </c>
      <c r="I1612" t="s">
        <v>55</v>
      </c>
      <c r="J1612" t="s">
        <v>66</v>
      </c>
      <c r="O1612" s="5"/>
      <c r="P1612" s="5"/>
    </row>
    <row r="1613" spans="1:30" x14ac:dyDescent="0.35">
      <c r="A1613" s="4">
        <v>42565</v>
      </c>
      <c r="B1613" t="s">
        <v>30</v>
      </c>
      <c r="C1613">
        <v>401</v>
      </c>
      <c r="D1613">
        <v>5</v>
      </c>
      <c r="E1613">
        <v>1</v>
      </c>
      <c r="F1613" t="s">
        <v>42</v>
      </c>
      <c r="G1613" t="s">
        <v>32</v>
      </c>
      <c r="H1613" t="s">
        <v>33</v>
      </c>
      <c r="I1613" t="s">
        <v>55</v>
      </c>
      <c r="J1613" t="s">
        <v>66</v>
      </c>
      <c r="O1613" s="5"/>
      <c r="P1613" s="5"/>
    </row>
    <row r="1614" spans="1:30" x14ac:dyDescent="0.35">
      <c r="A1614" s="4">
        <v>42565</v>
      </c>
      <c r="B1614" t="s">
        <v>30</v>
      </c>
      <c r="C1614">
        <v>401</v>
      </c>
      <c r="D1614">
        <v>8</v>
      </c>
      <c r="E1614">
        <v>1</v>
      </c>
      <c r="F1614" t="s">
        <v>42</v>
      </c>
      <c r="G1614" t="s">
        <v>32</v>
      </c>
      <c r="H1614" t="s">
        <v>33</v>
      </c>
      <c r="I1614" t="s">
        <v>55</v>
      </c>
      <c r="J1614" t="s">
        <v>66</v>
      </c>
      <c r="O1614" s="5"/>
      <c r="P1614" s="5"/>
    </row>
    <row r="1615" spans="1:30" x14ac:dyDescent="0.35">
      <c r="A1615" s="4">
        <v>42565</v>
      </c>
      <c r="B1615" t="s">
        <v>30</v>
      </c>
      <c r="C1615">
        <v>401</v>
      </c>
      <c r="D1615">
        <v>9</v>
      </c>
      <c r="E1615">
        <v>1</v>
      </c>
      <c r="F1615" t="s">
        <v>42</v>
      </c>
      <c r="G1615" t="s">
        <v>32</v>
      </c>
      <c r="H1615" t="s">
        <v>33</v>
      </c>
      <c r="I1615" t="s">
        <v>55</v>
      </c>
      <c r="J1615" t="s">
        <v>66</v>
      </c>
      <c r="O1615" s="5"/>
      <c r="P1615" s="5"/>
    </row>
    <row r="1616" spans="1:30" x14ac:dyDescent="0.35">
      <c r="A1616" s="4">
        <v>42565</v>
      </c>
      <c r="B1616" t="s">
        <v>30</v>
      </c>
      <c r="C1616">
        <v>701</v>
      </c>
      <c r="D1616">
        <v>1</v>
      </c>
      <c r="E1616">
        <v>2</v>
      </c>
      <c r="F1616" t="s">
        <v>31</v>
      </c>
      <c r="G1616" t="s">
        <v>32</v>
      </c>
      <c r="H1616" t="s">
        <v>33</v>
      </c>
      <c r="I1616" t="s">
        <v>55</v>
      </c>
      <c r="J1616" t="s">
        <v>66</v>
      </c>
      <c r="O1616" s="5"/>
      <c r="P1616" s="5"/>
    </row>
    <row r="1617" spans="1:16" x14ac:dyDescent="0.35">
      <c r="A1617" s="4">
        <v>42565</v>
      </c>
      <c r="B1617" t="s">
        <v>30</v>
      </c>
      <c r="C1617">
        <v>801</v>
      </c>
      <c r="D1617">
        <v>1</v>
      </c>
      <c r="E1617">
        <v>1</v>
      </c>
      <c r="F1617" t="s">
        <v>31</v>
      </c>
      <c r="G1617" t="s">
        <v>32</v>
      </c>
      <c r="H1617" t="s">
        <v>33</v>
      </c>
      <c r="I1617" t="s">
        <v>55</v>
      </c>
      <c r="J1617" t="s">
        <v>66</v>
      </c>
      <c r="O1617" s="5"/>
      <c r="P1617" s="5"/>
    </row>
    <row r="1618" spans="1:16" x14ac:dyDescent="0.35">
      <c r="A1618" s="4">
        <v>42565</v>
      </c>
      <c r="B1618" t="s">
        <v>30</v>
      </c>
      <c r="C1618">
        <v>501</v>
      </c>
      <c r="D1618">
        <v>5</v>
      </c>
      <c r="E1618">
        <v>1</v>
      </c>
      <c r="F1618" t="s">
        <v>42</v>
      </c>
      <c r="G1618" t="s">
        <v>32</v>
      </c>
      <c r="H1618" t="s">
        <v>33</v>
      </c>
      <c r="I1618" t="s">
        <v>59</v>
      </c>
      <c r="O1618" s="5"/>
      <c r="P1618" s="5"/>
    </row>
    <row r="1619" spans="1:16" x14ac:dyDescent="0.35">
      <c r="A1619" s="4">
        <v>42565</v>
      </c>
      <c r="B1619" t="s">
        <v>30</v>
      </c>
      <c r="C1619">
        <v>501</v>
      </c>
      <c r="D1619">
        <v>8</v>
      </c>
      <c r="E1619">
        <v>1</v>
      </c>
      <c r="F1619" t="s">
        <v>42</v>
      </c>
      <c r="G1619" t="s">
        <v>32</v>
      </c>
      <c r="H1619" t="s">
        <v>33</v>
      </c>
      <c r="I1619" t="s">
        <v>59</v>
      </c>
      <c r="O1619" s="5"/>
      <c r="P1619" s="5"/>
    </row>
    <row r="1620" spans="1:16" x14ac:dyDescent="0.35">
      <c r="A1620" s="4">
        <v>42565</v>
      </c>
      <c r="B1620" t="s">
        <v>30</v>
      </c>
      <c r="C1620">
        <v>501</v>
      </c>
      <c r="D1620">
        <v>9</v>
      </c>
      <c r="E1620">
        <v>1</v>
      </c>
      <c r="F1620" t="s">
        <v>42</v>
      </c>
      <c r="G1620" t="s">
        <v>32</v>
      </c>
      <c r="H1620" t="s">
        <v>33</v>
      </c>
      <c r="I1620" t="s">
        <v>59</v>
      </c>
      <c r="O1620" s="5"/>
      <c r="P1620" s="5"/>
    </row>
    <row r="1621" spans="1:16" x14ac:dyDescent="0.35">
      <c r="A1621" s="4">
        <v>42565</v>
      </c>
      <c r="B1621" t="s">
        <v>30</v>
      </c>
      <c r="C1621">
        <v>501</v>
      </c>
      <c r="D1621">
        <v>9</v>
      </c>
      <c r="E1621">
        <v>2</v>
      </c>
      <c r="F1621" t="s">
        <v>42</v>
      </c>
      <c r="G1621" t="s">
        <v>32</v>
      </c>
      <c r="H1621" t="s">
        <v>33</v>
      </c>
      <c r="I1621" t="s">
        <v>59</v>
      </c>
      <c r="O1621" s="5"/>
      <c r="P1621" s="5"/>
    </row>
    <row r="1622" spans="1:16" x14ac:dyDescent="0.35">
      <c r="A1622" s="4">
        <v>42565</v>
      </c>
      <c r="B1622" t="s">
        <v>30</v>
      </c>
      <c r="C1622">
        <v>501</v>
      </c>
      <c r="D1622">
        <v>10</v>
      </c>
      <c r="E1622">
        <v>1</v>
      </c>
      <c r="F1622" t="s">
        <v>42</v>
      </c>
      <c r="G1622" t="s">
        <v>32</v>
      </c>
      <c r="H1622" t="s">
        <v>33</v>
      </c>
      <c r="I1622" t="s">
        <v>59</v>
      </c>
      <c r="O1622" s="5"/>
      <c r="P1622" s="5"/>
    </row>
    <row r="1623" spans="1:16" x14ac:dyDescent="0.35">
      <c r="A1623" s="4">
        <v>42565</v>
      </c>
      <c r="B1623" t="s">
        <v>30</v>
      </c>
      <c r="C1623">
        <v>503</v>
      </c>
      <c r="D1623">
        <v>1</v>
      </c>
      <c r="E1623">
        <v>1</v>
      </c>
      <c r="F1623" t="s">
        <v>42</v>
      </c>
      <c r="G1623" t="s">
        <v>32</v>
      </c>
      <c r="H1623" t="s">
        <v>33</v>
      </c>
      <c r="I1623" t="s">
        <v>59</v>
      </c>
      <c r="O1623" s="5"/>
      <c r="P1623" s="5"/>
    </row>
    <row r="1624" spans="1:16" x14ac:dyDescent="0.35">
      <c r="A1624" s="4">
        <v>42565</v>
      </c>
      <c r="B1624" t="s">
        <v>30</v>
      </c>
      <c r="C1624">
        <v>503</v>
      </c>
      <c r="D1624">
        <v>1</v>
      </c>
      <c r="E1624">
        <v>2</v>
      </c>
      <c r="F1624" t="s">
        <v>42</v>
      </c>
      <c r="G1624" t="s">
        <v>32</v>
      </c>
      <c r="H1624" t="s">
        <v>33</v>
      </c>
      <c r="I1624" t="s">
        <v>59</v>
      </c>
      <c r="O1624" s="5"/>
      <c r="P1624" s="5"/>
    </row>
    <row r="1625" spans="1:16" x14ac:dyDescent="0.35">
      <c r="A1625" s="4">
        <v>42565</v>
      </c>
      <c r="B1625" t="s">
        <v>30</v>
      </c>
      <c r="C1625">
        <v>503</v>
      </c>
      <c r="D1625">
        <v>2</v>
      </c>
      <c r="E1625">
        <v>2</v>
      </c>
      <c r="F1625" t="s">
        <v>42</v>
      </c>
      <c r="G1625" t="s">
        <v>32</v>
      </c>
      <c r="H1625" t="s">
        <v>33</v>
      </c>
      <c r="I1625" t="s">
        <v>59</v>
      </c>
      <c r="O1625" s="5"/>
      <c r="P1625" s="5"/>
    </row>
    <row r="1626" spans="1:16" x14ac:dyDescent="0.35">
      <c r="A1626" s="4">
        <v>42565</v>
      </c>
      <c r="B1626" t="s">
        <v>30</v>
      </c>
      <c r="C1626">
        <v>503</v>
      </c>
      <c r="D1626">
        <v>3</v>
      </c>
      <c r="E1626">
        <v>1</v>
      </c>
      <c r="F1626" t="s">
        <v>42</v>
      </c>
      <c r="G1626" t="s">
        <v>32</v>
      </c>
      <c r="H1626" t="s">
        <v>33</v>
      </c>
      <c r="I1626" t="s">
        <v>59</v>
      </c>
      <c r="O1626" s="5"/>
      <c r="P1626" s="5"/>
    </row>
    <row r="1627" spans="1:16" x14ac:dyDescent="0.35">
      <c r="A1627" s="4">
        <v>42565</v>
      </c>
      <c r="B1627" t="s">
        <v>30</v>
      </c>
      <c r="C1627">
        <v>503</v>
      </c>
      <c r="D1627">
        <v>3</v>
      </c>
      <c r="E1627">
        <v>2</v>
      </c>
      <c r="F1627" t="s">
        <v>42</v>
      </c>
      <c r="G1627" t="s">
        <v>32</v>
      </c>
      <c r="H1627" t="s">
        <v>33</v>
      </c>
      <c r="I1627" t="s">
        <v>59</v>
      </c>
      <c r="O1627" s="5"/>
      <c r="P1627" s="5"/>
    </row>
    <row r="1628" spans="1:16" x14ac:dyDescent="0.35">
      <c r="A1628" s="4">
        <v>42565</v>
      </c>
      <c r="B1628" t="s">
        <v>30</v>
      </c>
      <c r="C1628">
        <v>503</v>
      </c>
      <c r="D1628">
        <v>5</v>
      </c>
      <c r="E1628">
        <v>1</v>
      </c>
      <c r="F1628" t="s">
        <v>42</v>
      </c>
      <c r="G1628" t="s">
        <v>32</v>
      </c>
      <c r="H1628" t="s">
        <v>33</v>
      </c>
      <c r="I1628" t="s">
        <v>59</v>
      </c>
      <c r="O1628" s="5"/>
      <c r="P1628" s="5"/>
    </row>
    <row r="1629" spans="1:16" x14ac:dyDescent="0.35">
      <c r="A1629" s="4">
        <v>42565</v>
      </c>
      <c r="B1629" t="s">
        <v>30</v>
      </c>
      <c r="C1629">
        <v>503</v>
      </c>
      <c r="D1629">
        <v>5</v>
      </c>
      <c r="E1629">
        <v>2</v>
      </c>
      <c r="F1629" t="s">
        <v>42</v>
      </c>
      <c r="G1629" t="s">
        <v>32</v>
      </c>
      <c r="H1629" t="s">
        <v>33</v>
      </c>
      <c r="I1629" t="s">
        <v>59</v>
      </c>
      <c r="O1629" s="5"/>
      <c r="P1629" s="5"/>
    </row>
    <row r="1630" spans="1:16" x14ac:dyDescent="0.35">
      <c r="A1630" s="4">
        <v>42565</v>
      </c>
      <c r="B1630" t="s">
        <v>30</v>
      </c>
      <c r="C1630">
        <v>503</v>
      </c>
      <c r="D1630">
        <v>8</v>
      </c>
      <c r="E1630">
        <v>1</v>
      </c>
      <c r="F1630" t="s">
        <v>42</v>
      </c>
      <c r="G1630" t="s">
        <v>32</v>
      </c>
      <c r="H1630" t="s">
        <v>33</v>
      </c>
      <c r="I1630" t="s">
        <v>59</v>
      </c>
      <c r="O1630" s="5"/>
      <c r="P1630" s="5"/>
    </row>
    <row r="1631" spans="1:16" x14ac:dyDescent="0.35">
      <c r="A1631" s="4">
        <v>42565</v>
      </c>
      <c r="B1631" t="s">
        <v>30</v>
      </c>
      <c r="C1631">
        <v>503</v>
      </c>
      <c r="D1631">
        <v>9</v>
      </c>
      <c r="E1631">
        <v>2</v>
      </c>
      <c r="F1631" t="s">
        <v>42</v>
      </c>
      <c r="G1631" t="s">
        <v>32</v>
      </c>
      <c r="H1631" t="s">
        <v>33</v>
      </c>
      <c r="I1631" t="s">
        <v>59</v>
      </c>
      <c r="O1631" s="5"/>
      <c r="P1631" s="5"/>
    </row>
    <row r="1632" spans="1:16" x14ac:dyDescent="0.35">
      <c r="A1632" s="4">
        <v>42565</v>
      </c>
      <c r="B1632" t="s">
        <v>30</v>
      </c>
      <c r="C1632">
        <v>503</v>
      </c>
      <c r="D1632">
        <v>10</v>
      </c>
      <c r="E1632">
        <v>2</v>
      </c>
      <c r="F1632" t="s">
        <v>42</v>
      </c>
      <c r="G1632" t="s">
        <v>32</v>
      </c>
      <c r="H1632" t="s">
        <v>33</v>
      </c>
      <c r="I1632" t="s">
        <v>59</v>
      </c>
      <c r="O1632" s="5"/>
      <c r="P1632" s="5"/>
    </row>
    <row r="1633" spans="1:16" x14ac:dyDescent="0.35">
      <c r="A1633" s="4">
        <v>42565</v>
      </c>
      <c r="B1633" t="s">
        <v>30</v>
      </c>
      <c r="C1633">
        <v>303</v>
      </c>
      <c r="D1633">
        <v>3</v>
      </c>
      <c r="E1633">
        <v>1</v>
      </c>
      <c r="F1633" t="s">
        <v>42</v>
      </c>
      <c r="G1633" t="s">
        <v>32</v>
      </c>
      <c r="H1633" t="s">
        <v>33</v>
      </c>
      <c r="I1633" t="s">
        <v>59</v>
      </c>
      <c r="O1633" s="5"/>
      <c r="P1633" s="5"/>
    </row>
    <row r="1634" spans="1:16" x14ac:dyDescent="0.35">
      <c r="A1634" s="4">
        <v>42565</v>
      </c>
      <c r="B1634" t="s">
        <v>30</v>
      </c>
      <c r="C1634">
        <v>303</v>
      </c>
      <c r="D1634">
        <v>4</v>
      </c>
      <c r="E1634">
        <v>1</v>
      </c>
      <c r="F1634" t="s">
        <v>42</v>
      </c>
      <c r="G1634" t="s">
        <v>32</v>
      </c>
      <c r="H1634" t="s">
        <v>33</v>
      </c>
      <c r="I1634" t="s">
        <v>59</v>
      </c>
      <c r="O1634" s="5"/>
      <c r="P1634" s="5"/>
    </row>
    <row r="1635" spans="1:16" x14ac:dyDescent="0.35">
      <c r="A1635" s="4">
        <v>42565</v>
      </c>
      <c r="B1635" t="s">
        <v>30</v>
      </c>
      <c r="C1635">
        <v>303</v>
      </c>
      <c r="D1635">
        <v>4</v>
      </c>
      <c r="E1635">
        <v>2</v>
      </c>
      <c r="F1635" t="s">
        <v>42</v>
      </c>
      <c r="G1635" t="s">
        <v>32</v>
      </c>
      <c r="H1635" t="s">
        <v>33</v>
      </c>
      <c r="I1635" t="s">
        <v>59</v>
      </c>
      <c r="O1635" s="5"/>
      <c r="P1635" s="5"/>
    </row>
    <row r="1636" spans="1:16" x14ac:dyDescent="0.35">
      <c r="A1636" s="4">
        <v>42565</v>
      </c>
      <c r="B1636" t="s">
        <v>30</v>
      </c>
      <c r="C1636">
        <v>303</v>
      </c>
      <c r="D1636">
        <v>5</v>
      </c>
      <c r="E1636">
        <v>1</v>
      </c>
      <c r="F1636" t="s">
        <v>42</v>
      </c>
      <c r="G1636" t="s">
        <v>32</v>
      </c>
      <c r="H1636" t="s">
        <v>33</v>
      </c>
      <c r="I1636" t="s">
        <v>59</v>
      </c>
      <c r="O1636" s="5"/>
      <c r="P1636" s="5"/>
    </row>
    <row r="1637" spans="1:16" x14ac:dyDescent="0.35">
      <c r="A1637" s="4">
        <v>42565</v>
      </c>
      <c r="B1637" t="s">
        <v>30</v>
      </c>
      <c r="C1637">
        <v>303</v>
      </c>
      <c r="D1637">
        <v>5</v>
      </c>
      <c r="E1637">
        <v>2</v>
      </c>
      <c r="F1637" t="s">
        <v>42</v>
      </c>
      <c r="G1637" t="s">
        <v>32</v>
      </c>
      <c r="H1637" t="s">
        <v>33</v>
      </c>
      <c r="I1637" t="s">
        <v>59</v>
      </c>
      <c r="O1637" s="5"/>
      <c r="P1637" s="5"/>
    </row>
    <row r="1638" spans="1:16" x14ac:dyDescent="0.35">
      <c r="A1638" s="4">
        <v>42565</v>
      </c>
      <c r="B1638" t="s">
        <v>30</v>
      </c>
      <c r="C1638">
        <v>303</v>
      </c>
      <c r="D1638">
        <v>8</v>
      </c>
      <c r="E1638">
        <v>1</v>
      </c>
      <c r="F1638" t="s">
        <v>42</v>
      </c>
      <c r="G1638" t="s">
        <v>32</v>
      </c>
      <c r="H1638" t="s">
        <v>33</v>
      </c>
      <c r="I1638" t="s">
        <v>59</v>
      </c>
      <c r="O1638" s="5"/>
      <c r="P1638" s="5"/>
    </row>
    <row r="1639" spans="1:16" x14ac:dyDescent="0.35">
      <c r="A1639" s="4">
        <v>42565</v>
      </c>
      <c r="B1639" t="s">
        <v>30</v>
      </c>
      <c r="C1639">
        <v>303</v>
      </c>
      <c r="D1639">
        <v>8</v>
      </c>
      <c r="E1639">
        <v>2</v>
      </c>
      <c r="F1639" t="s">
        <v>42</v>
      </c>
      <c r="G1639" t="s">
        <v>32</v>
      </c>
      <c r="H1639" t="s">
        <v>33</v>
      </c>
      <c r="I1639" t="s">
        <v>59</v>
      </c>
      <c r="O1639" s="5"/>
      <c r="P1639" s="5"/>
    </row>
    <row r="1640" spans="1:16" x14ac:dyDescent="0.35">
      <c r="A1640" s="4">
        <v>42565</v>
      </c>
      <c r="B1640" t="s">
        <v>30</v>
      </c>
      <c r="C1640">
        <v>303</v>
      </c>
      <c r="D1640">
        <v>10</v>
      </c>
      <c r="E1640">
        <v>1</v>
      </c>
      <c r="F1640" t="s">
        <v>42</v>
      </c>
      <c r="G1640" t="s">
        <v>32</v>
      </c>
      <c r="H1640" t="s">
        <v>33</v>
      </c>
      <c r="I1640" t="s">
        <v>59</v>
      </c>
      <c r="O1640" s="5"/>
      <c r="P1640" s="5"/>
    </row>
    <row r="1641" spans="1:16" x14ac:dyDescent="0.35">
      <c r="A1641" s="4">
        <v>42565</v>
      </c>
      <c r="B1641" t="s">
        <v>30</v>
      </c>
      <c r="C1641">
        <v>401</v>
      </c>
      <c r="D1641">
        <v>1</v>
      </c>
      <c r="E1641">
        <v>1</v>
      </c>
      <c r="F1641" t="s">
        <v>42</v>
      </c>
      <c r="G1641" t="s">
        <v>32</v>
      </c>
      <c r="H1641" t="s">
        <v>33</v>
      </c>
      <c r="I1641" t="s">
        <v>59</v>
      </c>
      <c r="O1641" s="5"/>
      <c r="P1641" s="5"/>
    </row>
    <row r="1642" spans="1:16" x14ac:dyDescent="0.35">
      <c r="A1642" s="4">
        <v>42565</v>
      </c>
      <c r="B1642" t="s">
        <v>30</v>
      </c>
      <c r="C1642">
        <v>401</v>
      </c>
      <c r="D1642">
        <v>1</v>
      </c>
      <c r="E1642">
        <v>2</v>
      </c>
      <c r="F1642" t="s">
        <v>42</v>
      </c>
      <c r="G1642" t="s">
        <v>32</v>
      </c>
      <c r="H1642" t="s">
        <v>33</v>
      </c>
      <c r="I1642" t="s">
        <v>59</v>
      </c>
      <c r="O1642" s="5"/>
      <c r="P1642" s="5"/>
    </row>
    <row r="1643" spans="1:16" x14ac:dyDescent="0.35">
      <c r="A1643" s="4">
        <v>42565</v>
      </c>
      <c r="B1643" t="s">
        <v>30</v>
      </c>
      <c r="C1643">
        <v>401</v>
      </c>
      <c r="D1643">
        <v>4</v>
      </c>
      <c r="E1643">
        <v>1</v>
      </c>
      <c r="F1643" t="s">
        <v>42</v>
      </c>
      <c r="G1643" t="s">
        <v>32</v>
      </c>
      <c r="H1643" t="s">
        <v>33</v>
      </c>
      <c r="I1643" t="s">
        <v>59</v>
      </c>
      <c r="O1643" s="5"/>
      <c r="P1643" s="5"/>
    </row>
    <row r="1644" spans="1:16" x14ac:dyDescent="0.35">
      <c r="A1644" s="4">
        <v>42565</v>
      </c>
      <c r="B1644" t="s">
        <v>30</v>
      </c>
      <c r="C1644">
        <v>401</v>
      </c>
      <c r="D1644">
        <v>6</v>
      </c>
      <c r="E1644">
        <v>1</v>
      </c>
      <c r="F1644" t="s">
        <v>42</v>
      </c>
      <c r="G1644" t="s">
        <v>32</v>
      </c>
      <c r="H1644" t="s">
        <v>33</v>
      </c>
      <c r="I1644" t="s">
        <v>59</v>
      </c>
      <c r="O1644" s="5"/>
      <c r="P1644" s="5"/>
    </row>
    <row r="1645" spans="1:16" x14ac:dyDescent="0.35">
      <c r="A1645" s="4">
        <v>42565</v>
      </c>
      <c r="B1645" t="s">
        <v>30</v>
      </c>
      <c r="C1645">
        <v>703</v>
      </c>
      <c r="D1645">
        <v>1</v>
      </c>
      <c r="E1645">
        <v>1</v>
      </c>
      <c r="F1645" t="s">
        <v>31</v>
      </c>
      <c r="G1645" t="s">
        <v>32</v>
      </c>
      <c r="H1645" t="s">
        <v>33</v>
      </c>
      <c r="I1645" t="s">
        <v>59</v>
      </c>
      <c r="O1645" s="5"/>
      <c r="P1645" s="5"/>
    </row>
    <row r="1646" spans="1:16" x14ac:dyDescent="0.35">
      <c r="A1646" s="4">
        <v>42565</v>
      </c>
      <c r="B1646" t="s">
        <v>30</v>
      </c>
      <c r="C1646">
        <v>703</v>
      </c>
      <c r="D1646">
        <v>2</v>
      </c>
      <c r="E1646">
        <v>1</v>
      </c>
      <c r="F1646" t="s">
        <v>31</v>
      </c>
      <c r="G1646" t="s">
        <v>32</v>
      </c>
      <c r="H1646" t="s">
        <v>33</v>
      </c>
      <c r="I1646" t="s">
        <v>59</v>
      </c>
      <c r="O1646" s="5"/>
      <c r="P1646" s="5"/>
    </row>
    <row r="1647" spans="1:16" x14ac:dyDescent="0.35">
      <c r="A1647" s="4">
        <v>42565</v>
      </c>
      <c r="B1647" t="s">
        <v>30</v>
      </c>
      <c r="C1647">
        <v>703</v>
      </c>
      <c r="D1647">
        <v>3</v>
      </c>
      <c r="E1647">
        <v>2</v>
      </c>
      <c r="F1647" t="s">
        <v>31</v>
      </c>
      <c r="G1647" t="s">
        <v>32</v>
      </c>
      <c r="H1647" t="s">
        <v>33</v>
      </c>
      <c r="I1647" t="s">
        <v>59</v>
      </c>
      <c r="O1647" s="5"/>
      <c r="P1647" s="5"/>
    </row>
    <row r="1648" spans="1:16" x14ac:dyDescent="0.35">
      <c r="A1648" s="4">
        <v>42565</v>
      </c>
      <c r="B1648" t="s">
        <v>30</v>
      </c>
      <c r="C1648">
        <v>703</v>
      </c>
      <c r="D1648">
        <v>4</v>
      </c>
      <c r="E1648">
        <v>1</v>
      </c>
      <c r="F1648" t="s">
        <v>31</v>
      </c>
      <c r="G1648" t="s">
        <v>32</v>
      </c>
      <c r="H1648" t="s">
        <v>33</v>
      </c>
      <c r="I1648" t="s">
        <v>59</v>
      </c>
      <c r="O1648" s="5"/>
      <c r="P1648" s="5"/>
    </row>
    <row r="1649" spans="1:16" x14ac:dyDescent="0.35">
      <c r="A1649" s="4">
        <v>42565</v>
      </c>
      <c r="B1649" t="s">
        <v>30</v>
      </c>
      <c r="C1649">
        <v>703</v>
      </c>
      <c r="D1649">
        <v>7</v>
      </c>
      <c r="E1649">
        <v>1</v>
      </c>
      <c r="F1649" t="s">
        <v>31</v>
      </c>
      <c r="G1649" t="s">
        <v>32</v>
      </c>
      <c r="H1649" t="s">
        <v>33</v>
      </c>
      <c r="I1649" t="s">
        <v>59</v>
      </c>
      <c r="O1649" s="5"/>
      <c r="P1649" s="5"/>
    </row>
    <row r="1650" spans="1:16" x14ac:dyDescent="0.35">
      <c r="A1650" s="4">
        <v>42565</v>
      </c>
      <c r="B1650" t="s">
        <v>30</v>
      </c>
      <c r="C1650">
        <v>703</v>
      </c>
      <c r="D1650">
        <v>8</v>
      </c>
      <c r="E1650">
        <v>1</v>
      </c>
      <c r="F1650" t="s">
        <v>31</v>
      </c>
      <c r="G1650" t="s">
        <v>32</v>
      </c>
      <c r="H1650" t="s">
        <v>33</v>
      </c>
      <c r="I1650" t="s">
        <v>59</v>
      </c>
      <c r="O1650" s="5"/>
      <c r="P1650" s="5"/>
    </row>
    <row r="1651" spans="1:16" x14ac:dyDescent="0.35">
      <c r="A1651" s="4">
        <v>42565</v>
      </c>
      <c r="B1651" t="s">
        <v>30</v>
      </c>
      <c r="C1651">
        <v>703</v>
      </c>
      <c r="D1651">
        <v>9</v>
      </c>
      <c r="E1651">
        <v>1</v>
      </c>
      <c r="F1651" t="s">
        <v>31</v>
      </c>
      <c r="G1651" t="s">
        <v>32</v>
      </c>
      <c r="H1651" t="s">
        <v>33</v>
      </c>
      <c r="I1651" t="s">
        <v>59</v>
      </c>
      <c r="O1651" s="5"/>
      <c r="P1651" s="5"/>
    </row>
    <row r="1652" spans="1:16" x14ac:dyDescent="0.35">
      <c r="A1652" s="4">
        <v>42565</v>
      </c>
      <c r="B1652" t="s">
        <v>30</v>
      </c>
      <c r="C1652">
        <v>701</v>
      </c>
      <c r="D1652">
        <v>4</v>
      </c>
      <c r="E1652">
        <v>1</v>
      </c>
      <c r="F1652" t="s">
        <v>31</v>
      </c>
      <c r="G1652" t="s">
        <v>32</v>
      </c>
      <c r="H1652" t="s">
        <v>33</v>
      </c>
      <c r="I1652" t="s">
        <v>59</v>
      </c>
      <c r="O1652" s="5"/>
      <c r="P1652" s="5"/>
    </row>
    <row r="1653" spans="1:16" x14ac:dyDescent="0.35">
      <c r="A1653" s="4">
        <v>42565</v>
      </c>
      <c r="B1653" t="s">
        <v>30</v>
      </c>
      <c r="C1653">
        <v>701</v>
      </c>
      <c r="D1653">
        <v>7</v>
      </c>
      <c r="E1653">
        <v>1</v>
      </c>
      <c r="F1653" t="s">
        <v>31</v>
      </c>
      <c r="G1653" t="s">
        <v>32</v>
      </c>
      <c r="H1653" t="s">
        <v>33</v>
      </c>
      <c r="I1653" t="s">
        <v>59</v>
      </c>
      <c r="O1653" s="5"/>
      <c r="P1653" s="5"/>
    </row>
    <row r="1654" spans="1:16" x14ac:dyDescent="0.35">
      <c r="A1654" s="4">
        <v>42565</v>
      </c>
      <c r="B1654" t="s">
        <v>30</v>
      </c>
      <c r="C1654">
        <v>701</v>
      </c>
      <c r="D1654">
        <v>10</v>
      </c>
      <c r="E1654">
        <v>1</v>
      </c>
      <c r="F1654" t="s">
        <v>31</v>
      </c>
      <c r="G1654" t="s">
        <v>32</v>
      </c>
      <c r="H1654" t="s">
        <v>33</v>
      </c>
      <c r="I1654" t="s">
        <v>59</v>
      </c>
      <c r="O1654" s="5"/>
      <c r="P1654" s="5"/>
    </row>
    <row r="1655" spans="1:16" x14ac:dyDescent="0.35">
      <c r="A1655" s="4">
        <v>42565</v>
      </c>
      <c r="B1655" t="s">
        <v>30</v>
      </c>
      <c r="C1655">
        <v>801</v>
      </c>
      <c r="D1655">
        <v>2</v>
      </c>
      <c r="E1655">
        <v>1</v>
      </c>
      <c r="F1655" t="s">
        <v>31</v>
      </c>
      <c r="G1655" t="s">
        <v>32</v>
      </c>
      <c r="H1655" t="s">
        <v>33</v>
      </c>
      <c r="I1655" t="s">
        <v>59</v>
      </c>
      <c r="O1655" s="5"/>
      <c r="P1655" s="5"/>
    </row>
    <row r="1656" spans="1:16" x14ac:dyDescent="0.35">
      <c r="A1656" s="4">
        <v>42565</v>
      </c>
      <c r="B1656" t="s">
        <v>30</v>
      </c>
      <c r="C1656">
        <v>801</v>
      </c>
      <c r="D1656">
        <v>3</v>
      </c>
      <c r="E1656">
        <v>1</v>
      </c>
      <c r="F1656" t="s">
        <v>31</v>
      </c>
      <c r="G1656" t="s">
        <v>32</v>
      </c>
      <c r="H1656" t="s">
        <v>33</v>
      </c>
      <c r="I1656" t="s">
        <v>59</v>
      </c>
      <c r="O1656" s="5"/>
      <c r="P1656" s="5"/>
    </row>
    <row r="1657" spans="1:16" x14ac:dyDescent="0.35">
      <c r="A1657" s="4">
        <v>42565</v>
      </c>
      <c r="B1657" t="s">
        <v>30</v>
      </c>
      <c r="C1657">
        <v>801</v>
      </c>
      <c r="D1657">
        <v>4</v>
      </c>
      <c r="E1657">
        <v>1</v>
      </c>
      <c r="F1657" t="s">
        <v>31</v>
      </c>
      <c r="G1657" t="s">
        <v>32</v>
      </c>
      <c r="H1657" t="s">
        <v>33</v>
      </c>
      <c r="I1657" t="s">
        <v>59</v>
      </c>
      <c r="O1657" s="5"/>
      <c r="P1657" s="5"/>
    </row>
    <row r="1658" spans="1:16" x14ac:dyDescent="0.35">
      <c r="A1658" s="4">
        <v>42565</v>
      </c>
      <c r="B1658" t="s">
        <v>30</v>
      </c>
      <c r="C1658">
        <v>801</v>
      </c>
      <c r="D1658">
        <v>7</v>
      </c>
      <c r="E1658">
        <v>1</v>
      </c>
      <c r="F1658" t="s">
        <v>31</v>
      </c>
      <c r="G1658" t="s">
        <v>32</v>
      </c>
      <c r="H1658" t="s">
        <v>33</v>
      </c>
      <c r="I1658" t="s">
        <v>59</v>
      </c>
      <c r="O1658" s="5"/>
      <c r="P1658" s="5"/>
    </row>
    <row r="1659" spans="1:16" x14ac:dyDescent="0.35">
      <c r="A1659" s="4">
        <v>42565</v>
      </c>
      <c r="B1659" t="s">
        <v>30</v>
      </c>
      <c r="C1659">
        <v>801</v>
      </c>
      <c r="D1659">
        <v>9</v>
      </c>
      <c r="E1659">
        <v>1</v>
      </c>
      <c r="F1659" t="s">
        <v>31</v>
      </c>
      <c r="G1659" t="s">
        <v>32</v>
      </c>
      <c r="H1659" t="s">
        <v>33</v>
      </c>
      <c r="I1659" t="s">
        <v>59</v>
      </c>
      <c r="O1659" s="5"/>
      <c r="P1659" s="5"/>
    </row>
    <row r="1660" spans="1:16" x14ac:dyDescent="0.35">
      <c r="A1660" s="4">
        <v>42565</v>
      </c>
      <c r="B1660" t="s">
        <v>30</v>
      </c>
      <c r="C1660">
        <v>803</v>
      </c>
      <c r="D1660">
        <v>10</v>
      </c>
      <c r="E1660">
        <v>1</v>
      </c>
      <c r="F1660" t="s">
        <v>31</v>
      </c>
      <c r="G1660" t="s">
        <v>32</v>
      </c>
      <c r="H1660" t="s">
        <v>33</v>
      </c>
      <c r="I1660" t="s">
        <v>59</v>
      </c>
      <c r="O1660" s="5"/>
      <c r="P1660" s="5"/>
    </row>
    <row r="1661" spans="1:16" x14ac:dyDescent="0.35">
      <c r="A1661" s="4">
        <v>42565</v>
      </c>
      <c r="B1661" t="s">
        <v>30</v>
      </c>
      <c r="C1661">
        <v>803</v>
      </c>
      <c r="D1661">
        <v>10</v>
      </c>
      <c r="E1661">
        <v>2</v>
      </c>
      <c r="F1661" t="s">
        <v>31</v>
      </c>
      <c r="G1661" t="s">
        <v>32</v>
      </c>
      <c r="H1661" t="s">
        <v>33</v>
      </c>
      <c r="I1661" t="s">
        <v>59</v>
      </c>
      <c r="O1661" s="5"/>
      <c r="P1661" s="5"/>
    </row>
    <row r="1662" spans="1:16" x14ac:dyDescent="0.35">
      <c r="A1662" s="4">
        <v>42565</v>
      </c>
      <c r="B1662" t="s">
        <v>30</v>
      </c>
      <c r="C1662">
        <v>803</v>
      </c>
      <c r="D1662">
        <v>9</v>
      </c>
      <c r="E1662">
        <v>1</v>
      </c>
      <c r="F1662" t="s">
        <v>31</v>
      </c>
      <c r="G1662" t="s">
        <v>32</v>
      </c>
      <c r="H1662" t="s">
        <v>33</v>
      </c>
      <c r="I1662" t="s">
        <v>59</v>
      </c>
      <c r="O1662" s="5"/>
      <c r="P1662" s="5"/>
    </row>
    <row r="1663" spans="1:16" x14ac:dyDescent="0.35">
      <c r="A1663" s="4">
        <v>42565</v>
      </c>
      <c r="B1663" t="s">
        <v>30</v>
      </c>
      <c r="C1663">
        <v>803</v>
      </c>
      <c r="D1663">
        <v>6</v>
      </c>
      <c r="E1663">
        <v>1</v>
      </c>
      <c r="F1663" t="s">
        <v>31</v>
      </c>
      <c r="G1663" t="s">
        <v>32</v>
      </c>
      <c r="H1663" t="s">
        <v>33</v>
      </c>
      <c r="I1663" t="s">
        <v>59</v>
      </c>
      <c r="O1663" s="5"/>
      <c r="P1663" s="5"/>
    </row>
    <row r="1664" spans="1:16" x14ac:dyDescent="0.35">
      <c r="A1664" s="4">
        <v>42565</v>
      </c>
      <c r="B1664" t="s">
        <v>30</v>
      </c>
      <c r="C1664">
        <v>803</v>
      </c>
      <c r="D1664">
        <v>6</v>
      </c>
      <c r="E1664">
        <v>2</v>
      </c>
      <c r="F1664" t="s">
        <v>31</v>
      </c>
      <c r="G1664" t="s">
        <v>32</v>
      </c>
      <c r="H1664" t="s">
        <v>33</v>
      </c>
      <c r="I1664" t="s">
        <v>59</v>
      </c>
      <c r="O1664" s="5"/>
      <c r="P1664" s="5"/>
    </row>
    <row r="1665" spans="1:30" x14ac:dyDescent="0.35">
      <c r="A1665" s="4">
        <v>42565</v>
      </c>
      <c r="B1665" t="s">
        <v>30</v>
      </c>
      <c r="C1665">
        <v>803</v>
      </c>
      <c r="D1665">
        <v>5</v>
      </c>
      <c r="E1665">
        <v>1</v>
      </c>
      <c r="F1665" t="s">
        <v>31</v>
      </c>
      <c r="G1665" t="s">
        <v>32</v>
      </c>
      <c r="H1665" t="s">
        <v>33</v>
      </c>
      <c r="I1665" t="s">
        <v>59</v>
      </c>
      <c r="O1665" s="5"/>
      <c r="P1665" s="5"/>
    </row>
    <row r="1666" spans="1:30" x14ac:dyDescent="0.35">
      <c r="A1666" s="4">
        <v>42565</v>
      </c>
      <c r="B1666" t="s">
        <v>30</v>
      </c>
      <c r="C1666">
        <v>803</v>
      </c>
      <c r="D1666">
        <v>3</v>
      </c>
      <c r="E1666">
        <v>1</v>
      </c>
      <c r="F1666" t="s">
        <v>31</v>
      </c>
      <c r="G1666" t="s">
        <v>32</v>
      </c>
      <c r="H1666" t="s">
        <v>33</v>
      </c>
      <c r="I1666" t="s">
        <v>59</v>
      </c>
      <c r="O1666" s="5"/>
      <c r="P1666" s="5"/>
    </row>
    <row r="1667" spans="1:30" x14ac:dyDescent="0.35">
      <c r="A1667" s="4">
        <v>42565</v>
      </c>
      <c r="B1667" t="s">
        <v>30</v>
      </c>
      <c r="C1667">
        <v>803</v>
      </c>
      <c r="D1667">
        <v>2</v>
      </c>
      <c r="E1667">
        <v>1</v>
      </c>
      <c r="F1667" t="s">
        <v>31</v>
      </c>
      <c r="G1667" t="s">
        <v>32</v>
      </c>
      <c r="H1667" t="s">
        <v>33</v>
      </c>
      <c r="I1667" t="s">
        <v>59</v>
      </c>
      <c r="O1667" s="5"/>
      <c r="P1667" s="5"/>
    </row>
    <row r="1668" spans="1:30" x14ac:dyDescent="0.35">
      <c r="A1668" s="4">
        <v>42565</v>
      </c>
      <c r="B1668" t="s">
        <v>30</v>
      </c>
      <c r="C1668">
        <v>901</v>
      </c>
      <c r="D1668">
        <v>1</v>
      </c>
      <c r="E1668">
        <v>1</v>
      </c>
      <c r="F1668" t="s">
        <v>31</v>
      </c>
      <c r="G1668" t="s">
        <v>32</v>
      </c>
      <c r="H1668" t="s">
        <v>33</v>
      </c>
      <c r="I1668" t="s">
        <v>59</v>
      </c>
      <c r="O1668" s="5"/>
      <c r="P1668" s="5"/>
    </row>
    <row r="1669" spans="1:30" x14ac:dyDescent="0.35">
      <c r="A1669" s="4">
        <v>42565</v>
      </c>
      <c r="B1669" t="s">
        <v>30</v>
      </c>
      <c r="C1669">
        <v>901</v>
      </c>
      <c r="D1669">
        <v>2</v>
      </c>
      <c r="E1669">
        <v>1</v>
      </c>
      <c r="F1669" t="s">
        <v>31</v>
      </c>
      <c r="G1669" t="s">
        <v>32</v>
      </c>
      <c r="H1669" t="s">
        <v>33</v>
      </c>
      <c r="I1669" t="s">
        <v>59</v>
      </c>
      <c r="O1669" s="5"/>
      <c r="P1669" s="5"/>
    </row>
    <row r="1670" spans="1:30" x14ac:dyDescent="0.35">
      <c r="A1670" s="4">
        <v>42565</v>
      </c>
      <c r="B1670" t="s">
        <v>30</v>
      </c>
      <c r="C1670">
        <v>901</v>
      </c>
      <c r="D1670">
        <v>5</v>
      </c>
      <c r="E1670">
        <v>1</v>
      </c>
      <c r="F1670" t="s">
        <v>31</v>
      </c>
      <c r="G1670" t="s">
        <v>32</v>
      </c>
      <c r="H1670" t="s">
        <v>33</v>
      </c>
      <c r="I1670" t="s">
        <v>59</v>
      </c>
      <c r="O1670" s="5"/>
      <c r="P1670" s="5"/>
    </row>
    <row r="1671" spans="1:30" x14ac:dyDescent="0.35">
      <c r="A1671" s="4">
        <v>42565</v>
      </c>
      <c r="B1671" t="s">
        <v>30</v>
      </c>
      <c r="C1671">
        <v>503</v>
      </c>
      <c r="D1671">
        <v>7</v>
      </c>
      <c r="E1671">
        <v>1</v>
      </c>
      <c r="F1671" t="s">
        <v>42</v>
      </c>
      <c r="G1671" t="s">
        <v>32</v>
      </c>
      <c r="H1671" t="s">
        <v>33</v>
      </c>
      <c r="I1671" t="s">
        <v>94</v>
      </c>
      <c r="J1671" t="s">
        <v>44</v>
      </c>
      <c r="K1671" t="s">
        <v>36</v>
      </c>
      <c r="L1671" t="s">
        <v>45</v>
      </c>
      <c r="M1671">
        <v>0</v>
      </c>
      <c r="N1671">
        <v>0</v>
      </c>
      <c r="O1671" s="5">
        <v>50449</v>
      </c>
      <c r="P1671" s="5"/>
      <c r="Q1671">
        <v>24</v>
      </c>
      <c r="R1671" t="s">
        <v>74</v>
      </c>
      <c r="S1671" t="s">
        <v>102</v>
      </c>
      <c r="T1671">
        <v>29</v>
      </c>
      <c r="W1671">
        <v>13.15</v>
      </c>
      <c r="X1671">
        <v>28</v>
      </c>
      <c r="Z1671" t="s">
        <v>39</v>
      </c>
      <c r="AB1671" t="s">
        <v>214</v>
      </c>
      <c r="AC1671" t="s">
        <v>137</v>
      </c>
    </row>
    <row r="1672" spans="1:30" x14ac:dyDescent="0.35">
      <c r="A1672" s="4">
        <v>42565</v>
      </c>
      <c r="B1672" t="s">
        <v>30</v>
      </c>
      <c r="C1672">
        <v>803</v>
      </c>
      <c r="D1672">
        <v>8</v>
      </c>
      <c r="E1672">
        <v>2</v>
      </c>
      <c r="F1672" t="s">
        <v>31</v>
      </c>
      <c r="G1672" t="s">
        <v>32</v>
      </c>
      <c r="H1672" t="s">
        <v>33</v>
      </c>
      <c r="I1672" t="s">
        <v>94</v>
      </c>
      <c r="J1672" t="s">
        <v>35</v>
      </c>
      <c r="K1672" t="s">
        <v>36</v>
      </c>
      <c r="L1672" t="s">
        <v>45</v>
      </c>
      <c r="M1672">
        <v>0</v>
      </c>
      <c r="N1672">
        <v>1</v>
      </c>
      <c r="O1672" s="5">
        <v>50751</v>
      </c>
      <c r="P1672" s="5"/>
      <c r="Q1672">
        <f>36-9.5</f>
        <v>26.5</v>
      </c>
      <c r="R1672" t="s">
        <v>145</v>
      </c>
      <c r="S1672" t="s">
        <v>102</v>
      </c>
      <c r="T1672">
        <v>29</v>
      </c>
      <c r="W1672">
        <v>12.9</v>
      </c>
      <c r="X1672">
        <v>37.5</v>
      </c>
      <c r="Z1672" t="s">
        <v>39</v>
      </c>
      <c r="AB1672" t="s">
        <v>86</v>
      </c>
      <c r="AC1672" t="s">
        <v>137</v>
      </c>
    </row>
    <row r="1673" spans="1:30" x14ac:dyDescent="0.35">
      <c r="A1673" s="4">
        <v>42565</v>
      </c>
      <c r="B1673" t="s">
        <v>30</v>
      </c>
      <c r="C1673">
        <v>803</v>
      </c>
      <c r="D1673">
        <v>7</v>
      </c>
      <c r="E1673">
        <v>1</v>
      </c>
      <c r="F1673" t="s">
        <v>31</v>
      </c>
      <c r="G1673" t="s">
        <v>32</v>
      </c>
      <c r="H1673" t="s">
        <v>33</v>
      </c>
      <c r="I1673" t="s">
        <v>94</v>
      </c>
      <c r="J1673" t="s">
        <v>35</v>
      </c>
      <c r="K1673" t="s">
        <v>36</v>
      </c>
      <c r="L1673" t="s">
        <v>45</v>
      </c>
      <c r="M1673">
        <v>0</v>
      </c>
      <c r="N1673">
        <v>1</v>
      </c>
      <c r="O1673" s="5">
        <v>50752</v>
      </c>
      <c r="P1673" s="5"/>
      <c r="Q1673">
        <v>23</v>
      </c>
      <c r="R1673" t="s">
        <v>145</v>
      </c>
      <c r="S1673" t="s">
        <v>102</v>
      </c>
      <c r="Z1673" t="s">
        <v>39</v>
      </c>
      <c r="AB1673" t="s">
        <v>86</v>
      </c>
      <c r="AC1673" t="s">
        <v>137</v>
      </c>
    </row>
    <row r="1674" spans="1:30" x14ac:dyDescent="0.35">
      <c r="A1674" s="4">
        <v>42565</v>
      </c>
      <c r="B1674" t="s">
        <v>30</v>
      </c>
      <c r="C1674">
        <v>501</v>
      </c>
      <c r="D1674">
        <v>4</v>
      </c>
      <c r="E1674">
        <v>2</v>
      </c>
      <c r="F1674" t="s">
        <v>42</v>
      </c>
      <c r="G1674" t="s">
        <v>32</v>
      </c>
      <c r="H1674" t="s">
        <v>33</v>
      </c>
      <c r="I1674" t="s">
        <v>94</v>
      </c>
      <c r="J1674" t="s">
        <v>44</v>
      </c>
      <c r="K1674" t="s">
        <v>36</v>
      </c>
      <c r="L1674" t="s">
        <v>45</v>
      </c>
      <c r="M1674">
        <v>0</v>
      </c>
      <c r="N1674">
        <v>0</v>
      </c>
      <c r="O1674" s="5" t="s">
        <v>168</v>
      </c>
      <c r="P1674" s="5">
        <v>50740</v>
      </c>
      <c r="Q1674">
        <f>42.5-11.5</f>
        <v>31</v>
      </c>
      <c r="R1674" t="s">
        <v>74</v>
      </c>
      <c r="S1674" t="s">
        <v>102</v>
      </c>
      <c r="T1674">
        <v>28</v>
      </c>
      <c r="W1674">
        <v>13</v>
      </c>
      <c r="X1674">
        <v>28.5</v>
      </c>
      <c r="Z1674" t="s">
        <v>39</v>
      </c>
      <c r="AB1674" t="s">
        <v>214</v>
      </c>
      <c r="AC1674" t="s">
        <v>137</v>
      </c>
    </row>
    <row r="1675" spans="1:30" x14ac:dyDescent="0.35">
      <c r="A1675" s="4">
        <v>42565</v>
      </c>
      <c r="B1675" t="s">
        <v>30</v>
      </c>
      <c r="C1675">
        <v>801</v>
      </c>
      <c r="D1675">
        <v>7</v>
      </c>
      <c r="E1675">
        <v>2</v>
      </c>
      <c r="F1675" t="s">
        <v>31</v>
      </c>
      <c r="G1675" t="s">
        <v>32</v>
      </c>
      <c r="H1675" t="s">
        <v>33</v>
      </c>
      <c r="I1675" t="s">
        <v>94</v>
      </c>
      <c r="J1675" t="s">
        <v>44</v>
      </c>
      <c r="K1675" t="s">
        <v>36</v>
      </c>
      <c r="L1675" t="s">
        <v>45</v>
      </c>
      <c r="M1675">
        <v>0</v>
      </c>
      <c r="N1675">
        <v>0</v>
      </c>
      <c r="O1675" s="5"/>
      <c r="P1675" s="5">
        <v>50510</v>
      </c>
      <c r="Q1675">
        <f>32-9</f>
        <v>23</v>
      </c>
      <c r="R1675" t="s">
        <v>145</v>
      </c>
      <c r="S1675" t="s">
        <v>102</v>
      </c>
      <c r="T1675">
        <v>29</v>
      </c>
      <c r="W1675">
        <v>12.8</v>
      </c>
      <c r="X1675">
        <v>26.4</v>
      </c>
      <c r="Z1675" t="s">
        <v>39</v>
      </c>
      <c r="AB1675" t="s">
        <v>86</v>
      </c>
      <c r="AC1675" t="s">
        <v>137</v>
      </c>
    </row>
    <row r="1676" spans="1:30" x14ac:dyDescent="0.35">
      <c r="A1676" s="4">
        <v>42565</v>
      </c>
      <c r="B1676" t="s">
        <v>30</v>
      </c>
      <c r="C1676">
        <v>803</v>
      </c>
      <c r="D1676">
        <v>4</v>
      </c>
      <c r="E1676">
        <v>1</v>
      </c>
      <c r="F1676" t="s">
        <v>31</v>
      </c>
      <c r="G1676" t="s">
        <v>32</v>
      </c>
      <c r="H1676" t="s">
        <v>33</v>
      </c>
      <c r="I1676" t="s">
        <v>94</v>
      </c>
      <c r="J1676" t="s">
        <v>44</v>
      </c>
      <c r="K1676" t="s">
        <v>36</v>
      </c>
      <c r="L1676" t="s">
        <v>45</v>
      </c>
      <c r="M1676">
        <v>0</v>
      </c>
      <c r="N1676">
        <v>0</v>
      </c>
      <c r="O1676" s="5"/>
      <c r="P1676" s="5">
        <v>50771</v>
      </c>
      <c r="Q1676">
        <f>43.5-13</f>
        <v>30.5</v>
      </c>
      <c r="R1676" t="s">
        <v>145</v>
      </c>
      <c r="S1676" t="s">
        <v>102</v>
      </c>
      <c r="T1676">
        <v>31</v>
      </c>
      <c r="W1676">
        <v>13.2</v>
      </c>
      <c r="X1676">
        <v>28</v>
      </c>
      <c r="Z1676" t="s">
        <v>39</v>
      </c>
      <c r="AB1676" t="s">
        <v>86</v>
      </c>
      <c r="AC1676" t="s">
        <v>137</v>
      </c>
    </row>
    <row r="1677" spans="1:30" x14ac:dyDescent="0.35">
      <c r="A1677" s="4">
        <v>42565</v>
      </c>
      <c r="B1677" t="s">
        <v>30</v>
      </c>
      <c r="C1677">
        <v>803</v>
      </c>
      <c r="D1677">
        <v>4</v>
      </c>
      <c r="E1677">
        <v>2</v>
      </c>
      <c r="F1677" t="s">
        <v>31</v>
      </c>
      <c r="G1677" t="s">
        <v>32</v>
      </c>
      <c r="H1677" t="s">
        <v>33</v>
      </c>
      <c r="I1677" t="s">
        <v>94</v>
      </c>
      <c r="J1677" t="s">
        <v>35</v>
      </c>
      <c r="K1677" t="s">
        <v>36</v>
      </c>
      <c r="L1677" t="s">
        <v>45</v>
      </c>
      <c r="M1677">
        <v>0</v>
      </c>
      <c r="N1677">
        <v>1</v>
      </c>
      <c r="O1677" s="5"/>
      <c r="P1677" s="5">
        <v>50753</v>
      </c>
      <c r="Q1677">
        <v>24</v>
      </c>
      <c r="R1677" t="s">
        <v>145</v>
      </c>
      <c r="S1677" t="s">
        <v>102</v>
      </c>
      <c r="T1677">
        <v>28</v>
      </c>
      <c r="W1677">
        <v>12.9</v>
      </c>
      <c r="X1677">
        <v>26.6</v>
      </c>
      <c r="Z1677" t="s">
        <v>39</v>
      </c>
      <c r="AB1677" t="s">
        <v>86</v>
      </c>
      <c r="AC1677" t="s">
        <v>137</v>
      </c>
      <c r="AD1677" t="s">
        <v>226</v>
      </c>
    </row>
    <row r="1678" spans="1:30" x14ac:dyDescent="0.35">
      <c r="A1678" s="4">
        <v>42565</v>
      </c>
      <c r="B1678" t="s">
        <v>30</v>
      </c>
      <c r="C1678">
        <v>803</v>
      </c>
      <c r="D1678">
        <v>1</v>
      </c>
      <c r="E1678">
        <v>1</v>
      </c>
      <c r="F1678" t="s">
        <v>31</v>
      </c>
      <c r="G1678" t="s">
        <v>32</v>
      </c>
      <c r="H1678" t="s">
        <v>33</v>
      </c>
      <c r="I1678" t="s">
        <v>94</v>
      </c>
      <c r="J1678" t="s">
        <v>44</v>
      </c>
      <c r="K1678" t="s">
        <v>36</v>
      </c>
      <c r="L1678" t="s">
        <v>45</v>
      </c>
      <c r="M1678">
        <v>0</v>
      </c>
      <c r="N1678">
        <v>0</v>
      </c>
      <c r="O1678" s="5"/>
      <c r="P1678" s="5">
        <v>50615</v>
      </c>
      <c r="Q1678">
        <v>31</v>
      </c>
      <c r="R1678" t="s">
        <v>145</v>
      </c>
      <c r="S1678" t="s">
        <v>102</v>
      </c>
      <c r="T1678">
        <v>30</v>
      </c>
      <c r="W1678">
        <v>13</v>
      </c>
      <c r="X1678">
        <v>28.1</v>
      </c>
      <c r="Z1678" t="s">
        <v>39</v>
      </c>
      <c r="AB1678" t="s">
        <v>86</v>
      </c>
      <c r="AC1678" t="s">
        <v>137</v>
      </c>
    </row>
    <row r="1679" spans="1:30" x14ac:dyDescent="0.35">
      <c r="A1679" s="4">
        <v>42570</v>
      </c>
      <c r="B1679" t="s">
        <v>30</v>
      </c>
      <c r="C1679">
        <v>201</v>
      </c>
      <c r="D1679">
        <v>2</v>
      </c>
      <c r="E1679">
        <v>2</v>
      </c>
      <c r="F1679" t="s">
        <v>31</v>
      </c>
      <c r="G1679" t="s">
        <v>32</v>
      </c>
      <c r="H1679" t="s">
        <v>33</v>
      </c>
      <c r="I1679" t="s">
        <v>43</v>
      </c>
      <c r="J1679" t="s">
        <v>44</v>
      </c>
      <c r="K1679" t="s">
        <v>36</v>
      </c>
      <c r="L1679" t="s">
        <v>37</v>
      </c>
      <c r="M1679">
        <v>0</v>
      </c>
      <c r="N1679">
        <v>0</v>
      </c>
      <c r="O1679" s="5">
        <v>50335</v>
      </c>
      <c r="P1679" s="5">
        <v>50334</v>
      </c>
      <c r="Q1679">
        <f>35.5-14</f>
        <v>21.5</v>
      </c>
      <c r="R1679" t="s">
        <v>38</v>
      </c>
      <c r="T1679">
        <v>20</v>
      </c>
      <c r="U1679">
        <v>85</v>
      </c>
      <c r="V1679">
        <v>16</v>
      </c>
      <c r="W1679">
        <v>13</v>
      </c>
      <c r="X1679">
        <v>27.3</v>
      </c>
      <c r="Y1679" t="s">
        <v>227</v>
      </c>
      <c r="Z1679" t="s">
        <v>102</v>
      </c>
      <c r="AA1679" t="s">
        <v>201</v>
      </c>
      <c r="AB1679" t="s">
        <v>86</v>
      </c>
      <c r="AC1679" t="s">
        <v>41</v>
      </c>
    </row>
    <row r="1680" spans="1:30" x14ac:dyDescent="0.35">
      <c r="A1680" s="4">
        <v>42570</v>
      </c>
      <c r="B1680" t="s">
        <v>30</v>
      </c>
      <c r="C1680">
        <v>111</v>
      </c>
      <c r="D1680">
        <v>4</v>
      </c>
      <c r="E1680">
        <v>1</v>
      </c>
      <c r="F1680" t="s">
        <v>42</v>
      </c>
      <c r="G1680" t="s">
        <v>32</v>
      </c>
      <c r="H1680" t="s">
        <v>33</v>
      </c>
      <c r="I1680" t="s">
        <v>43</v>
      </c>
      <c r="J1680" t="s">
        <v>44</v>
      </c>
      <c r="K1680" t="s">
        <v>36</v>
      </c>
      <c r="L1680" t="s">
        <v>45</v>
      </c>
      <c r="M1680">
        <v>0</v>
      </c>
      <c r="N1680">
        <v>0</v>
      </c>
      <c r="O1680" s="5">
        <v>50348</v>
      </c>
      <c r="P1680" s="5">
        <v>50347</v>
      </c>
      <c r="Q1680">
        <f>31.5-9</f>
        <v>22.5</v>
      </c>
      <c r="R1680" t="s">
        <v>77</v>
      </c>
      <c r="S1680" t="s">
        <v>39</v>
      </c>
      <c r="T1680">
        <v>17.5</v>
      </c>
      <c r="U1680">
        <v>87</v>
      </c>
      <c r="V1680">
        <v>16</v>
      </c>
      <c r="W1680">
        <v>12.6</v>
      </c>
      <c r="X1680">
        <v>26.2</v>
      </c>
      <c r="Z1680" t="s">
        <v>39</v>
      </c>
      <c r="AB1680" t="s">
        <v>228</v>
      </c>
      <c r="AC1680" t="s">
        <v>41</v>
      </c>
    </row>
    <row r="1681" spans="1:30" x14ac:dyDescent="0.35">
      <c r="A1681" s="4">
        <v>42570</v>
      </c>
      <c r="B1681" t="s">
        <v>30</v>
      </c>
      <c r="C1681">
        <v>202</v>
      </c>
      <c r="D1681">
        <v>6</v>
      </c>
      <c r="E1681">
        <v>1</v>
      </c>
      <c r="F1681" t="s">
        <v>31</v>
      </c>
      <c r="G1681" t="s">
        <v>32</v>
      </c>
      <c r="H1681" t="s">
        <v>33</v>
      </c>
      <c r="I1681" t="s">
        <v>43</v>
      </c>
      <c r="J1681" t="s">
        <v>44</v>
      </c>
      <c r="K1681" t="s">
        <v>36</v>
      </c>
      <c r="L1681" t="s">
        <v>37</v>
      </c>
      <c r="M1681">
        <v>0</v>
      </c>
      <c r="N1681">
        <v>0</v>
      </c>
      <c r="O1681" s="5">
        <v>50410</v>
      </c>
      <c r="P1681" s="5">
        <v>50412</v>
      </c>
      <c r="Q1681">
        <f>37-14</f>
        <v>23</v>
      </c>
      <c r="R1681" t="s">
        <v>38</v>
      </c>
      <c r="T1681">
        <v>20</v>
      </c>
      <c r="U1681">
        <v>95</v>
      </c>
      <c r="V1681">
        <v>14</v>
      </c>
      <c r="W1681">
        <v>13</v>
      </c>
      <c r="X1681">
        <v>27.2</v>
      </c>
      <c r="Z1681" t="s">
        <v>102</v>
      </c>
      <c r="AA1681" t="s">
        <v>201</v>
      </c>
      <c r="AB1681" t="s">
        <v>86</v>
      </c>
      <c r="AC1681" t="s">
        <v>41</v>
      </c>
    </row>
    <row r="1682" spans="1:30" x14ac:dyDescent="0.35">
      <c r="A1682" s="4">
        <v>42570</v>
      </c>
      <c r="B1682" t="s">
        <v>30</v>
      </c>
      <c r="C1682">
        <v>111</v>
      </c>
      <c r="D1682">
        <v>3</v>
      </c>
      <c r="E1682">
        <v>1</v>
      </c>
      <c r="F1682" t="s">
        <v>42</v>
      </c>
      <c r="G1682" t="s">
        <v>32</v>
      </c>
      <c r="H1682" t="s">
        <v>33</v>
      </c>
      <c r="I1682" t="s">
        <v>43</v>
      </c>
      <c r="J1682" t="s">
        <v>44</v>
      </c>
      <c r="K1682" t="s">
        <v>36</v>
      </c>
      <c r="L1682" t="s">
        <v>37</v>
      </c>
      <c r="M1682">
        <v>0</v>
      </c>
      <c r="N1682">
        <v>0</v>
      </c>
      <c r="O1682" s="5">
        <v>50475</v>
      </c>
      <c r="P1682" s="5">
        <v>50308</v>
      </c>
      <c r="Q1682">
        <v>21</v>
      </c>
      <c r="R1682" t="s">
        <v>38</v>
      </c>
      <c r="T1682">
        <v>16</v>
      </c>
      <c r="U1682">
        <v>85</v>
      </c>
      <c r="V1682">
        <v>16</v>
      </c>
      <c r="W1682">
        <v>13.4</v>
      </c>
      <c r="X1682">
        <v>27</v>
      </c>
      <c r="Z1682" t="s">
        <v>39</v>
      </c>
      <c r="AB1682" t="s">
        <v>228</v>
      </c>
      <c r="AC1682" t="s">
        <v>41</v>
      </c>
      <c r="AD1682" t="s">
        <v>229</v>
      </c>
    </row>
    <row r="1683" spans="1:30" x14ac:dyDescent="0.35">
      <c r="A1683" s="4">
        <v>42570</v>
      </c>
      <c r="B1683" t="s">
        <v>30</v>
      </c>
      <c r="C1683">
        <v>203</v>
      </c>
      <c r="D1683">
        <v>9</v>
      </c>
      <c r="E1683">
        <v>1</v>
      </c>
      <c r="F1683" t="s">
        <v>31</v>
      </c>
      <c r="G1683" t="s">
        <v>32</v>
      </c>
      <c r="H1683" t="s">
        <v>33</v>
      </c>
      <c r="I1683" t="s">
        <v>43</v>
      </c>
      <c r="J1683" t="s">
        <v>44</v>
      </c>
      <c r="K1683" t="s">
        <v>36</v>
      </c>
      <c r="L1683" t="s">
        <v>37</v>
      </c>
      <c r="M1683">
        <v>0</v>
      </c>
      <c r="N1683">
        <v>0</v>
      </c>
      <c r="O1683" s="5">
        <v>50491</v>
      </c>
      <c r="P1683" s="5">
        <v>50357</v>
      </c>
      <c r="Q1683">
        <f>32-12</f>
        <v>20</v>
      </c>
      <c r="R1683" t="s">
        <v>38</v>
      </c>
      <c r="T1683">
        <v>21</v>
      </c>
      <c r="U1683">
        <v>100</v>
      </c>
      <c r="V1683">
        <v>15</v>
      </c>
      <c r="W1683">
        <v>12.8</v>
      </c>
      <c r="Z1683" t="s">
        <v>102</v>
      </c>
      <c r="AA1683" t="s">
        <v>201</v>
      </c>
      <c r="AB1683" t="s">
        <v>86</v>
      </c>
      <c r="AC1683" t="s">
        <v>41</v>
      </c>
    </row>
    <row r="1684" spans="1:30" x14ac:dyDescent="0.35">
      <c r="A1684" s="4">
        <v>42570</v>
      </c>
      <c r="B1684" t="s">
        <v>30</v>
      </c>
      <c r="C1684">
        <v>112</v>
      </c>
      <c r="D1684">
        <v>7</v>
      </c>
      <c r="E1684">
        <v>1</v>
      </c>
      <c r="F1684" t="s">
        <v>42</v>
      </c>
      <c r="G1684" t="s">
        <v>32</v>
      </c>
      <c r="H1684" t="s">
        <v>33</v>
      </c>
      <c r="I1684" t="s">
        <v>43</v>
      </c>
      <c r="J1684" t="s">
        <v>44</v>
      </c>
      <c r="K1684" t="s">
        <v>36</v>
      </c>
      <c r="L1684" t="s">
        <v>37</v>
      </c>
      <c r="M1684">
        <v>0</v>
      </c>
      <c r="N1684">
        <v>0</v>
      </c>
      <c r="O1684" s="5">
        <v>50497</v>
      </c>
      <c r="P1684" s="5">
        <v>50496</v>
      </c>
      <c r="Q1684">
        <f>31.5-11.5</f>
        <v>20</v>
      </c>
      <c r="R1684" t="s">
        <v>38</v>
      </c>
      <c r="T1684">
        <v>19</v>
      </c>
      <c r="U1684">
        <v>75</v>
      </c>
      <c r="V1684">
        <v>15.5</v>
      </c>
      <c r="W1684">
        <v>13</v>
      </c>
      <c r="X1684">
        <v>26.75</v>
      </c>
      <c r="Z1684" t="s">
        <v>39</v>
      </c>
      <c r="AB1684" t="s">
        <v>230</v>
      </c>
      <c r="AC1684" t="s">
        <v>41</v>
      </c>
    </row>
    <row r="1685" spans="1:30" x14ac:dyDescent="0.35">
      <c r="A1685" s="4">
        <v>42570</v>
      </c>
      <c r="B1685" t="s">
        <v>30</v>
      </c>
      <c r="C1685">
        <v>113</v>
      </c>
      <c r="D1685">
        <v>7</v>
      </c>
      <c r="E1685">
        <v>2</v>
      </c>
      <c r="F1685" t="s">
        <v>42</v>
      </c>
      <c r="G1685" t="s">
        <v>32</v>
      </c>
      <c r="H1685" t="s">
        <v>33</v>
      </c>
      <c r="I1685" t="s">
        <v>43</v>
      </c>
      <c r="J1685" t="s">
        <v>44</v>
      </c>
      <c r="K1685" t="s">
        <v>113</v>
      </c>
      <c r="L1685" t="s">
        <v>45</v>
      </c>
      <c r="M1685">
        <v>0</v>
      </c>
      <c r="N1685">
        <v>0</v>
      </c>
      <c r="O1685" s="5">
        <v>50520</v>
      </c>
      <c r="P1685" s="5">
        <v>50519</v>
      </c>
      <c r="Q1685">
        <v>22</v>
      </c>
      <c r="R1685" t="s">
        <v>145</v>
      </c>
      <c r="S1685" t="s">
        <v>102</v>
      </c>
      <c r="T1685">
        <v>18</v>
      </c>
      <c r="U1685">
        <v>83</v>
      </c>
      <c r="V1685">
        <v>15</v>
      </c>
      <c r="W1685">
        <v>12.2</v>
      </c>
      <c r="X1685">
        <v>28</v>
      </c>
      <c r="Z1685" t="s">
        <v>39</v>
      </c>
      <c r="AB1685" t="s">
        <v>230</v>
      </c>
      <c r="AC1685" t="s">
        <v>41</v>
      </c>
    </row>
    <row r="1686" spans="1:30" x14ac:dyDescent="0.35">
      <c r="A1686" s="4">
        <v>42570</v>
      </c>
      <c r="B1686" t="s">
        <v>30</v>
      </c>
      <c r="C1686">
        <v>111</v>
      </c>
      <c r="D1686">
        <v>8</v>
      </c>
      <c r="E1686">
        <v>1</v>
      </c>
      <c r="F1686" t="s">
        <v>42</v>
      </c>
      <c r="G1686" t="s">
        <v>32</v>
      </c>
      <c r="H1686" t="s">
        <v>33</v>
      </c>
      <c r="I1686" t="s">
        <v>43</v>
      </c>
      <c r="J1686" t="s">
        <v>44</v>
      </c>
      <c r="K1686" t="s">
        <v>113</v>
      </c>
      <c r="L1686" t="s">
        <v>37</v>
      </c>
      <c r="M1686">
        <v>0</v>
      </c>
      <c r="N1686">
        <v>0</v>
      </c>
      <c r="O1686" s="5">
        <v>50530</v>
      </c>
      <c r="P1686" s="5">
        <v>50529</v>
      </c>
      <c r="Q1686">
        <v>18</v>
      </c>
      <c r="R1686" t="s">
        <v>64</v>
      </c>
      <c r="T1686">
        <v>19</v>
      </c>
      <c r="V1686">
        <v>18</v>
      </c>
      <c r="W1686">
        <v>12.9</v>
      </c>
      <c r="X1686">
        <v>27.7</v>
      </c>
      <c r="Z1686" t="s">
        <v>39</v>
      </c>
      <c r="AB1686" t="s">
        <v>230</v>
      </c>
      <c r="AC1686" t="s">
        <v>41</v>
      </c>
    </row>
    <row r="1687" spans="1:30" x14ac:dyDescent="0.35">
      <c r="A1687" s="4">
        <v>42570</v>
      </c>
      <c r="B1687" t="s">
        <v>30</v>
      </c>
      <c r="C1687">
        <v>113</v>
      </c>
      <c r="D1687">
        <v>9</v>
      </c>
      <c r="E1687">
        <v>2</v>
      </c>
      <c r="F1687" t="s">
        <v>42</v>
      </c>
      <c r="G1687" t="s">
        <v>32</v>
      </c>
      <c r="H1687" t="s">
        <v>33</v>
      </c>
      <c r="I1687" t="s">
        <v>43</v>
      </c>
      <c r="J1687" t="s">
        <v>44</v>
      </c>
      <c r="K1687" t="s">
        <v>36</v>
      </c>
      <c r="L1687" t="s">
        <v>37</v>
      </c>
      <c r="M1687">
        <v>0</v>
      </c>
      <c r="N1687">
        <v>0</v>
      </c>
      <c r="O1687" s="5">
        <v>50559</v>
      </c>
      <c r="P1687" s="5">
        <v>50558</v>
      </c>
      <c r="Q1687">
        <v>21</v>
      </c>
      <c r="R1687" t="s">
        <v>38</v>
      </c>
      <c r="T1687">
        <v>19</v>
      </c>
      <c r="U1687">
        <v>84.5</v>
      </c>
      <c r="V1687">
        <v>17</v>
      </c>
      <c r="W1687">
        <v>13.5</v>
      </c>
      <c r="X1687">
        <v>29</v>
      </c>
      <c r="Z1687" t="s">
        <v>39</v>
      </c>
      <c r="AB1687" t="s">
        <v>230</v>
      </c>
      <c r="AC1687" t="s">
        <v>41</v>
      </c>
    </row>
    <row r="1688" spans="1:30" x14ac:dyDescent="0.35">
      <c r="A1688" s="4">
        <v>42570</v>
      </c>
      <c r="B1688" t="s">
        <v>30</v>
      </c>
      <c r="C1688">
        <v>304</v>
      </c>
      <c r="D1688">
        <v>4</v>
      </c>
      <c r="E1688">
        <v>2</v>
      </c>
      <c r="F1688" t="s">
        <v>31</v>
      </c>
      <c r="G1688" t="s">
        <v>32</v>
      </c>
      <c r="H1688" t="s">
        <v>33</v>
      </c>
      <c r="I1688" t="s">
        <v>43</v>
      </c>
      <c r="J1688" t="s">
        <v>44</v>
      </c>
      <c r="K1688" t="s">
        <v>113</v>
      </c>
      <c r="L1688" t="s">
        <v>37</v>
      </c>
      <c r="M1688">
        <v>0</v>
      </c>
      <c r="N1688">
        <v>0</v>
      </c>
      <c r="O1688" s="5">
        <v>50560</v>
      </c>
      <c r="P1688" s="5">
        <v>50565</v>
      </c>
      <c r="Q1688">
        <f>29-13.5</f>
        <v>15.5</v>
      </c>
      <c r="R1688" t="s">
        <v>64</v>
      </c>
      <c r="T1688">
        <v>20</v>
      </c>
      <c r="U1688">
        <v>81</v>
      </c>
      <c r="V1688">
        <v>14</v>
      </c>
      <c r="W1688">
        <v>12.8</v>
      </c>
      <c r="X1688" t="s">
        <v>231</v>
      </c>
      <c r="Z1688" t="s">
        <v>39</v>
      </c>
      <c r="AB1688" t="s">
        <v>86</v>
      </c>
      <c r="AC1688" t="s">
        <v>41</v>
      </c>
    </row>
    <row r="1689" spans="1:30" x14ac:dyDescent="0.35">
      <c r="A1689" s="4">
        <v>42570</v>
      </c>
      <c r="B1689" t="s">
        <v>30</v>
      </c>
      <c r="C1689">
        <v>112</v>
      </c>
      <c r="D1689">
        <v>10</v>
      </c>
      <c r="E1689">
        <v>2</v>
      </c>
      <c r="F1689" t="s">
        <v>42</v>
      </c>
      <c r="G1689" t="s">
        <v>32</v>
      </c>
      <c r="H1689" t="s">
        <v>33</v>
      </c>
      <c r="I1689" t="s">
        <v>43</v>
      </c>
      <c r="J1689" t="s">
        <v>44</v>
      </c>
      <c r="K1689" t="s">
        <v>36</v>
      </c>
      <c r="L1689" t="s">
        <v>37</v>
      </c>
      <c r="M1689">
        <v>0</v>
      </c>
      <c r="N1689">
        <v>0</v>
      </c>
      <c r="O1689" s="5">
        <v>50595</v>
      </c>
      <c r="P1689" s="5">
        <v>50594</v>
      </c>
      <c r="Q1689">
        <v>22</v>
      </c>
      <c r="R1689" t="s">
        <v>38</v>
      </c>
      <c r="T1689">
        <v>19</v>
      </c>
      <c r="U1689">
        <v>82</v>
      </c>
      <c r="V1689">
        <v>13</v>
      </c>
      <c r="Z1689" t="s">
        <v>39</v>
      </c>
      <c r="AB1689" t="s">
        <v>230</v>
      </c>
      <c r="AC1689" t="s">
        <v>41</v>
      </c>
    </row>
    <row r="1690" spans="1:30" x14ac:dyDescent="0.35">
      <c r="A1690" s="4">
        <v>42570</v>
      </c>
      <c r="B1690" t="s">
        <v>30</v>
      </c>
      <c r="C1690">
        <v>111</v>
      </c>
      <c r="D1690">
        <v>2</v>
      </c>
      <c r="E1690">
        <v>2</v>
      </c>
      <c r="F1690" t="s">
        <v>42</v>
      </c>
      <c r="G1690" t="s">
        <v>32</v>
      </c>
      <c r="H1690" t="s">
        <v>33</v>
      </c>
      <c r="I1690" t="s">
        <v>43</v>
      </c>
      <c r="J1690" t="s">
        <v>44</v>
      </c>
      <c r="K1690" t="s">
        <v>36</v>
      </c>
      <c r="L1690" t="s">
        <v>37</v>
      </c>
      <c r="M1690">
        <v>0</v>
      </c>
      <c r="N1690">
        <v>0</v>
      </c>
      <c r="O1690" s="5">
        <v>50602</v>
      </c>
      <c r="P1690" s="5">
        <v>50601</v>
      </c>
      <c r="Q1690">
        <v>22</v>
      </c>
      <c r="R1690" t="s">
        <v>38</v>
      </c>
      <c r="T1690">
        <v>18</v>
      </c>
      <c r="U1690">
        <v>90.5</v>
      </c>
      <c r="V1690">
        <v>16</v>
      </c>
      <c r="W1690">
        <v>13.3</v>
      </c>
      <c r="X1690">
        <v>27.4</v>
      </c>
      <c r="Z1690" t="s">
        <v>39</v>
      </c>
      <c r="AB1690" t="s">
        <v>228</v>
      </c>
      <c r="AC1690" t="s">
        <v>41</v>
      </c>
    </row>
    <row r="1691" spans="1:30" x14ac:dyDescent="0.35">
      <c r="A1691" s="4">
        <v>42570</v>
      </c>
      <c r="B1691" t="s">
        <v>30</v>
      </c>
      <c r="C1691">
        <v>201</v>
      </c>
      <c r="D1691">
        <v>2</v>
      </c>
      <c r="E1691">
        <v>1</v>
      </c>
      <c r="F1691" t="s">
        <v>31</v>
      </c>
      <c r="G1691" t="s">
        <v>32</v>
      </c>
      <c r="H1691" t="s">
        <v>33</v>
      </c>
      <c r="I1691" t="s">
        <v>43</v>
      </c>
      <c r="J1691" t="s">
        <v>44</v>
      </c>
      <c r="K1691" t="s">
        <v>36</v>
      </c>
      <c r="L1691" t="s">
        <v>45</v>
      </c>
      <c r="M1691">
        <v>0</v>
      </c>
      <c r="N1691">
        <v>0</v>
      </c>
      <c r="O1691" s="5">
        <v>50627</v>
      </c>
      <c r="P1691" s="5">
        <v>50628</v>
      </c>
      <c r="Q1691">
        <f>33.5-13</f>
        <v>20.5</v>
      </c>
      <c r="R1691" t="s">
        <v>161</v>
      </c>
      <c r="S1691" t="s">
        <v>102</v>
      </c>
      <c r="T1691">
        <v>20</v>
      </c>
      <c r="U1691">
        <v>86</v>
      </c>
      <c r="V1691">
        <v>15</v>
      </c>
      <c r="W1691">
        <v>12.8</v>
      </c>
      <c r="X1691">
        <v>26.7</v>
      </c>
      <c r="Z1691" t="s">
        <v>102</v>
      </c>
      <c r="AA1691" t="s">
        <v>201</v>
      </c>
      <c r="AB1691" t="s">
        <v>86</v>
      </c>
      <c r="AC1691" t="s">
        <v>41</v>
      </c>
      <c r="AD1691" t="s">
        <v>232</v>
      </c>
    </row>
    <row r="1692" spans="1:30" x14ac:dyDescent="0.35">
      <c r="A1692" s="4">
        <v>42570</v>
      </c>
      <c r="B1692" t="s">
        <v>30</v>
      </c>
      <c r="C1692">
        <v>203</v>
      </c>
      <c r="D1692">
        <v>7</v>
      </c>
      <c r="E1692">
        <v>1</v>
      </c>
      <c r="F1692" t="s">
        <v>31</v>
      </c>
      <c r="G1692" t="s">
        <v>32</v>
      </c>
      <c r="H1692" t="s">
        <v>33</v>
      </c>
      <c r="I1692" t="s">
        <v>43</v>
      </c>
      <c r="J1692" t="s">
        <v>44</v>
      </c>
      <c r="K1692" t="s">
        <v>113</v>
      </c>
      <c r="L1692" t="s">
        <v>45</v>
      </c>
      <c r="M1692">
        <v>0</v>
      </c>
      <c r="N1692">
        <v>0</v>
      </c>
      <c r="O1692" s="5">
        <v>50633</v>
      </c>
      <c r="P1692" s="5">
        <v>50634</v>
      </c>
      <c r="Q1692">
        <f>36.5-14.5</f>
        <v>22</v>
      </c>
      <c r="R1692" t="s">
        <v>145</v>
      </c>
      <c r="S1692" t="s">
        <v>102</v>
      </c>
      <c r="T1692">
        <v>20</v>
      </c>
      <c r="U1692">
        <v>85</v>
      </c>
      <c r="V1692">
        <v>14</v>
      </c>
      <c r="W1692">
        <v>12.9</v>
      </c>
      <c r="X1692">
        <v>27.1</v>
      </c>
      <c r="Z1692" t="s">
        <v>102</v>
      </c>
      <c r="AA1692" t="s">
        <v>201</v>
      </c>
      <c r="AB1692" t="s">
        <v>86</v>
      </c>
      <c r="AC1692" t="s">
        <v>41</v>
      </c>
    </row>
    <row r="1693" spans="1:30" x14ac:dyDescent="0.35">
      <c r="A1693" s="4">
        <v>42570</v>
      </c>
      <c r="B1693" t="s">
        <v>30</v>
      </c>
      <c r="C1693">
        <v>304</v>
      </c>
      <c r="D1693">
        <v>8</v>
      </c>
      <c r="E1693">
        <v>2</v>
      </c>
      <c r="F1693" t="s">
        <v>31</v>
      </c>
      <c r="G1693" t="s">
        <v>32</v>
      </c>
      <c r="H1693" t="s">
        <v>33</v>
      </c>
      <c r="I1693" t="s">
        <v>43</v>
      </c>
      <c r="J1693" t="s">
        <v>44</v>
      </c>
      <c r="K1693" t="s">
        <v>88</v>
      </c>
      <c r="L1693" t="s">
        <v>37</v>
      </c>
      <c r="M1693">
        <v>0</v>
      </c>
      <c r="N1693">
        <v>0</v>
      </c>
      <c r="O1693" s="5">
        <v>50650</v>
      </c>
      <c r="P1693" s="5">
        <v>50649</v>
      </c>
      <c r="Q1693">
        <f>24-9</f>
        <v>15</v>
      </c>
      <c r="R1693" t="s">
        <v>64</v>
      </c>
      <c r="T1693">
        <v>19</v>
      </c>
      <c r="U1693">
        <v>82</v>
      </c>
      <c r="V1693">
        <v>13</v>
      </c>
      <c r="W1693">
        <v>12.8</v>
      </c>
      <c r="X1693">
        <v>26.4</v>
      </c>
      <c r="Z1693" t="s">
        <v>102</v>
      </c>
      <c r="AA1693" t="s">
        <v>201</v>
      </c>
      <c r="AB1693" t="s">
        <v>86</v>
      </c>
      <c r="AC1693" t="s">
        <v>41</v>
      </c>
    </row>
    <row r="1694" spans="1:30" x14ac:dyDescent="0.35">
      <c r="A1694" s="4">
        <v>42570</v>
      </c>
      <c r="B1694" t="s">
        <v>30</v>
      </c>
      <c r="C1694">
        <v>203</v>
      </c>
      <c r="D1694">
        <v>4</v>
      </c>
      <c r="E1694">
        <v>2</v>
      </c>
      <c r="F1694" t="s">
        <v>31</v>
      </c>
      <c r="G1694" t="s">
        <v>32</v>
      </c>
      <c r="H1694" t="s">
        <v>33</v>
      </c>
      <c r="I1694" t="s">
        <v>43</v>
      </c>
      <c r="J1694" t="s">
        <v>44</v>
      </c>
      <c r="K1694" t="s">
        <v>36</v>
      </c>
      <c r="L1694" t="s">
        <v>45</v>
      </c>
      <c r="M1694">
        <v>0</v>
      </c>
      <c r="N1694">
        <v>0</v>
      </c>
      <c r="O1694" s="5">
        <v>50668</v>
      </c>
      <c r="P1694" s="5">
        <v>50667</v>
      </c>
      <c r="Q1694">
        <f>33-9</f>
        <v>24</v>
      </c>
      <c r="R1694" t="s">
        <v>145</v>
      </c>
      <c r="S1694" t="s">
        <v>102</v>
      </c>
      <c r="T1694">
        <v>20</v>
      </c>
      <c r="U1694">
        <v>105</v>
      </c>
      <c r="V1694">
        <v>15</v>
      </c>
      <c r="W1694">
        <v>12.9</v>
      </c>
      <c r="X1694">
        <v>26.9</v>
      </c>
      <c r="Z1694" t="s">
        <v>102</v>
      </c>
      <c r="AA1694" t="s">
        <v>233</v>
      </c>
      <c r="AB1694" t="s">
        <v>86</v>
      </c>
      <c r="AC1694" t="s">
        <v>41</v>
      </c>
    </row>
    <row r="1695" spans="1:30" x14ac:dyDescent="0.35">
      <c r="A1695" s="4">
        <v>42570</v>
      </c>
      <c r="B1695" t="s">
        <v>30</v>
      </c>
      <c r="C1695">
        <v>112</v>
      </c>
      <c r="D1695">
        <v>6</v>
      </c>
      <c r="E1695">
        <v>2</v>
      </c>
      <c r="F1695" t="s">
        <v>42</v>
      </c>
      <c r="G1695" t="s">
        <v>32</v>
      </c>
      <c r="H1695" t="s">
        <v>33</v>
      </c>
      <c r="I1695" t="s">
        <v>43</v>
      </c>
      <c r="J1695" t="s">
        <v>35</v>
      </c>
      <c r="K1695" t="s">
        <v>113</v>
      </c>
      <c r="L1695" t="s">
        <v>45</v>
      </c>
      <c r="M1695">
        <v>0</v>
      </c>
      <c r="N1695">
        <v>1</v>
      </c>
      <c r="O1695" s="5">
        <v>50709</v>
      </c>
      <c r="P1695" s="5">
        <v>50708</v>
      </c>
      <c r="Q1695">
        <f>28-11.5</f>
        <v>16.5</v>
      </c>
      <c r="R1695" t="s">
        <v>46</v>
      </c>
      <c r="S1695" t="s">
        <v>39</v>
      </c>
      <c r="T1695">
        <v>17</v>
      </c>
      <c r="U1695">
        <v>85</v>
      </c>
      <c r="V1695">
        <v>17</v>
      </c>
      <c r="W1695">
        <v>13.2</v>
      </c>
      <c r="X1695">
        <v>28.7</v>
      </c>
      <c r="Z1695" t="s">
        <v>39</v>
      </c>
      <c r="AB1695" t="s">
        <v>230</v>
      </c>
      <c r="AC1695" t="s">
        <v>41</v>
      </c>
    </row>
    <row r="1696" spans="1:30" x14ac:dyDescent="0.35">
      <c r="A1696" s="4">
        <v>42570</v>
      </c>
      <c r="B1696" t="s">
        <v>30</v>
      </c>
      <c r="C1696">
        <v>113</v>
      </c>
      <c r="D1696">
        <v>1</v>
      </c>
      <c r="E1696">
        <v>2</v>
      </c>
      <c r="F1696" t="s">
        <v>42</v>
      </c>
      <c r="G1696" t="s">
        <v>32</v>
      </c>
      <c r="H1696" t="s">
        <v>33</v>
      </c>
      <c r="I1696" t="s">
        <v>43</v>
      </c>
      <c r="J1696" t="s">
        <v>35</v>
      </c>
      <c r="K1696" t="s">
        <v>113</v>
      </c>
      <c r="L1696" t="s">
        <v>45</v>
      </c>
      <c r="M1696">
        <v>0</v>
      </c>
      <c r="N1696">
        <v>1</v>
      </c>
      <c r="O1696" s="5">
        <v>50712</v>
      </c>
      <c r="P1696" s="5">
        <v>50711</v>
      </c>
      <c r="Q1696">
        <v>18</v>
      </c>
      <c r="R1696" t="s">
        <v>46</v>
      </c>
      <c r="S1696" t="s">
        <v>39</v>
      </c>
      <c r="T1696">
        <v>18</v>
      </c>
      <c r="U1696">
        <v>89</v>
      </c>
      <c r="V1696">
        <v>14</v>
      </c>
      <c r="W1696">
        <v>12.7</v>
      </c>
      <c r="X1696">
        <v>27.9</v>
      </c>
      <c r="Z1696" t="s">
        <v>39</v>
      </c>
      <c r="AB1696" t="s">
        <v>230</v>
      </c>
      <c r="AC1696" t="s">
        <v>41</v>
      </c>
    </row>
    <row r="1697" spans="1:29" x14ac:dyDescent="0.35">
      <c r="A1697" s="4">
        <v>42570</v>
      </c>
      <c r="B1697" t="s">
        <v>30</v>
      </c>
      <c r="C1697">
        <v>113</v>
      </c>
      <c r="D1697">
        <v>8</v>
      </c>
      <c r="E1697">
        <v>2</v>
      </c>
      <c r="F1697" t="s">
        <v>42</v>
      </c>
      <c r="G1697" t="s">
        <v>32</v>
      </c>
      <c r="H1697" t="s">
        <v>33</v>
      </c>
      <c r="I1697" t="s">
        <v>43</v>
      </c>
      <c r="J1697" t="s">
        <v>35</v>
      </c>
      <c r="K1697" t="s">
        <v>113</v>
      </c>
      <c r="L1697" t="s">
        <v>37</v>
      </c>
      <c r="M1697">
        <v>0</v>
      </c>
      <c r="N1697">
        <v>1</v>
      </c>
      <c r="O1697" s="5">
        <v>50716</v>
      </c>
      <c r="P1697" s="5">
        <v>50715</v>
      </c>
      <c r="Q1697">
        <f>30-12</f>
        <v>18</v>
      </c>
      <c r="R1697" t="s">
        <v>64</v>
      </c>
      <c r="T1697">
        <v>19</v>
      </c>
      <c r="U1697">
        <v>85</v>
      </c>
      <c r="V1697">
        <v>16</v>
      </c>
      <c r="W1697">
        <v>12.8</v>
      </c>
      <c r="X1697">
        <v>24</v>
      </c>
      <c r="Z1697" t="s">
        <v>39</v>
      </c>
      <c r="AB1697" t="s">
        <v>230</v>
      </c>
      <c r="AC1697" t="s">
        <v>41</v>
      </c>
    </row>
    <row r="1698" spans="1:29" x14ac:dyDescent="0.35">
      <c r="A1698" s="4">
        <v>42570</v>
      </c>
      <c r="B1698" t="s">
        <v>30</v>
      </c>
      <c r="C1698">
        <v>304</v>
      </c>
      <c r="D1698">
        <v>1</v>
      </c>
      <c r="E1698">
        <v>1</v>
      </c>
      <c r="F1698" t="s">
        <v>31</v>
      </c>
      <c r="G1698" t="s">
        <v>32</v>
      </c>
      <c r="H1698" t="s">
        <v>33</v>
      </c>
      <c r="I1698" t="s">
        <v>43</v>
      </c>
      <c r="J1698" t="s">
        <v>35</v>
      </c>
      <c r="K1698" t="s">
        <v>36</v>
      </c>
      <c r="L1698" t="s">
        <v>45</v>
      </c>
      <c r="M1698">
        <v>0</v>
      </c>
      <c r="N1698">
        <v>1</v>
      </c>
      <c r="O1698" s="5">
        <v>50784</v>
      </c>
      <c r="P1698" s="5">
        <v>50783</v>
      </c>
      <c r="Q1698">
        <f>35-13.5</f>
        <v>21.5</v>
      </c>
      <c r="R1698" t="s">
        <v>145</v>
      </c>
      <c r="S1698" t="s">
        <v>102</v>
      </c>
      <c r="T1698">
        <v>20</v>
      </c>
      <c r="U1698">
        <v>89</v>
      </c>
      <c r="V1698">
        <v>15</v>
      </c>
      <c r="W1698">
        <v>12.9</v>
      </c>
      <c r="X1698">
        <v>27.5</v>
      </c>
      <c r="Z1698" t="s">
        <v>39</v>
      </c>
      <c r="AB1698" t="s">
        <v>86</v>
      </c>
      <c r="AC1698" t="s">
        <v>41</v>
      </c>
    </row>
    <row r="1699" spans="1:29" x14ac:dyDescent="0.35">
      <c r="A1699" s="4">
        <v>42570</v>
      </c>
      <c r="B1699" t="s">
        <v>30</v>
      </c>
      <c r="C1699">
        <v>202</v>
      </c>
      <c r="D1699">
        <v>6</v>
      </c>
      <c r="E1699">
        <v>2</v>
      </c>
      <c r="F1699" t="s">
        <v>31</v>
      </c>
      <c r="G1699" t="s">
        <v>32</v>
      </c>
      <c r="H1699" t="s">
        <v>33</v>
      </c>
      <c r="I1699" t="s">
        <v>43</v>
      </c>
      <c r="J1699" t="s">
        <v>35</v>
      </c>
      <c r="K1699" t="s">
        <v>88</v>
      </c>
      <c r="L1699" t="s">
        <v>37</v>
      </c>
      <c r="M1699">
        <v>0</v>
      </c>
      <c r="N1699">
        <v>1</v>
      </c>
      <c r="O1699" s="5">
        <v>50786</v>
      </c>
      <c r="P1699" s="5">
        <v>50785</v>
      </c>
      <c r="Q1699">
        <f>27.5-16</f>
        <v>11.5</v>
      </c>
      <c r="R1699" t="s">
        <v>64</v>
      </c>
      <c r="T1699">
        <v>19</v>
      </c>
      <c r="V1699">
        <v>14</v>
      </c>
      <c r="W1699">
        <v>12.6</v>
      </c>
      <c r="X1699">
        <v>25.6</v>
      </c>
      <c r="Z1699" t="s">
        <v>102</v>
      </c>
      <c r="AA1699" t="s">
        <v>234</v>
      </c>
      <c r="AB1699" t="s">
        <v>86</v>
      </c>
      <c r="AC1699" t="s">
        <v>41</v>
      </c>
    </row>
    <row r="1700" spans="1:29" x14ac:dyDescent="0.35">
      <c r="A1700" s="4">
        <v>42570</v>
      </c>
      <c r="B1700" t="s">
        <v>30</v>
      </c>
      <c r="C1700">
        <v>202</v>
      </c>
      <c r="D1700">
        <v>5</v>
      </c>
      <c r="E1700">
        <v>2</v>
      </c>
      <c r="F1700" t="s">
        <v>31</v>
      </c>
      <c r="G1700" t="s">
        <v>32</v>
      </c>
      <c r="H1700" t="s">
        <v>33</v>
      </c>
      <c r="I1700" t="s">
        <v>43</v>
      </c>
      <c r="J1700" t="s">
        <v>35</v>
      </c>
      <c r="K1700" t="s">
        <v>113</v>
      </c>
      <c r="L1700" t="s">
        <v>37</v>
      </c>
      <c r="M1700">
        <v>0</v>
      </c>
      <c r="N1700">
        <v>1</v>
      </c>
      <c r="O1700" s="5">
        <v>50788</v>
      </c>
      <c r="P1700" s="5">
        <v>50787</v>
      </c>
      <c r="Q1700">
        <f>28-9.5</f>
        <v>18.5</v>
      </c>
      <c r="R1700" t="s">
        <v>64</v>
      </c>
      <c r="T1700">
        <v>19</v>
      </c>
      <c r="U1700">
        <v>87</v>
      </c>
      <c r="V1700">
        <v>15</v>
      </c>
      <c r="W1700">
        <v>12.8</v>
      </c>
      <c r="X1700">
        <v>26.4</v>
      </c>
      <c r="Z1700" t="s">
        <v>102</v>
      </c>
      <c r="AA1700" t="s">
        <v>201</v>
      </c>
      <c r="AB1700" t="s">
        <v>86</v>
      </c>
      <c r="AC1700" t="s">
        <v>41</v>
      </c>
    </row>
    <row r="1701" spans="1:29" x14ac:dyDescent="0.35">
      <c r="A1701" s="4">
        <v>42570</v>
      </c>
      <c r="B1701" t="s">
        <v>30</v>
      </c>
      <c r="C1701">
        <v>202</v>
      </c>
      <c r="D1701">
        <v>2</v>
      </c>
      <c r="E1701">
        <v>1</v>
      </c>
      <c r="F1701" t="s">
        <v>31</v>
      </c>
      <c r="G1701" t="s">
        <v>32</v>
      </c>
      <c r="H1701" t="s">
        <v>33</v>
      </c>
      <c r="I1701" t="s">
        <v>43</v>
      </c>
      <c r="J1701" t="s">
        <v>35</v>
      </c>
      <c r="K1701" t="s">
        <v>88</v>
      </c>
      <c r="L1701" t="s">
        <v>45</v>
      </c>
      <c r="M1701">
        <v>0</v>
      </c>
      <c r="N1701">
        <v>1</v>
      </c>
      <c r="O1701" s="5">
        <v>50790</v>
      </c>
      <c r="P1701" s="5">
        <v>50789</v>
      </c>
      <c r="Q1701">
        <f>26.5-13</f>
        <v>13.5</v>
      </c>
      <c r="R1701" t="s">
        <v>46</v>
      </c>
      <c r="S1701" t="s">
        <v>39</v>
      </c>
      <c r="T1701">
        <v>20</v>
      </c>
      <c r="V1701">
        <v>15</v>
      </c>
      <c r="W1701">
        <v>12.7</v>
      </c>
      <c r="X1701">
        <v>26.6</v>
      </c>
      <c r="Z1701" t="s">
        <v>39</v>
      </c>
      <c r="AB1701" t="s">
        <v>86</v>
      </c>
      <c r="AC1701" t="s">
        <v>41</v>
      </c>
    </row>
    <row r="1702" spans="1:29" x14ac:dyDescent="0.35">
      <c r="A1702" s="4">
        <v>42570</v>
      </c>
      <c r="B1702" t="s">
        <v>30</v>
      </c>
      <c r="C1702">
        <v>201</v>
      </c>
      <c r="D1702">
        <v>7</v>
      </c>
      <c r="E1702">
        <v>2</v>
      </c>
      <c r="F1702" t="s">
        <v>31</v>
      </c>
      <c r="G1702" t="s">
        <v>32</v>
      </c>
      <c r="H1702" t="s">
        <v>33</v>
      </c>
      <c r="I1702" t="s">
        <v>43</v>
      </c>
      <c r="J1702" t="s">
        <v>35</v>
      </c>
      <c r="K1702" t="s">
        <v>36</v>
      </c>
      <c r="L1702" t="s">
        <v>37</v>
      </c>
      <c r="M1702">
        <v>0</v>
      </c>
      <c r="N1702">
        <v>1</v>
      </c>
      <c r="O1702" s="5">
        <v>50792</v>
      </c>
      <c r="P1702" s="5">
        <v>50791</v>
      </c>
      <c r="Q1702">
        <f>35-9</f>
        <v>26</v>
      </c>
      <c r="R1702" t="s">
        <v>38</v>
      </c>
      <c r="T1702">
        <v>20</v>
      </c>
      <c r="U1702">
        <v>103</v>
      </c>
      <c r="V1702">
        <v>16</v>
      </c>
      <c r="W1702">
        <v>13</v>
      </c>
      <c r="X1702">
        <v>26.8</v>
      </c>
      <c r="Z1702" t="s">
        <v>39</v>
      </c>
      <c r="AB1702" t="s">
        <v>86</v>
      </c>
      <c r="AC1702" t="s">
        <v>41</v>
      </c>
    </row>
    <row r="1703" spans="1:29" x14ac:dyDescent="0.35">
      <c r="A1703" s="4">
        <v>42570</v>
      </c>
      <c r="B1703" t="s">
        <v>30</v>
      </c>
      <c r="C1703">
        <v>304</v>
      </c>
      <c r="D1703">
        <v>5</v>
      </c>
      <c r="E1703">
        <v>2</v>
      </c>
      <c r="F1703" t="s">
        <v>31</v>
      </c>
      <c r="G1703" t="s">
        <v>32</v>
      </c>
      <c r="H1703" t="s">
        <v>33</v>
      </c>
      <c r="I1703" t="s">
        <v>34</v>
      </c>
      <c r="J1703" t="s">
        <v>35</v>
      </c>
      <c r="K1703" t="s">
        <v>36</v>
      </c>
      <c r="L1703" t="s">
        <v>45</v>
      </c>
      <c r="M1703">
        <v>0</v>
      </c>
      <c r="N1703">
        <v>1</v>
      </c>
      <c r="O1703" s="5">
        <v>50782</v>
      </c>
      <c r="P1703" s="5"/>
      <c r="Q1703">
        <f>130-49</f>
        <v>81</v>
      </c>
      <c r="R1703" t="s">
        <v>61</v>
      </c>
      <c r="S1703" t="s">
        <v>39</v>
      </c>
      <c r="T1703">
        <v>35</v>
      </c>
      <c r="Z1703" t="s">
        <v>39</v>
      </c>
      <c r="AB1703" t="s">
        <v>86</v>
      </c>
      <c r="AC1703" t="s">
        <v>41</v>
      </c>
    </row>
    <row r="1704" spans="1:29" x14ac:dyDescent="0.35">
      <c r="A1704" s="4">
        <v>42570</v>
      </c>
      <c r="B1704" t="s">
        <v>30</v>
      </c>
      <c r="C1704">
        <v>113</v>
      </c>
      <c r="D1704">
        <v>7</v>
      </c>
      <c r="E1704">
        <v>1</v>
      </c>
      <c r="F1704" t="s">
        <v>42</v>
      </c>
      <c r="G1704" t="s">
        <v>32</v>
      </c>
      <c r="H1704" t="s">
        <v>33</v>
      </c>
      <c r="I1704" t="s">
        <v>34</v>
      </c>
      <c r="J1704" t="s">
        <v>122</v>
      </c>
      <c r="O1704" s="5"/>
      <c r="P1704" s="5"/>
    </row>
    <row r="1705" spans="1:29" x14ac:dyDescent="0.35">
      <c r="A1705" s="4">
        <v>42570</v>
      </c>
      <c r="B1705" t="s">
        <v>30</v>
      </c>
      <c r="C1705">
        <v>402</v>
      </c>
      <c r="D1705">
        <v>6</v>
      </c>
      <c r="E1705">
        <v>1</v>
      </c>
      <c r="F1705" t="s">
        <v>42</v>
      </c>
      <c r="G1705" t="s">
        <v>32</v>
      </c>
      <c r="H1705" t="s">
        <v>33</v>
      </c>
      <c r="I1705" t="s">
        <v>58</v>
      </c>
      <c r="J1705" t="s">
        <v>44</v>
      </c>
      <c r="K1705" t="s">
        <v>36</v>
      </c>
      <c r="L1705" t="s">
        <v>45</v>
      </c>
      <c r="M1705">
        <v>0</v>
      </c>
      <c r="N1705">
        <v>0</v>
      </c>
      <c r="O1705" s="5">
        <v>50483</v>
      </c>
      <c r="P1705" s="5"/>
      <c r="R1705" t="s">
        <v>74</v>
      </c>
      <c r="S1705" t="s">
        <v>102</v>
      </c>
      <c r="Z1705" t="s">
        <v>102</v>
      </c>
      <c r="AB1705" t="s">
        <v>230</v>
      </c>
      <c r="AC1705" t="s">
        <v>41</v>
      </c>
    </row>
    <row r="1706" spans="1:29" x14ac:dyDescent="0.35">
      <c r="A1706" s="4">
        <v>42570</v>
      </c>
      <c r="B1706" t="s">
        <v>30</v>
      </c>
      <c r="C1706">
        <v>112</v>
      </c>
      <c r="D1706">
        <v>8</v>
      </c>
      <c r="E1706">
        <v>2</v>
      </c>
      <c r="F1706" t="s">
        <v>42</v>
      </c>
      <c r="G1706" t="s">
        <v>32</v>
      </c>
      <c r="H1706" t="s">
        <v>33</v>
      </c>
      <c r="I1706" t="s">
        <v>58</v>
      </c>
      <c r="J1706" t="s">
        <v>35</v>
      </c>
      <c r="K1706" t="s">
        <v>36</v>
      </c>
      <c r="L1706" t="s">
        <v>45</v>
      </c>
      <c r="M1706">
        <v>0</v>
      </c>
      <c r="N1706">
        <v>1</v>
      </c>
      <c r="O1706" s="5">
        <v>50710</v>
      </c>
      <c r="P1706" s="5"/>
      <c r="Q1706">
        <f>47-9.5</f>
        <v>37.5</v>
      </c>
      <c r="R1706" t="s">
        <v>77</v>
      </c>
      <c r="S1706" t="s">
        <v>39</v>
      </c>
      <c r="T1706">
        <v>18</v>
      </c>
      <c r="W1706">
        <v>13.7</v>
      </c>
      <c r="X1706">
        <v>26.3</v>
      </c>
      <c r="Z1706" t="s">
        <v>39</v>
      </c>
      <c r="AB1706" t="s">
        <v>230</v>
      </c>
      <c r="AC1706" t="s">
        <v>41</v>
      </c>
    </row>
    <row r="1707" spans="1:29" x14ac:dyDescent="0.35">
      <c r="A1707" s="4">
        <v>42570</v>
      </c>
      <c r="B1707" t="s">
        <v>30</v>
      </c>
      <c r="C1707">
        <v>402</v>
      </c>
      <c r="D1707">
        <v>1</v>
      </c>
      <c r="E1707">
        <v>2</v>
      </c>
      <c r="F1707" t="s">
        <v>42</v>
      </c>
      <c r="G1707" t="s">
        <v>32</v>
      </c>
      <c r="H1707" t="s">
        <v>33</v>
      </c>
      <c r="I1707" t="s">
        <v>58</v>
      </c>
      <c r="J1707" t="s">
        <v>35</v>
      </c>
      <c r="K1707" t="s">
        <v>88</v>
      </c>
      <c r="L1707" t="s">
        <v>37</v>
      </c>
      <c r="M1707">
        <v>0</v>
      </c>
      <c r="N1707">
        <v>1</v>
      </c>
      <c r="O1707" s="5">
        <v>50717</v>
      </c>
      <c r="P1707" s="5"/>
      <c r="Q1707">
        <f>31-13</f>
        <v>18</v>
      </c>
      <c r="R1707" t="s">
        <v>64</v>
      </c>
      <c r="T1707">
        <v>17</v>
      </c>
      <c r="W1707">
        <v>12.6</v>
      </c>
      <c r="X1707">
        <v>28</v>
      </c>
      <c r="Z1707" t="s">
        <v>102</v>
      </c>
      <c r="AA1707" t="s">
        <v>235</v>
      </c>
      <c r="AB1707" t="s">
        <v>230</v>
      </c>
      <c r="AC1707" t="s">
        <v>41</v>
      </c>
    </row>
    <row r="1708" spans="1:29" x14ac:dyDescent="0.35">
      <c r="A1708" s="4">
        <v>42570</v>
      </c>
      <c r="B1708" t="s">
        <v>30</v>
      </c>
      <c r="C1708">
        <v>304</v>
      </c>
      <c r="D1708">
        <v>9</v>
      </c>
      <c r="E1708">
        <v>1</v>
      </c>
      <c r="F1708" t="s">
        <v>31</v>
      </c>
      <c r="G1708" t="s">
        <v>32</v>
      </c>
      <c r="H1708" t="s">
        <v>33</v>
      </c>
      <c r="I1708" t="s">
        <v>58</v>
      </c>
      <c r="J1708" t="s">
        <v>35</v>
      </c>
      <c r="K1708" t="s">
        <v>36</v>
      </c>
      <c r="L1708" t="s">
        <v>45</v>
      </c>
      <c r="M1708">
        <v>0</v>
      </c>
      <c r="N1708">
        <v>1</v>
      </c>
      <c r="O1708" s="5">
        <v>50781</v>
      </c>
      <c r="P1708" s="5"/>
      <c r="Q1708">
        <f>40-9</f>
        <v>31</v>
      </c>
      <c r="R1708" t="s">
        <v>145</v>
      </c>
      <c r="S1708" t="s">
        <v>102</v>
      </c>
      <c r="T1708">
        <v>19</v>
      </c>
      <c r="W1708">
        <v>12.9</v>
      </c>
      <c r="X1708">
        <v>28.7</v>
      </c>
      <c r="Z1708" t="s">
        <v>102</v>
      </c>
      <c r="AA1708" t="s">
        <v>236</v>
      </c>
      <c r="AB1708" t="s">
        <v>86</v>
      </c>
      <c r="AC1708" t="s">
        <v>41</v>
      </c>
    </row>
    <row r="1709" spans="1:29" x14ac:dyDescent="0.35">
      <c r="A1709" s="4">
        <v>42570</v>
      </c>
      <c r="B1709" t="s">
        <v>30</v>
      </c>
      <c r="C1709">
        <v>402</v>
      </c>
      <c r="D1709">
        <v>5</v>
      </c>
      <c r="E1709">
        <v>1</v>
      </c>
      <c r="F1709" t="s">
        <v>42</v>
      </c>
      <c r="G1709" t="s">
        <v>32</v>
      </c>
      <c r="H1709" t="s">
        <v>33</v>
      </c>
      <c r="I1709" t="s">
        <v>65</v>
      </c>
      <c r="J1709" t="s">
        <v>44</v>
      </c>
      <c r="K1709" t="s">
        <v>36</v>
      </c>
      <c r="L1709" t="s">
        <v>45</v>
      </c>
      <c r="M1709">
        <v>0</v>
      </c>
      <c r="N1709">
        <v>0</v>
      </c>
      <c r="O1709" s="5">
        <v>50801</v>
      </c>
      <c r="P1709" s="5"/>
      <c r="Q1709">
        <f>280-110</f>
        <v>170</v>
      </c>
      <c r="R1709" t="s">
        <v>74</v>
      </c>
      <c r="S1709" t="s">
        <v>102</v>
      </c>
      <c r="Z1709" t="s">
        <v>39</v>
      </c>
      <c r="AB1709" t="s">
        <v>230</v>
      </c>
      <c r="AC1709" t="s">
        <v>41</v>
      </c>
    </row>
    <row r="1710" spans="1:29" x14ac:dyDescent="0.35">
      <c r="A1710" s="4">
        <v>42570</v>
      </c>
      <c r="B1710" t="s">
        <v>30</v>
      </c>
      <c r="C1710">
        <v>112</v>
      </c>
      <c r="D1710">
        <v>4</v>
      </c>
      <c r="E1710">
        <v>2</v>
      </c>
      <c r="F1710" t="s">
        <v>42</v>
      </c>
      <c r="G1710" t="s">
        <v>32</v>
      </c>
      <c r="H1710" t="s">
        <v>33</v>
      </c>
      <c r="I1710" t="s">
        <v>55</v>
      </c>
      <c r="J1710" t="s">
        <v>66</v>
      </c>
      <c r="O1710" s="5"/>
      <c r="P1710" s="5"/>
    </row>
    <row r="1711" spans="1:29" x14ac:dyDescent="0.35">
      <c r="A1711" s="4">
        <v>42570</v>
      </c>
      <c r="B1711" t="s">
        <v>30</v>
      </c>
      <c r="C1711">
        <v>112</v>
      </c>
      <c r="D1711">
        <v>7</v>
      </c>
      <c r="E1711">
        <v>2</v>
      </c>
      <c r="F1711" t="s">
        <v>42</v>
      </c>
      <c r="G1711" t="s">
        <v>32</v>
      </c>
      <c r="H1711" t="s">
        <v>33</v>
      </c>
      <c r="I1711" t="s">
        <v>55</v>
      </c>
      <c r="J1711" t="s">
        <v>66</v>
      </c>
      <c r="O1711" s="5"/>
      <c r="P1711" s="5"/>
    </row>
    <row r="1712" spans="1:29" x14ac:dyDescent="0.35">
      <c r="A1712" s="4">
        <v>42570</v>
      </c>
      <c r="B1712" t="s">
        <v>30</v>
      </c>
      <c r="C1712">
        <v>113</v>
      </c>
      <c r="D1712">
        <v>5</v>
      </c>
      <c r="E1712">
        <v>1</v>
      </c>
      <c r="F1712" t="s">
        <v>42</v>
      </c>
      <c r="G1712" t="s">
        <v>32</v>
      </c>
      <c r="H1712" t="s">
        <v>33</v>
      </c>
      <c r="I1712" t="s">
        <v>72</v>
      </c>
      <c r="J1712" t="s">
        <v>123</v>
      </c>
      <c r="O1712" s="5"/>
      <c r="P1712" s="5"/>
    </row>
    <row r="1713" spans="1:16" x14ac:dyDescent="0.35">
      <c r="A1713" s="4">
        <v>42570</v>
      </c>
      <c r="B1713" t="s">
        <v>30</v>
      </c>
      <c r="C1713">
        <v>201</v>
      </c>
      <c r="D1713">
        <v>4</v>
      </c>
      <c r="E1713">
        <v>1</v>
      </c>
      <c r="F1713" t="s">
        <v>31</v>
      </c>
      <c r="G1713" t="s">
        <v>32</v>
      </c>
      <c r="H1713" t="s">
        <v>33</v>
      </c>
      <c r="I1713" t="s">
        <v>59</v>
      </c>
      <c r="O1713" s="5"/>
      <c r="P1713" s="5"/>
    </row>
    <row r="1714" spans="1:16" x14ac:dyDescent="0.35">
      <c r="A1714" s="4">
        <v>42570</v>
      </c>
      <c r="B1714" t="s">
        <v>30</v>
      </c>
      <c r="C1714">
        <v>201</v>
      </c>
      <c r="D1714">
        <v>4</v>
      </c>
      <c r="E1714">
        <v>2</v>
      </c>
      <c r="F1714" t="s">
        <v>31</v>
      </c>
      <c r="G1714" t="s">
        <v>32</v>
      </c>
      <c r="H1714" t="s">
        <v>33</v>
      </c>
      <c r="I1714" t="s">
        <v>59</v>
      </c>
      <c r="O1714" s="5"/>
      <c r="P1714" s="5"/>
    </row>
    <row r="1715" spans="1:16" x14ac:dyDescent="0.35">
      <c r="A1715" s="4">
        <v>42570</v>
      </c>
      <c r="B1715" t="s">
        <v>30</v>
      </c>
      <c r="C1715">
        <v>201</v>
      </c>
      <c r="D1715">
        <v>5</v>
      </c>
      <c r="E1715">
        <v>1</v>
      </c>
      <c r="F1715" t="s">
        <v>31</v>
      </c>
      <c r="G1715" t="s">
        <v>32</v>
      </c>
      <c r="H1715" t="s">
        <v>33</v>
      </c>
      <c r="I1715" t="s">
        <v>59</v>
      </c>
      <c r="O1715" s="5"/>
      <c r="P1715" s="5"/>
    </row>
    <row r="1716" spans="1:16" x14ac:dyDescent="0.35">
      <c r="A1716" s="4">
        <v>42570</v>
      </c>
      <c r="B1716" t="s">
        <v>30</v>
      </c>
      <c r="C1716">
        <v>201</v>
      </c>
      <c r="D1716">
        <v>5</v>
      </c>
      <c r="E1716">
        <v>2</v>
      </c>
      <c r="F1716" t="s">
        <v>31</v>
      </c>
      <c r="G1716" t="s">
        <v>32</v>
      </c>
      <c r="H1716" t="s">
        <v>33</v>
      </c>
      <c r="I1716" t="s">
        <v>59</v>
      </c>
      <c r="O1716" s="5"/>
      <c r="P1716" s="5"/>
    </row>
    <row r="1717" spans="1:16" x14ac:dyDescent="0.35">
      <c r="A1717" s="4">
        <v>42570</v>
      </c>
      <c r="B1717" t="s">
        <v>30</v>
      </c>
      <c r="C1717">
        <v>201</v>
      </c>
      <c r="D1717">
        <v>6</v>
      </c>
      <c r="E1717">
        <v>1</v>
      </c>
      <c r="F1717" t="s">
        <v>31</v>
      </c>
      <c r="G1717" t="s">
        <v>32</v>
      </c>
      <c r="H1717" t="s">
        <v>33</v>
      </c>
      <c r="I1717" t="s">
        <v>59</v>
      </c>
      <c r="O1717" s="5"/>
      <c r="P1717" s="5"/>
    </row>
    <row r="1718" spans="1:16" x14ac:dyDescent="0.35">
      <c r="A1718" s="4">
        <v>42570</v>
      </c>
      <c r="B1718" t="s">
        <v>30</v>
      </c>
      <c r="C1718">
        <v>201</v>
      </c>
      <c r="D1718">
        <v>6</v>
      </c>
      <c r="E1718">
        <v>2</v>
      </c>
      <c r="F1718" t="s">
        <v>31</v>
      </c>
      <c r="G1718" t="s">
        <v>32</v>
      </c>
      <c r="H1718" t="s">
        <v>33</v>
      </c>
      <c r="I1718" t="s">
        <v>59</v>
      </c>
      <c r="O1718" s="5"/>
      <c r="P1718" s="5"/>
    </row>
    <row r="1719" spans="1:16" x14ac:dyDescent="0.35">
      <c r="A1719" s="4">
        <v>42570</v>
      </c>
      <c r="B1719" t="s">
        <v>30</v>
      </c>
      <c r="C1719">
        <v>201</v>
      </c>
      <c r="D1719">
        <v>7</v>
      </c>
      <c r="E1719">
        <v>1</v>
      </c>
      <c r="F1719" t="s">
        <v>31</v>
      </c>
      <c r="G1719" t="s">
        <v>32</v>
      </c>
      <c r="H1719" t="s">
        <v>33</v>
      </c>
      <c r="I1719" t="s">
        <v>59</v>
      </c>
      <c r="O1719" s="5"/>
      <c r="P1719" s="5"/>
    </row>
    <row r="1720" spans="1:16" x14ac:dyDescent="0.35">
      <c r="A1720" s="4">
        <v>42570</v>
      </c>
      <c r="B1720" t="s">
        <v>30</v>
      </c>
      <c r="C1720">
        <v>201</v>
      </c>
      <c r="D1720">
        <v>8</v>
      </c>
      <c r="E1720">
        <v>1</v>
      </c>
      <c r="F1720" t="s">
        <v>31</v>
      </c>
      <c r="G1720" t="s">
        <v>32</v>
      </c>
      <c r="H1720" t="s">
        <v>33</v>
      </c>
      <c r="I1720" t="s">
        <v>59</v>
      </c>
      <c r="O1720" s="5"/>
      <c r="P1720" s="5"/>
    </row>
    <row r="1721" spans="1:16" x14ac:dyDescent="0.35">
      <c r="A1721" s="4">
        <v>42570</v>
      </c>
      <c r="B1721" t="s">
        <v>30</v>
      </c>
      <c r="C1721">
        <v>201</v>
      </c>
      <c r="D1721">
        <v>8</v>
      </c>
      <c r="E1721">
        <v>2</v>
      </c>
      <c r="F1721" t="s">
        <v>31</v>
      </c>
      <c r="G1721" t="s">
        <v>32</v>
      </c>
      <c r="H1721" t="s">
        <v>33</v>
      </c>
      <c r="I1721" t="s">
        <v>59</v>
      </c>
      <c r="O1721" s="5"/>
      <c r="P1721" s="5"/>
    </row>
    <row r="1722" spans="1:16" x14ac:dyDescent="0.35">
      <c r="A1722" s="4">
        <v>42570</v>
      </c>
      <c r="B1722" t="s">
        <v>30</v>
      </c>
      <c r="C1722">
        <v>203</v>
      </c>
      <c r="D1722">
        <v>1</v>
      </c>
      <c r="E1722">
        <v>1</v>
      </c>
      <c r="F1722" t="s">
        <v>31</v>
      </c>
      <c r="G1722" t="s">
        <v>32</v>
      </c>
      <c r="H1722" t="s">
        <v>33</v>
      </c>
      <c r="I1722" t="s">
        <v>59</v>
      </c>
      <c r="O1722" s="5"/>
      <c r="P1722" s="5"/>
    </row>
    <row r="1723" spans="1:16" x14ac:dyDescent="0.35">
      <c r="A1723" s="4">
        <v>42570</v>
      </c>
      <c r="B1723" t="s">
        <v>30</v>
      </c>
      <c r="C1723">
        <v>203</v>
      </c>
      <c r="D1723">
        <v>2</v>
      </c>
      <c r="E1723">
        <v>1</v>
      </c>
      <c r="F1723" t="s">
        <v>31</v>
      </c>
      <c r="G1723" t="s">
        <v>32</v>
      </c>
      <c r="H1723" t="s">
        <v>33</v>
      </c>
      <c r="I1723" t="s">
        <v>59</v>
      </c>
      <c r="O1723" s="5"/>
      <c r="P1723" s="5"/>
    </row>
    <row r="1724" spans="1:16" x14ac:dyDescent="0.35">
      <c r="A1724" s="4">
        <v>42570</v>
      </c>
      <c r="B1724" t="s">
        <v>30</v>
      </c>
      <c r="C1724">
        <v>203</v>
      </c>
      <c r="D1724">
        <v>2</v>
      </c>
      <c r="E1724">
        <v>2</v>
      </c>
      <c r="F1724" t="s">
        <v>31</v>
      </c>
      <c r="G1724" t="s">
        <v>32</v>
      </c>
      <c r="H1724" t="s">
        <v>33</v>
      </c>
      <c r="I1724" t="s">
        <v>59</v>
      </c>
      <c r="O1724" s="5"/>
      <c r="P1724" s="5"/>
    </row>
    <row r="1725" spans="1:16" x14ac:dyDescent="0.35">
      <c r="A1725" s="4">
        <v>42570</v>
      </c>
      <c r="B1725" t="s">
        <v>30</v>
      </c>
      <c r="C1725">
        <v>203</v>
      </c>
      <c r="D1725">
        <v>4</v>
      </c>
      <c r="E1725">
        <v>1</v>
      </c>
      <c r="F1725" t="s">
        <v>31</v>
      </c>
      <c r="G1725" t="s">
        <v>32</v>
      </c>
      <c r="H1725" t="s">
        <v>33</v>
      </c>
      <c r="I1725" t="s">
        <v>59</v>
      </c>
      <c r="O1725" s="5"/>
      <c r="P1725" s="5"/>
    </row>
    <row r="1726" spans="1:16" x14ac:dyDescent="0.35">
      <c r="A1726" s="4">
        <v>42570</v>
      </c>
      <c r="B1726" t="s">
        <v>30</v>
      </c>
      <c r="C1726">
        <v>203</v>
      </c>
      <c r="D1726">
        <v>5</v>
      </c>
      <c r="E1726">
        <v>1</v>
      </c>
      <c r="F1726" t="s">
        <v>31</v>
      </c>
      <c r="G1726" t="s">
        <v>32</v>
      </c>
      <c r="H1726" t="s">
        <v>33</v>
      </c>
      <c r="I1726" t="s">
        <v>59</v>
      </c>
      <c r="O1726" s="5"/>
      <c r="P1726" s="5"/>
    </row>
    <row r="1727" spans="1:16" x14ac:dyDescent="0.35">
      <c r="A1727" s="4">
        <v>42570</v>
      </c>
      <c r="B1727" t="s">
        <v>30</v>
      </c>
      <c r="C1727">
        <v>203</v>
      </c>
      <c r="D1727">
        <v>8</v>
      </c>
      <c r="E1727">
        <v>1</v>
      </c>
      <c r="F1727" t="s">
        <v>31</v>
      </c>
      <c r="G1727" t="s">
        <v>32</v>
      </c>
      <c r="H1727" t="s">
        <v>33</v>
      </c>
      <c r="I1727" t="s">
        <v>59</v>
      </c>
      <c r="O1727" s="5"/>
      <c r="P1727" s="5"/>
    </row>
    <row r="1728" spans="1:16" x14ac:dyDescent="0.35">
      <c r="A1728" s="4">
        <v>42570</v>
      </c>
      <c r="B1728" t="s">
        <v>30</v>
      </c>
      <c r="C1728">
        <v>203</v>
      </c>
      <c r="D1728">
        <v>10</v>
      </c>
      <c r="E1728">
        <v>1</v>
      </c>
      <c r="F1728" t="s">
        <v>31</v>
      </c>
      <c r="G1728" t="s">
        <v>32</v>
      </c>
      <c r="H1728" t="s">
        <v>33</v>
      </c>
      <c r="I1728" t="s">
        <v>59</v>
      </c>
      <c r="O1728" s="5"/>
      <c r="P1728" s="5"/>
    </row>
    <row r="1729" spans="1:16" x14ac:dyDescent="0.35">
      <c r="A1729" s="4">
        <v>42570</v>
      </c>
      <c r="B1729" t="s">
        <v>30</v>
      </c>
      <c r="C1729">
        <v>203</v>
      </c>
      <c r="D1729">
        <v>10</v>
      </c>
      <c r="E1729">
        <v>2</v>
      </c>
      <c r="F1729" t="s">
        <v>31</v>
      </c>
      <c r="G1729" t="s">
        <v>32</v>
      </c>
      <c r="H1729" t="s">
        <v>33</v>
      </c>
      <c r="I1729" t="s">
        <v>59</v>
      </c>
      <c r="O1729" s="5"/>
      <c r="P1729" s="5"/>
    </row>
    <row r="1730" spans="1:16" x14ac:dyDescent="0.35">
      <c r="A1730" s="4">
        <v>42570</v>
      </c>
      <c r="B1730" t="s">
        <v>30</v>
      </c>
      <c r="C1730">
        <v>202</v>
      </c>
      <c r="D1730">
        <v>3</v>
      </c>
      <c r="E1730">
        <v>1</v>
      </c>
      <c r="F1730" t="s">
        <v>31</v>
      </c>
      <c r="G1730" t="s">
        <v>32</v>
      </c>
      <c r="H1730" t="s">
        <v>33</v>
      </c>
      <c r="I1730" t="s">
        <v>59</v>
      </c>
      <c r="O1730" s="5"/>
      <c r="P1730" s="5"/>
    </row>
    <row r="1731" spans="1:16" x14ac:dyDescent="0.35">
      <c r="A1731" s="4">
        <v>42570</v>
      </c>
      <c r="B1731" t="s">
        <v>30</v>
      </c>
      <c r="C1731">
        <v>202</v>
      </c>
      <c r="D1731">
        <v>3</v>
      </c>
      <c r="E1731">
        <v>2</v>
      </c>
      <c r="F1731" t="s">
        <v>31</v>
      </c>
      <c r="G1731" t="s">
        <v>32</v>
      </c>
      <c r="H1731" t="s">
        <v>33</v>
      </c>
      <c r="I1731" t="s">
        <v>59</v>
      </c>
      <c r="O1731" s="5"/>
      <c r="P1731" s="5"/>
    </row>
    <row r="1732" spans="1:16" x14ac:dyDescent="0.35">
      <c r="A1732" s="4">
        <v>42570</v>
      </c>
      <c r="B1732" t="s">
        <v>30</v>
      </c>
      <c r="C1732">
        <v>202</v>
      </c>
      <c r="D1732">
        <v>5</v>
      </c>
      <c r="E1732">
        <v>1</v>
      </c>
      <c r="F1732" t="s">
        <v>31</v>
      </c>
      <c r="G1732" t="s">
        <v>32</v>
      </c>
      <c r="H1732" t="s">
        <v>33</v>
      </c>
      <c r="I1732" t="s">
        <v>59</v>
      </c>
      <c r="O1732" s="5"/>
      <c r="P1732" s="5"/>
    </row>
    <row r="1733" spans="1:16" x14ac:dyDescent="0.35">
      <c r="A1733" s="4">
        <v>42570</v>
      </c>
      <c r="B1733" t="s">
        <v>30</v>
      </c>
      <c r="C1733">
        <v>304</v>
      </c>
      <c r="D1733">
        <v>2</v>
      </c>
      <c r="E1733">
        <v>1</v>
      </c>
      <c r="F1733" t="s">
        <v>31</v>
      </c>
      <c r="G1733" t="s">
        <v>32</v>
      </c>
      <c r="H1733" t="s">
        <v>33</v>
      </c>
      <c r="I1733" t="s">
        <v>59</v>
      </c>
      <c r="O1733" s="5"/>
      <c r="P1733" s="5"/>
    </row>
    <row r="1734" spans="1:16" x14ac:dyDescent="0.35">
      <c r="A1734" s="4">
        <v>42570</v>
      </c>
      <c r="B1734" t="s">
        <v>30</v>
      </c>
      <c r="C1734">
        <v>304</v>
      </c>
      <c r="D1734">
        <v>2</v>
      </c>
      <c r="E1734">
        <v>2</v>
      </c>
      <c r="F1734" t="s">
        <v>31</v>
      </c>
      <c r="G1734" t="s">
        <v>32</v>
      </c>
      <c r="H1734" t="s">
        <v>33</v>
      </c>
      <c r="I1734" t="s">
        <v>59</v>
      </c>
      <c r="O1734" s="5"/>
      <c r="P1734" s="5"/>
    </row>
    <row r="1735" spans="1:16" x14ac:dyDescent="0.35">
      <c r="A1735" s="4">
        <v>42570</v>
      </c>
      <c r="B1735" t="s">
        <v>30</v>
      </c>
      <c r="C1735">
        <v>304</v>
      </c>
      <c r="D1735">
        <v>3</v>
      </c>
      <c r="E1735">
        <v>1</v>
      </c>
      <c r="F1735" t="s">
        <v>31</v>
      </c>
      <c r="G1735" t="s">
        <v>32</v>
      </c>
      <c r="H1735" t="s">
        <v>33</v>
      </c>
      <c r="I1735" t="s">
        <v>59</v>
      </c>
      <c r="O1735" s="5"/>
      <c r="P1735" s="5"/>
    </row>
    <row r="1736" spans="1:16" x14ac:dyDescent="0.35">
      <c r="A1736" s="4">
        <v>42570</v>
      </c>
      <c r="B1736" t="s">
        <v>30</v>
      </c>
      <c r="C1736">
        <v>304</v>
      </c>
      <c r="D1736">
        <v>3</v>
      </c>
      <c r="E1736">
        <v>2</v>
      </c>
      <c r="F1736" t="s">
        <v>31</v>
      </c>
      <c r="G1736" t="s">
        <v>32</v>
      </c>
      <c r="H1736" t="s">
        <v>33</v>
      </c>
      <c r="I1736" t="s">
        <v>59</v>
      </c>
      <c r="O1736" s="5"/>
      <c r="P1736" s="5"/>
    </row>
    <row r="1737" spans="1:16" x14ac:dyDescent="0.35">
      <c r="A1737" s="4">
        <v>42570</v>
      </c>
      <c r="B1737" t="s">
        <v>30</v>
      </c>
      <c r="C1737">
        <v>304</v>
      </c>
      <c r="D1737">
        <v>4</v>
      </c>
      <c r="E1737">
        <v>1</v>
      </c>
      <c r="F1737" t="s">
        <v>31</v>
      </c>
      <c r="G1737" t="s">
        <v>32</v>
      </c>
      <c r="H1737" t="s">
        <v>33</v>
      </c>
      <c r="I1737" t="s">
        <v>59</v>
      </c>
      <c r="O1737" s="5"/>
      <c r="P1737" s="5"/>
    </row>
    <row r="1738" spans="1:16" x14ac:dyDescent="0.35">
      <c r="A1738" s="4">
        <v>42570</v>
      </c>
      <c r="B1738" t="s">
        <v>30</v>
      </c>
      <c r="C1738">
        <v>304</v>
      </c>
      <c r="D1738">
        <v>5</v>
      </c>
      <c r="E1738">
        <v>1</v>
      </c>
      <c r="F1738" t="s">
        <v>31</v>
      </c>
      <c r="G1738" t="s">
        <v>32</v>
      </c>
      <c r="H1738" t="s">
        <v>33</v>
      </c>
      <c r="I1738" t="s">
        <v>59</v>
      </c>
      <c r="O1738" s="5"/>
      <c r="P1738" s="5"/>
    </row>
    <row r="1739" spans="1:16" x14ac:dyDescent="0.35">
      <c r="A1739" s="4">
        <v>42570</v>
      </c>
      <c r="B1739" t="s">
        <v>30</v>
      </c>
      <c r="C1739">
        <v>304</v>
      </c>
      <c r="D1739">
        <v>6</v>
      </c>
      <c r="E1739">
        <v>1</v>
      </c>
      <c r="F1739" t="s">
        <v>31</v>
      </c>
      <c r="G1739" t="s">
        <v>32</v>
      </c>
      <c r="H1739" t="s">
        <v>33</v>
      </c>
      <c r="I1739" t="s">
        <v>59</v>
      </c>
      <c r="O1739" s="5"/>
      <c r="P1739" s="5"/>
    </row>
    <row r="1740" spans="1:16" x14ac:dyDescent="0.35">
      <c r="A1740" s="4">
        <v>42570</v>
      </c>
      <c r="B1740" t="s">
        <v>30</v>
      </c>
      <c r="C1740">
        <v>304</v>
      </c>
      <c r="D1740">
        <v>6</v>
      </c>
      <c r="E1740">
        <v>2</v>
      </c>
      <c r="F1740" t="s">
        <v>31</v>
      </c>
      <c r="G1740" t="s">
        <v>32</v>
      </c>
      <c r="H1740" t="s">
        <v>33</v>
      </c>
      <c r="I1740" t="s">
        <v>59</v>
      </c>
      <c r="O1740" s="5"/>
      <c r="P1740" s="5"/>
    </row>
    <row r="1741" spans="1:16" x14ac:dyDescent="0.35">
      <c r="A1741" s="4">
        <v>42570</v>
      </c>
      <c r="B1741" t="s">
        <v>30</v>
      </c>
      <c r="C1741">
        <v>304</v>
      </c>
      <c r="D1741">
        <v>7</v>
      </c>
      <c r="E1741">
        <v>1</v>
      </c>
      <c r="F1741" t="s">
        <v>31</v>
      </c>
      <c r="G1741" t="s">
        <v>32</v>
      </c>
      <c r="H1741" t="s">
        <v>33</v>
      </c>
      <c r="I1741" t="s">
        <v>59</v>
      </c>
      <c r="O1741" s="5"/>
      <c r="P1741" s="5"/>
    </row>
    <row r="1742" spans="1:16" x14ac:dyDescent="0.35">
      <c r="A1742" s="4">
        <v>42570</v>
      </c>
      <c r="B1742" t="s">
        <v>30</v>
      </c>
      <c r="C1742">
        <v>304</v>
      </c>
      <c r="D1742">
        <v>7</v>
      </c>
      <c r="E1742">
        <v>2</v>
      </c>
      <c r="F1742" t="s">
        <v>31</v>
      </c>
      <c r="G1742" t="s">
        <v>32</v>
      </c>
      <c r="H1742" t="s">
        <v>33</v>
      </c>
      <c r="I1742" t="s">
        <v>59</v>
      </c>
      <c r="O1742" s="5"/>
      <c r="P1742" s="5"/>
    </row>
    <row r="1743" spans="1:16" x14ac:dyDescent="0.35">
      <c r="A1743" s="4">
        <v>42570</v>
      </c>
      <c r="B1743" t="s">
        <v>30</v>
      </c>
      <c r="C1743">
        <v>304</v>
      </c>
      <c r="D1743">
        <v>8</v>
      </c>
      <c r="E1743">
        <v>1</v>
      </c>
      <c r="F1743" t="s">
        <v>31</v>
      </c>
      <c r="G1743" t="s">
        <v>32</v>
      </c>
      <c r="H1743" t="s">
        <v>33</v>
      </c>
      <c r="I1743" t="s">
        <v>59</v>
      </c>
      <c r="O1743" s="5"/>
      <c r="P1743" s="5"/>
    </row>
    <row r="1744" spans="1:16" x14ac:dyDescent="0.35">
      <c r="A1744" s="4">
        <v>42570</v>
      </c>
      <c r="B1744" t="s">
        <v>30</v>
      </c>
      <c r="C1744">
        <v>111</v>
      </c>
      <c r="D1744">
        <v>1</v>
      </c>
      <c r="E1744">
        <v>1</v>
      </c>
      <c r="F1744" t="s">
        <v>42</v>
      </c>
      <c r="G1744" t="s">
        <v>32</v>
      </c>
      <c r="H1744" t="s">
        <v>33</v>
      </c>
      <c r="I1744" t="s">
        <v>59</v>
      </c>
      <c r="O1744" s="5"/>
      <c r="P1744" s="5"/>
    </row>
    <row r="1745" spans="1:16" x14ac:dyDescent="0.35">
      <c r="A1745" s="4">
        <v>42570</v>
      </c>
      <c r="B1745" t="s">
        <v>30</v>
      </c>
      <c r="C1745">
        <v>111</v>
      </c>
      <c r="D1745">
        <v>2</v>
      </c>
      <c r="E1745">
        <v>1</v>
      </c>
      <c r="F1745" t="s">
        <v>42</v>
      </c>
      <c r="G1745" t="s">
        <v>32</v>
      </c>
      <c r="H1745" t="s">
        <v>33</v>
      </c>
      <c r="I1745" t="s">
        <v>59</v>
      </c>
      <c r="O1745" s="5"/>
      <c r="P1745" s="5"/>
    </row>
    <row r="1746" spans="1:16" x14ac:dyDescent="0.35">
      <c r="A1746" s="4">
        <v>42570</v>
      </c>
      <c r="B1746" t="s">
        <v>30</v>
      </c>
      <c r="C1746">
        <v>111</v>
      </c>
      <c r="D1746">
        <v>5</v>
      </c>
      <c r="E1746">
        <v>1</v>
      </c>
      <c r="F1746" t="s">
        <v>42</v>
      </c>
      <c r="G1746" t="s">
        <v>32</v>
      </c>
      <c r="H1746" t="s">
        <v>33</v>
      </c>
      <c r="I1746" t="s">
        <v>59</v>
      </c>
      <c r="O1746" s="5"/>
      <c r="P1746" s="5"/>
    </row>
    <row r="1747" spans="1:16" x14ac:dyDescent="0.35">
      <c r="A1747" s="4">
        <v>42570</v>
      </c>
      <c r="B1747" t="s">
        <v>30</v>
      </c>
      <c r="C1747">
        <v>111</v>
      </c>
      <c r="D1747">
        <v>7</v>
      </c>
      <c r="E1747">
        <v>1</v>
      </c>
      <c r="F1747" t="s">
        <v>42</v>
      </c>
      <c r="G1747" t="s">
        <v>32</v>
      </c>
      <c r="H1747" t="s">
        <v>33</v>
      </c>
      <c r="I1747" t="s">
        <v>59</v>
      </c>
      <c r="O1747" s="5"/>
      <c r="P1747" s="5"/>
    </row>
    <row r="1748" spans="1:16" x14ac:dyDescent="0.35">
      <c r="A1748" s="4">
        <v>42570</v>
      </c>
      <c r="B1748" t="s">
        <v>30</v>
      </c>
      <c r="C1748">
        <v>111</v>
      </c>
      <c r="D1748">
        <v>7</v>
      </c>
      <c r="E1748">
        <v>2</v>
      </c>
      <c r="F1748" t="s">
        <v>42</v>
      </c>
      <c r="G1748" t="s">
        <v>32</v>
      </c>
      <c r="H1748" t="s">
        <v>33</v>
      </c>
      <c r="I1748" t="s">
        <v>59</v>
      </c>
      <c r="O1748" s="5"/>
      <c r="P1748" s="5"/>
    </row>
    <row r="1749" spans="1:16" x14ac:dyDescent="0.35">
      <c r="A1749" s="4">
        <v>42570</v>
      </c>
      <c r="B1749" t="s">
        <v>30</v>
      </c>
      <c r="C1749">
        <v>111</v>
      </c>
      <c r="D1749">
        <v>9</v>
      </c>
      <c r="E1749">
        <v>1</v>
      </c>
      <c r="F1749" t="s">
        <v>42</v>
      </c>
      <c r="G1749" t="s">
        <v>32</v>
      </c>
      <c r="H1749" t="s">
        <v>33</v>
      </c>
      <c r="I1749" t="s">
        <v>59</v>
      </c>
      <c r="O1749" s="5"/>
      <c r="P1749" s="5"/>
    </row>
    <row r="1750" spans="1:16" x14ac:dyDescent="0.35">
      <c r="A1750" s="4">
        <v>42570</v>
      </c>
      <c r="B1750" t="s">
        <v>30</v>
      </c>
      <c r="C1750">
        <v>111</v>
      </c>
      <c r="D1750">
        <v>9</v>
      </c>
      <c r="E1750">
        <v>2</v>
      </c>
      <c r="F1750" t="s">
        <v>42</v>
      </c>
      <c r="G1750" t="s">
        <v>32</v>
      </c>
      <c r="H1750" t="s">
        <v>33</v>
      </c>
      <c r="I1750" t="s">
        <v>59</v>
      </c>
      <c r="O1750" s="5"/>
      <c r="P1750" s="5"/>
    </row>
    <row r="1751" spans="1:16" x14ac:dyDescent="0.35">
      <c r="A1751" s="4">
        <v>42570</v>
      </c>
      <c r="B1751" t="s">
        <v>30</v>
      </c>
      <c r="C1751">
        <v>111</v>
      </c>
      <c r="D1751">
        <v>10</v>
      </c>
      <c r="E1751">
        <v>1</v>
      </c>
      <c r="F1751" t="s">
        <v>42</v>
      </c>
      <c r="G1751" t="s">
        <v>32</v>
      </c>
      <c r="H1751" t="s">
        <v>33</v>
      </c>
      <c r="I1751" t="s">
        <v>59</v>
      </c>
      <c r="O1751" s="5"/>
      <c r="P1751" s="5"/>
    </row>
    <row r="1752" spans="1:16" x14ac:dyDescent="0.35">
      <c r="A1752" s="4">
        <v>42570</v>
      </c>
      <c r="B1752" t="s">
        <v>30</v>
      </c>
      <c r="C1752">
        <v>112</v>
      </c>
      <c r="D1752">
        <v>1</v>
      </c>
      <c r="E1752">
        <v>1</v>
      </c>
      <c r="F1752" t="s">
        <v>42</v>
      </c>
      <c r="G1752" t="s">
        <v>32</v>
      </c>
      <c r="H1752" t="s">
        <v>33</v>
      </c>
      <c r="I1752" t="s">
        <v>59</v>
      </c>
      <c r="O1752" s="5"/>
      <c r="P1752" s="5"/>
    </row>
    <row r="1753" spans="1:16" x14ac:dyDescent="0.35">
      <c r="A1753" s="4">
        <v>42570</v>
      </c>
      <c r="B1753" t="s">
        <v>30</v>
      </c>
      <c r="C1753">
        <v>112</v>
      </c>
      <c r="D1753">
        <v>1</v>
      </c>
      <c r="E1753">
        <v>2</v>
      </c>
      <c r="F1753" t="s">
        <v>42</v>
      </c>
      <c r="G1753" t="s">
        <v>32</v>
      </c>
      <c r="H1753" t="s">
        <v>33</v>
      </c>
      <c r="I1753" t="s">
        <v>59</v>
      </c>
      <c r="O1753" s="5"/>
      <c r="P1753" s="5"/>
    </row>
    <row r="1754" spans="1:16" x14ac:dyDescent="0.35">
      <c r="A1754" s="4">
        <v>42570</v>
      </c>
      <c r="B1754" t="s">
        <v>30</v>
      </c>
      <c r="C1754">
        <v>112</v>
      </c>
      <c r="D1754">
        <v>2</v>
      </c>
      <c r="E1754">
        <v>1</v>
      </c>
      <c r="F1754" t="s">
        <v>42</v>
      </c>
      <c r="G1754" t="s">
        <v>32</v>
      </c>
      <c r="H1754" t="s">
        <v>33</v>
      </c>
      <c r="I1754" t="s">
        <v>59</v>
      </c>
      <c r="O1754" s="5"/>
      <c r="P1754" s="5"/>
    </row>
    <row r="1755" spans="1:16" x14ac:dyDescent="0.35">
      <c r="A1755" s="4">
        <v>42570</v>
      </c>
      <c r="B1755" t="s">
        <v>30</v>
      </c>
      <c r="C1755">
        <v>112</v>
      </c>
      <c r="D1755">
        <v>2</v>
      </c>
      <c r="E1755">
        <v>2</v>
      </c>
      <c r="F1755" t="s">
        <v>42</v>
      </c>
      <c r="G1755" t="s">
        <v>32</v>
      </c>
      <c r="H1755" t="s">
        <v>33</v>
      </c>
      <c r="I1755" t="s">
        <v>59</v>
      </c>
      <c r="O1755" s="5"/>
      <c r="P1755" s="5"/>
    </row>
    <row r="1756" spans="1:16" x14ac:dyDescent="0.35">
      <c r="A1756" s="4">
        <v>42570</v>
      </c>
      <c r="B1756" t="s">
        <v>30</v>
      </c>
      <c r="C1756">
        <v>112</v>
      </c>
      <c r="D1756">
        <v>3</v>
      </c>
      <c r="E1756">
        <v>1</v>
      </c>
      <c r="F1756" t="s">
        <v>42</v>
      </c>
      <c r="G1756" t="s">
        <v>32</v>
      </c>
      <c r="H1756" t="s">
        <v>33</v>
      </c>
      <c r="I1756" t="s">
        <v>59</v>
      </c>
      <c r="O1756" s="5"/>
      <c r="P1756" s="5"/>
    </row>
    <row r="1757" spans="1:16" x14ac:dyDescent="0.35">
      <c r="A1757" s="4">
        <v>42570</v>
      </c>
      <c r="B1757" t="s">
        <v>30</v>
      </c>
      <c r="C1757">
        <v>112</v>
      </c>
      <c r="D1757">
        <v>3</v>
      </c>
      <c r="E1757">
        <v>2</v>
      </c>
      <c r="F1757" t="s">
        <v>42</v>
      </c>
      <c r="G1757" t="s">
        <v>32</v>
      </c>
      <c r="H1757" t="s">
        <v>33</v>
      </c>
      <c r="I1757" t="s">
        <v>59</v>
      </c>
      <c r="O1757" s="5"/>
      <c r="P1757" s="5"/>
    </row>
    <row r="1758" spans="1:16" x14ac:dyDescent="0.35">
      <c r="A1758" s="4">
        <v>42570</v>
      </c>
      <c r="B1758" t="s">
        <v>30</v>
      </c>
      <c r="C1758">
        <v>112</v>
      </c>
      <c r="D1758">
        <v>4</v>
      </c>
      <c r="E1758">
        <v>1</v>
      </c>
      <c r="F1758" t="s">
        <v>42</v>
      </c>
      <c r="G1758" t="s">
        <v>32</v>
      </c>
      <c r="H1758" t="s">
        <v>33</v>
      </c>
      <c r="I1758" t="s">
        <v>59</v>
      </c>
      <c r="O1758" s="5"/>
      <c r="P1758" s="5"/>
    </row>
    <row r="1759" spans="1:16" x14ac:dyDescent="0.35">
      <c r="A1759" s="4">
        <v>42570</v>
      </c>
      <c r="B1759" t="s">
        <v>30</v>
      </c>
      <c r="C1759">
        <v>112</v>
      </c>
      <c r="D1759">
        <v>5</v>
      </c>
      <c r="E1759">
        <v>1</v>
      </c>
      <c r="F1759" t="s">
        <v>42</v>
      </c>
      <c r="G1759" t="s">
        <v>32</v>
      </c>
      <c r="H1759" t="s">
        <v>33</v>
      </c>
      <c r="I1759" t="s">
        <v>59</v>
      </c>
      <c r="O1759" s="5"/>
      <c r="P1759" s="5"/>
    </row>
    <row r="1760" spans="1:16" x14ac:dyDescent="0.35">
      <c r="A1760" s="4">
        <v>42570</v>
      </c>
      <c r="B1760" t="s">
        <v>30</v>
      </c>
      <c r="C1760">
        <v>112</v>
      </c>
      <c r="D1760">
        <v>5</v>
      </c>
      <c r="E1760">
        <v>2</v>
      </c>
      <c r="F1760" t="s">
        <v>42</v>
      </c>
      <c r="G1760" t="s">
        <v>32</v>
      </c>
      <c r="H1760" t="s">
        <v>33</v>
      </c>
      <c r="I1760" t="s">
        <v>59</v>
      </c>
      <c r="O1760" s="5"/>
      <c r="P1760" s="5"/>
    </row>
    <row r="1761" spans="1:16" x14ac:dyDescent="0.35">
      <c r="A1761" s="4">
        <v>42570</v>
      </c>
      <c r="B1761" t="s">
        <v>30</v>
      </c>
      <c r="C1761">
        <v>112</v>
      </c>
      <c r="D1761">
        <v>6</v>
      </c>
      <c r="E1761">
        <v>1</v>
      </c>
      <c r="F1761" t="s">
        <v>42</v>
      </c>
      <c r="G1761" t="s">
        <v>32</v>
      </c>
      <c r="H1761" t="s">
        <v>33</v>
      </c>
      <c r="I1761" t="s">
        <v>59</v>
      </c>
      <c r="O1761" s="5"/>
      <c r="P1761" s="5"/>
    </row>
    <row r="1762" spans="1:16" x14ac:dyDescent="0.35">
      <c r="A1762" s="4">
        <v>42570</v>
      </c>
      <c r="B1762" t="s">
        <v>30</v>
      </c>
      <c r="C1762">
        <v>112</v>
      </c>
      <c r="D1762">
        <v>8</v>
      </c>
      <c r="E1762">
        <v>1</v>
      </c>
      <c r="F1762" t="s">
        <v>42</v>
      </c>
      <c r="G1762" t="s">
        <v>32</v>
      </c>
      <c r="H1762" t="s">
        <v>33</v>
      </c>
      <c r="I1762" t="s">
        <v>59</v>
      </c>
      <c r="O1762" s="5"/>
      <c r="P1762" s="5"/>
    </row>
    <row r="1763" spans="1:16" x14ac:dyDescent="0.35">
      <c r="A1763" s="4">
        <v>42570</v>
      </c>
      <c r="B1763" t="s">
        <v>30</v>
      </c>
      <c r="C1763">
        <v>112</v>
      </c>
      <c r="D1763">
        <v>9</v>
      </c>
      <c r="E1763">
        <v>1</v>
      </c>
      <c r="F1763" t="s">
        <v>42</v>
      </c>
      <c r="G1763" t="s">
        <v>32</v>
      </c>
      <c r="H1763" t="s">
        <v>33</v>
      </c>
      <c r="I1763" t="s">
        <v>59</v>
      </c>
      <c r="O1763" s="5"/>
      <c r="P1763" s="5"/>
    </row>
    <row r="1764" spans="1:16" x14ac:dyDescent="0.35">
      <c r="A1764" s="4">
        <v>42570</v>
      </c>
      <c r="B1764" t="s">
        <v>30</v>
      </c>
      <c r="C1764">
        <v>112</v>
      </c>
      <c r="D1764">
        <v>9</v>
      </c>
      <c r="E1764">
        <v>2</v>
      </c>
      <c r="F1764" t="s">
        <v>42</v>
      </c>
      <c r="G1764" t="s">
        <v>32</v>
      </c>
      <c r="H1764" t="s">
        <v>33</v>
      </c>
      <c r="I1764" t="s">
        <v>59</v>
      </c>
      <c r="O1764" s="5"/>
      <c r="P1764" s="5"/>
    </row>
    <row r="1765" spans="1:16" x14ac:dyDescent="0.35">
      <c r="A1765" s="4">
        <v>42570</v>
      </c>
      <c r="B1765" t="s">
        <v>30</v>
      </c>
      <c r="C1765">
        <v>112</v>
      </c>
      <c r="D1765">
        <v>10</v>
      </c>
      <c r="E1765">
        <v>1</v>
      </c>
      <c r="F1765" t="s">
        <v>42</v>
      </c>
      <c r="G1765" t="s">
        <v>32</v>
      </c>
      <c r="H1765" t="s">
        <v>33</v>
      </c>
      <c r="I1765" t="s">
        <v>59</v>
      </c>
      <c r="O1765" s="5"/>
      <c r="P1765" s="5"/>
    </row>
    <row r="1766" spans="1:16" x14ac:dyDescent="0.35">
      <c r="A1766" s="4">
        <v>42570</v>
      </c>
      <c r="B1766" t="s">
        <v>30</v>
      </c>
      <c r="C1766">
        <v>113</v>
      </c>
      <c r="D1766">
        <v>8</v>
      </c>
      <c r="E1766">
        <v>1</v>
      </c>
      <c r="F1766" t="s">
        <v>42</v>
      </c>
      <c r="G1766" t="s">
        <v>32</v>
      </c>
      <c r="H1766" t="s">
        <v>33</v>
      </c>
      <c r="I1766" t="s">
        <v>59</v>
      </c>
      <c r="O1766" s="5"/>
      <c r="P1766" s="5"/>
    </row>
    <row r="1767" spans="1:16" x14ac:dyDescent="0.35">
      <c r="A1767" s="4">
        <v>42570</v>
      </c>
      <c r="B1767" t="s">
        <v>30</v>
      </c>
      <c r="C1767">
        <v>113</v>
      </c>
      <c r="D1767">
        <v>9</v>
      </c>
      <c r="E1767">
        <v>1</v>
      </c>
      <c r="F1767" t="s">
        <v>42</v>
      </c>
      <c r="G1767" t="s">
        <v>32</v>
      </c>
      <c r="H1767" t="s">
        <v>33</v>
      </c>
      <c r="I1767" t="s">
        <v>59</v>
      </c>
      <c r="O1767" s="5"/>
      <c r="P1767" s="5"/>
    </row>
    <row r="1768" spans="1:16" x14ac:dyDescent="0.35">
      <c r="A1768" s="4">
        <v>42570</v>
      </c>
      <c r="B1768" t="s">
        <v>30</v>
      </c>
      <c r="C1768">
        <v>113</v>
      </c>
      <c r="D1768">
        <v>10</v>
      </c>
      <c r="E1768">
        <v>1</v>
      </c>
      <c r="F1768" t="s">
        <v>42</v>
      </c>
      <c r="G1768" t="s">
        <v>32</v>
      </c>
      <c r="H1768" t="s">
        <v>33</v>
      </c>
      <c r="I1768" t="s">
        <v>59</v>
      </c>
      <c r="O1768" s="5"/>
      <c r="P1768" s="5"/>
    </row>
    <row r="1769" spans="1:16" x14ac:dyDescent="0.35">
      <c r="A1769" s="4">
        <v>42570</v>
      </c>
      <c r="B1769" t="s">
        <v>30</v>
      </c>
      <c r="C1769">
        <v>113</v>
      </c>
      <c r="D1769">
        <v>10</v>
      </c>
      <c r="E1769">
        <v>2</v>
      </c>
      <c r="F1769" t="s">
        <v>42</v>
      </c>
      <c r="G1769" t="s">
        <v>32</v>
      </c>
      <c r="H1769" t="s">
        <v>33</v>
      </c>
      <c r="I1769" t="s">
        <v>59</v>
      </c>
      <c r="O1769" s="5"/>
      <c r="P1769" s="5"/>
    </row>
    <row r="1770" spans="1:16" x14ac:dyDescent="0.35">
      <c r="A1770" s="4">
        <v>42570</v>
      </c>
      <c r="B1770" t="s">
        <v>30</v>
      </c>
      <c r="C1770">
        <v>402</v>
      </c>
      <c r="D1770">
        <v>6</v>
      </c>
      <c r="E1770">
        <v>2</v>
      </c>
      <c r="F1770" t="s">
        <v>42</v>
      </c>
      <c r="G1770" t="s">
        <v>32</v>
      </c>
      <c r="H1770" t="s">
        <v>33</v>
      </c>
      <c r="I1770" t="s">
        <v>59</v>
      </c>
      <c r="O1770" s="5"/>
      <c r="P1770" s="5"/>
    </row>
    <row r="1771" spans="1:16" x14ac:dyDescent="0.35">
      <c r="A1771" s="4">
        <v>42570</v>
      </c>
      <c r="B1771" t="s">
        <v>30</v>
      </c>
      <c r="C1771">
        <v>402</v>
      </c>
      <c r="D1771">
        <v>7</v>
      </c>
      <c r="E1771">
        <v>1</v>
      </c>
      <c r="F1771" t="s">
        <v>42</v>
      </c>
      <c r="G1771" t="s">
        <v>32</v>
      </c>
      <c r="H1771" t="s">
        <v>33</v>
      </c>
      <c r="I1771" t="s">
        <v>59</v>
      </c>
      <c r="O1771" s="5"/>
      <c r="P1771" s="5"/>
    </row>
    <row r="1772" spans="1:16" x14ac:dyDescent="0.35">
      <c r="A1772" s="4">
        <v>42570</v>
      </c>
      <c r="B1772" t="s">
        <v>30</v>
      </c>
      <c r="C1772">
        <v>402</v>
      </c>
      <c r="D1772">
        <v>7</v>
      </c>
      <c r="E1772">
        <v>2</v>
      </c>
      <c r="F1772" t="s">
        <v>42</v>
      </c>
      <c r="G1772" t="s">
        <v>32</v>
      </c>
      <c r="H1772" t="s">
        <v>33</v>
      </c>
      <c r="I1772" t="s">
        <v>59</v>
      </c>
      <c r="O1772" s="5"/>
      <c r="P1772" s="5"/>
    </row>
    <row r="1773" spans="1:16" x14ac:dyDescent="0.35">
      <c r="A1773" s="4">
        <v>42570</v>
      </c>
      <c r="B1773" t="s">
        <v>30</v>
      </c>
      <c r="C1773">
        <v>402</v>
      </c>
      <c r="D1773">
        <v>8</v>
      </c>
      <c r="E1773">
        <v>1</v>
      </c>
      <c r="F1773" t="s">
        <v>42</v>
      </c>
      <c r="G1773" t="s">
        <v>32</v>
      </c>
      <c r="H1773" t="s">
        <v>33</v>
      </c>
      <c r="I1773" t="s">
        <v>59</v>
      </c>
      <c r="O1773" s="5"/>
      <c r="P1773" s="5"/>
    </row>
    <row r="1774" spans="1:16" x14ac:dyDescent="0.35">
      <c r="A1774" s="4">
        <v>42570</v>
      </c>
      <c r="B1774" t="s">
        <v>30</v>
      </c>
      <c r="C1774">
        <v>402</v>
      </c>
      <c r="D1774">
        <v>8</v>
      </c>
      <c r="E1774">
        <v>2</v>
      </c>
      <c r="F1774" t="s">
        <v>42</v>
      </c>
      <c r="G1774" t="s">
        <v>32</v>
      </c>
      <c r="H1774" t="s">
        <v>33</v>
      </c>
      <c r="I1774" t="s">
        <v>59</v>
      </c>
      <c r="O1774" s="5"/>
      <c r="P1774" s="5"/>
    </row>
    <row r="1775" spans="1:16" x14ac:dyDescent="0.35">
      <c r="A1775" s="4">
        <v>42570</v>
      </c>
      <c r="B1775" t="s">
        <v>30</v>
      </c>
      <c r="C1775">
        <v>402</v>
      </c>
      <c r="D1775">
        <v>9</v>
      </c>
      <c r="E1775">
        <v>1</v>
      </c>
      <c r="F1775" t="s">
        <v>42</v>
      </c>
      <c r="G1775" t="s">
        <v>32</v>
      </c>
      <c r="H1775" t="s">
        <v>33</v>
      </c>
      <c r="I1775" t="s">
        <v>59</v>
      </c>
      <c r="O1775" s="5"/>
      <c r="P1775" s="5"/>
    </row>
    <row r="1776" spans="1:16" x14ac:dyDescent="0.35">
      <c r="A1776" s="4">
        <v>42570</v>
      </c>
      <c r="B1776" t="s">
        <v>30</v>
      </c>
      <c r="C1776">
        <v>402</v>
      </c>
      <c r="D1776">
        <v>9</v>
      </c>
      <c r="E1776">
        <v>2</v>
      </c>
      <c r="F1776" t="s">
        <v>42</v>
      </c>
      <c r="G1776" t="s">
        <v>32</v>
      </c>
      <c r="H1776" t="s">
        <v>33</v>
      </c>
      <c r="I1776" t="s">
        <v>59</v>
      </c>
      <c r="O1776" s="5"/>
      <c r="P1776" s="5"/>
    </row>
    <row r="1777" spans="1:29" x14ac:dyDescent="0.35">
      <c r="A1777" s="4">
        <v>42570</v>
      </c>
      <c r="B1777" t="s">
        <v>30</v>
      </c>
      <c r="C1777">
        <v>402</v>
      </c>
      <c r="D1777">
        <v>10</v>
      </c>
      <c r="E1777">
        <v>1</v>
      </c>
      <c r="F1777" t="s">
        <v>42</v>
      </c>
      <c r="G1777" t="s">
        <v>32</v>
      </c>
      <c r="H1777" t="s">
        <v>33</v>
      </c>
      <c r="I1777" t="s">
        <v>59</v>
      </c>
      <c r="O1777" s="5"/>
      <c r="P1777" s="5"/>
    </row>
    <row r="1778" spans="1:29" x14ac:dyDescent="0.35">
      <c r="A1778" s="4">
        <v>42570</v>
      </c>
      <c r="B1778" t="s">
        <v>30</v>
      </c>
      <c r="C1778">
        <v>402</v>
      </c>
      <c r="D1778">
        <v>10</v>
      </c>
      <c r="E1778">
        <v>2</v>
      </c>
      <c r="F1778" t="s">
        <v>42</v>
      </c>
      <c r="G1778" t="s">
        <v>32</v>
      </c>
      <c r="H1778" t="s">
        <v>33</v>
      </c>
      <c r="I1778" t="s">
        <v>59</v>
      </c>
      <c r="O1778" s="5"/>
      <c r="P1778" s="5"/>
    </row>
    <row r="1779" spans="1:29" x14ac:dyDescent="0.35">
      <c r="A1779" s="4">
        <v>42570</v>
      </c>
      <c r="B1779" t="s">
        <v>30</v>
      </c>
      <c r="C1779">
        <v>113</v>
      </c>
      <c r="D1779">
        <v>1</v>
      </c>
      <c r="E1779">
        <v>1</v>
      </c>
      <c r="F1779" t="s">
        <v>42</v>
      </c>
      <c r="G1779" t="s">
        <v>32</v>
      </c>
      <c r="H1779" t="s">
        <v>33</v>
      </c>
      <c r="I1779" t="s">
        <v>94</v>
      </c>
      <c r="J1779" t="s">
        <v>44</v>
      </c>
      <c r="K1779" t="s">
        <v>36</v>
      </c>
      <c r="L1779" t="s">
        <v>37</v>
      </c>
      <c r="M1779">
        <v>0</v>
      </c>
      <c r="N1779">
        <v>0</v>
      </c>
      <c r="O1779" s="5"/>
      <c r="P1779" s="5" t="s">
        <v>237</v>
      </c>
      <c r="Q1779">
        <v>20</v>
      </c>
      <c r="R1779" t="s">
        <v>38</v>
      </c>
      <c r="T1779">
        <v>29.5</v>
      </c>
      <c r="W1779">
        <v>12.5</v>
      </c>
      <c r="X1779">
        <v>26.5</v>
      </c>
      <c r="Z1779" t="s">
        <v>39</v>
      </c>
      <c r="AB1779" t="s">
        <v>230</v>
      </c>
      <c r="AC1779" t="s">
        <v>41</v>
      </c>
    </row>
    <row r="1780" spans="1:29" x14ac:dyDescent="0.35">
      <c r="A1780" s="4">
        <v>42570</v>
      </c>
      <c r="B1780" t="s">
        <v>30</v>
      </c>
      <c r="C1780">
        <v>402</v>
      </c>
      <c r="D1780">
        <v>1</v>
      </c>
      <c r="E1780">
        <v>1</v>
      </c>
      <c r="F1780" t="s">
        <v>42</v>
      </c>
      <c r="G1780" t="s">
        <v>32</v>
      </c>
      <c r="H1780" t="s">
        <v>33</v>
      </c>
      <c r="I1780" t="s">
        <v>94</v>
      </c>
      <c r="J1780" t="s">
        <v>44</v>
      </c>
      <c r="K1780" t="s">
        <v>36</v>
      </c>
      <c r="L1780" t="s">
        <v>45</v>
      </c>
      <c r="M1780">
        <v>0</v>
      </c>
      <c r="N1780">
        <v>0</v>
      </c>
      <c r="O1780" s="5"/>
      <c r="P1780" s="5">
        <v>50554</v>
      </c>
      <c r="Q1780">
        <f>37-13</f>
        <v>24</v>
      </c>
      <c r="R1780" t="s">
        <v>46</v>
      </c>
      <c r="T1780">
        <v>28</v>
      </c>
      <c r="W1780">
        <v>12.5</v>
      </c>
      <c r="X1780">
        <v>27</v>
      </c>
      <c r="Y1780" t="s">
        <v>238</v>
      </c>
      <c r="Z1780" t="s">
        <v>39</v>
      </c>
      <c r="AB1780" t="s">
        <v>230</v>
      </c>
      <c r="AC1780" t="s">
        <v>41</v>
      </c>
    </row>
    <row r="1781" spans="1:29" x14ac:dyDescent="0.35">
      <c r="A1781" s="4">
        <v>42571</v>
      </c>
      <c r="B1781" t="s">
        <v>30</v>
      </c>
      <c r="C1781">
        <v>201</v>
      </c>
      <c r="D1781">
        <v>2</v>
      </c>
      <c r="E1781">
        <v>2</v>
      </c>
      <c r="F1781" t="s">
        <v>31</v>
      </c>
      <c r="G1781" t="s">
        <v>32</v>
      </c>
      <c r="H1781" t="s">
        <v>33</v>
      </c>
      <c r="I1781" t="s">
        <v>43</v>
      </c>
      <c r="J1781" t="s">
        <v>44</v>
      </c>
      <c r="K1781" t="s">
        <v>36</v>
      </c>
      <c r="L1781" t="s">
        <v>37</v>
      </c>
      <c r="M1781">
        <v>0</v>
      </c>
      <c r="N1781">
        <v>0</v>
      </c>
      <c r="O1781" s="5">
        <v>50335</v>
      </c>
      <c r="P1781" s="5">
        <v>50334</v>
      </c>
      <c r="Q1781">
        <f>36-15</f>
        <v>21</v>
      </c>
      <c r="R1781" t="s">
        <v>38</v>
      </c>
      <c r="T1781">
        <v>21</v>
      </c>
      <c r="U1781">
        <v>82</v>
      </c>
      <c r="V1781">
        <v>14</v>
      </c>
      <c r="W1781">
        <v>12.9</v>
      </c>
      <c r="X1781">
        <v>26.8</v>
      </c>
      <c r="Z1781" t="s">
        <v>102</v>
      </c>
      <c r="AA1781" t="s">
        <v>201</v>
      </c>
      <c r="AB1781" t="s">
        <v>86</v>
      </c>
      <c r="AC1781" t="s">
        <v>76</v>
      </c>
    </row>
    <row r="1782" spans="1:29" x14ac:dyDescent="0.35">
      <c r="A1782" s="4">
        <v>42571</v>
      </c>
      <c r="B1782" t="s">
        <v>30</v>
      </c>
      <c r="C1782">
        <v>111</v>
      </c>
      <c r="D1782">
        <v>2</v>
      </c>
      <c r="E1782">
        <v>1</v>
      </c>
      <c r="F1782" t="s">
        <v>42</v>
      </c>
      <c r="G1782" t="s">
        <v>32</v>
      </c>
      <c r="H1782" t="s">
        <v>33</v>
      </c>
      <c r="I1782" t="s">
        <v>43</v>
      </c>
      <c r="J1782" t="s">
        <v>44</v>
      </c>
      <c r="K1782" t="s">
        <v>36</v>
      </c>
      <c r="L1782" t="s">
        <v>45</v>
      </c>
      <c r="M1782">
        <v>0</v>
      </c>
      <c r="N1782">
        <v>0</v>
      </c>
      <c r="O1782" s="5">
        <v>50348</v>
      </c>
      <c r="P1782" s="5">
        <v>50347</v>
      </c>
      <c r="Q1782">
        <f>35-14</f>
        <v>21</v>
      </c>
      <c r="R1782" t="s">
        <v>46</v>
      </c>
      <c r="S1782" t="s">
        <v>39</v>
      </c>
      <c r="T1782">
        <v>20</v>
      </c>
      <c r="U1782">
        <v>83</v>
      </c>
      <c r="V1782">
        <v>18</v>
      </c>
      <c r="Z1782" t="s">
        <v>39</v>
      </c>
      <c r="AB1782" t="s">
        <v>47</v>
      </c>
      <c r="AC1782" t="s">
        <v>41</v>
      </c>
    </row>
    <row r="1783" spans="1:29" x14ac:dyDescent="0.35">
      <c r="A1783" s="4">
        <v>42571</v>
      </c>
      <c r="B1783" t="s">
        <v>30</v>
      </c>
      <c r="C1783">
        <v>111</v>
      </c>
      <c r="D1783">
        <v>5</v>
      </c>
      <c r="E1783">
        <v>1</v>
      </c>
      <c r="F1783" t="s">
        <v>42</v>
      </c>
      <c r="G1783" t="s">
        <v>32</v>
      </c>
      <c r="H1783" t="s">
        <v>33</v>
      </c>
      <c r="I1783" t="s">
        <v>43</v>
      </c>
      <c r="J1783" t="s">
        <v>44</v>
      </c>
      <c r="K1783" t="s">
        <v>36</v>
      </c>
      <c r="L1783" t="s">
        <v>37</v>
      </c>
      <c r="M1783">
        <v>0</v>
      </c>
      <c r="N1783">
        <v>0</v>
      </c>
      <c r="O1783" s="5">
        <v>50475</v>
      </c>
      <c r="P1783" s="5">
        <v>50308</v>
      </c>
      <c r="Q1783">
        <f>32.5-11.5</f>
        <v>21</v>
      </c>
      <c r="R1783" t="s">
        <v>38</v>
      </c>
      <c r="T1783">
        <v>18</v>
      </c>
      <c r="U1783">
        <v>85</v>
      </c>
      <c r="V1783">
        <v>17</v>
      </c>
      <c r="W1783">
        <v>13.3</v>
      </c>
      <c r="X1783">
        <v>30.1</v>
      </c>
      <c r="Z1783" t="s">
        <v>39</v>
      </c>
      <c r="AB1783" t="s">
        <v>47</v>
      </c>
      <c r="AC1783" t="s">
        <v>41</v>
      </c>
    </row>
    <row r="1784" spans="1:29" x14ac:dyDescent="0.35">
      <c r="A1784" s="4">
        <v>42571</v>
      </c>
      <c r="B1784" t="s">
        <v>30</v>
      </c>
      <c r="C1784">
        <v>112</v>
      </c>
      <c r="D1784">
        <v>8</v>
      </c>
      <c r="E1784">
        <v>1</v>
      </c>
      <c r="F1784" t="s">
        <v>42</v>
      </c>
      <c r="G1784" t="s">
        <v>32</v>
      </c>
      <c r="H1784" t="s">
        <v>33</v>
      </c>
      <c r="I1784" t="s">
        <v>43</v>
      </c>
      <c r="J1784" t="s">
        <v>44</v>
      </c>
      <c r="K1784" t="s">
        <v>36</v>
      </c>
      <c r="L1784" t="s">
        <v>37</v>
      </c>
      <c r="M1784">
        <v>0</v>
      </c>
      <c r="N1784">
        <v>0</v>
      </c>
      <c r="O1784" s="5">
        <v>50497</v>
      </c>
      <c r="P1784" s="5">
        <v>50496</v>
      </c>
      <c r="Q1784">
        <f>29-11</f>
        <v>18</v>
      </c>
      <c r="R1784">
        <v>25.2</v>
      </c>
      <c r="T1784">
        <v>19</v>
      </c>
      <c r="U1784">
        <v>80</v>
      </c>
      <c r="V1784">
        <v>17</v>
      </c>
      <c r="W1784">
        <v>13.1</v>
      </c>
      <c r="X1784">
        <v>25.2</v>
      </c>
      <c r="Z1784" t="s">
        <v>39</v>
      </c>
      <c r="AB1784" t="s">
        <v>47</v>
      </c>
      <c r="AC1784" t="s">
        <v>41</v>
      </c>
    </row>
    <row r="1785" spans="1:29" x14ac:dyDescent="0.35">
      <c r="A1785" s="4">
        <v>42571</v>
      </c>
      <c r="B1785" t="s">
        <v>30</v>
      </c>
      <c r="C1785">
        <v>113</v>
      </c>
      <c r="D1785">
        <v>7</v>
      </c>
      <c r="E1785">
        <v>1</v>
      </c>
      <c r="F1785" t="s">
        <v>42</v>
      </c>
      <c r="G1785" t="s">
        <v>32</v>
      </c>
      <c r="H1785" t="s">
        <v>33</v>
      </c>
      <c r="I1785" t="s">
        <v>43</v>
      </c>
      <c r="J1785" t="s">
        <v>44</v>
      </c>
      <c r="K1785" t="s">
        <v>113</v>
      </c>
      <c r="L1785" t="s">
        <v>45</v>
      </c>
      <c r="M1785">
        <v>0</v>
      </c>
      <c r="N1785">
        <v>0</v>
      </c>
      <c r="O1785" s="5">
        <v>50520</v>
      </c>
      <c r="P1785" s="5">
        <v>50519</v>
      </c>
      <c r="Q1785">
        <f>28-9.5</f>
        <v>18.5</v>
      </c>
      <c r="R1785" t="s">
        <v>74</v>
      </c>
      <c r="S1785" t="s">
        <v>102</v>
      </c>
      <c r="T1785">
        <v>18</v>
      </c>
      <c r="U1785">
        <v>84</v>
      </c>
      <c r="V1785">
        <v>17</v>
      </c>
      <c r="W1785">
        <v>12.65</v>
      </c>
      <c r="X1785">
        <v>27.25</v>
      </c>
      <c r="Z1785" t="s">
        <v>39</v>
      </c>
      <c r="AB1785" t="s">
        <v>47</v>
      </c>
      <c r="AC1785" t="s">
        <v>41</v>
      </c>
    </row>
    <row r="1786" spans="1:29" x14ac:dyDescent="0.35">
      <c r="A1786" s="4">
        <v>42571</v>
      </c>
      <c r="B1786" t="s">
        <v>30</v>
      </c>
      <c r="C1786">
        <v>111</v>
      </c>
      <c r="D1786">
        <v>9</v>
      </c>
      <c r="E1786">
        <v>1</v>
      </c>
      <c r="F1786" t="s">
        <v>42</v>
      </c>
      <c r="G1786" t="s">
        <v>32</v>
      </c>
      <c r="H1786" t="s">
        <v>33</v>
      </c>
      <c r="I1786" t="s">
        <v>43</v>
      </c>
      <c r="J1786" t="s">
        <v>44</v>
      </c>
      <c r="K1786" t="s">
        <v>113</v>
      </c>
      <c r="L1786" t="s">
        <v>37</v>
      </c>
      <c r="M1786">
        <v>0</v>
      </c>
      <c r="N1786">
        <v>0</v>
      </c>
      <c r="O1786" s="5">
        <v>50530</v>
      </c>
      <c r="P1786" s="5">
        <v>50529</v>
      </c>
      <c r="Q1786">
        <f>27-9.5</f>
        <v>17.5</v>
      </c>
      <c r="R1786" t="s">
        <v>64</v>
      </c>
      <c r="T1786">
        <v>18</v>
      </c>
      <c r="V1786">
        <v>17</v>
      </c>
      <c r="W1786">
        <v>12.6</v>
      </c>
      <c r="X1786">
        <v>27.7</v>
      </c>
      <c r="Y1786" t="s">
        <v>239</v>
      </c>
      <c r="Z1786" t="s">
        <v>39</v>
      </c>
      <c r="AB1786" t="s">
        <v>47</v>
      </c>
      <c r="AC1786" t="s">
        <v>41</v>
      </c>
    </row>
    <row r="1787" spans="1:29" x14ac:dyDescent="0.35">
      <c r="A1787" s="4">
        <v>42571</v>
      </c>
      <c r="B1787" t="s">
        <v>30</v>
      </c>
      <c r="C1787">
        <v>113</v>
      </c>
      <c r="D1787">
        <v>9</v>
      </c>
      <c r="E1787">
        <v>1</v>
      </c>
      <c r="F1787" t="s">
        <v>42</v>
      </c>
      <c r="G1787" t="s">
        <v>32</v>
      </c>
      <c r="H1787" t="s">
        <v>33</v>
      </c>
      <c r="I1787" t="s">
        <v>43</v>
      </c>
      <c r="J1787" t="s">
        <v>44</v>
      </c>
      <c r="K1787" t="s">
        <v>36</v>
      </c>
      <c r="L1787" t="s">
        <v>37</v>
      </c>
      <c r="M1787">
        <v>0</v>
      </c>
      <c r="N1787">
        <v>0</v>
      </c>
      <c r="O1787" s="5">
        <v>50559</v>
      </c>
      <c r="P1787" s="5">
        <v>50558</v>
      </c>
      <c r="Q1787">
        <v>20</v>
      </c>
      <c r="R1787" t="s">
        <v>38</v>
      </c>
      <c r="T1787">
        <v>20</v>
      </c>
      <c r="U1787">
        <v>82</v>
      </c>
      <c r="V1787">
        <v>18.5</v>
      </c>
      <c r="W1787">
        <v>13.4</v>
      </c>
      <c r="X1787">
        <v>29.2</v>
      </c>
      <c r="Z1787" t="s">
        <v>39</v>
      </c>
      <c r="AB1787" t="s">
        <v>47</v>
      </c>
      <c r="AC1787" t="s">
        <v>41</v>
      </c>
    </row>
    <row r="1788" spans="1:29" x14ac:dyDescent="0.35">
      <c r="A1788" s="4">
        <v>42571</v>
      </c>
      <c r="B1788" t="s">
        <v>30</v>
      </c>
      <c r="C1788">
        <v>112</v>
      </c>
      <c r="D1788">
        <v>4</v>
      </c>
      <c r="E1788">
        <v>2</v>
      </c>
      <c r="F1788" t="s">
        <v>42</v>
      </c>
      <c r="G1788" t="s">
        <v>32</v>
      </c>
      <c r="H1788" t="s">
        <v>33</v>
      </c>
      <c r="I1788" t="s">
        <v>43</v>
      </c>
      <c r="J1788" t="s">
        <v>44</v>
      </c>
      <c r="K1788" t="s">
        <v>36</v>
      </c>
      <c r="L1788" t="s">
        <v>37</v>
      </c>
      <c r="M1788">
        <v>0</v>
      </c>
      <c r="N1788">
        <v>0</v>
      </c>
      <c r="O1788" s="5">
        <v>50574</v>
      </c>
      <c r="P1788" s="5">
        <v>50573</v>
      </c>
      <c r="Q1788">
        <f>32.5-11.5</f>
        <v>21</v>
      </c>
      <c r="R1788" t="s">
        <v>38</v>
      </c>
      <c r="T1788">
        <v>20</v>
      </c>
      <c r="U1788">
        <v>93</v>
      </c>
      <c r="V1788">
        <v>15.5</v>
      </c>
      <c r="W1788">
        <v>13.3</v>
      </c>
      <c r="X1788">
        <v>27.65</v>
      </c>
      <c r="Z1788" t="s">
        <v>39</v>
      </c>
      <c r="AB1788" t="s">
        <v>47</v>
      </c>
      <c r="AC1788" t="s">
        <v>41</v>
      </c>
    </row>
    <row r="1789" spans="1:29" x14ac:dyDescent="0.35">
      <c r="A1789" s="4">
        <v>42571</v>
      </c>
      <c r="B1789" t="s">
        <v>30</v>
      </c>
      <c r="C1789">
        <v>112</v>
      </c>
      <c r="D1789">
        <v>5</v>
      </c>
      <c r="E1789">
        <v>1</v>
      </c>
      <c r="F1789" t="s">
        <v>42</v>
      </c>
      <c r="G1789" t="s">
        <v>32</v>
      </c>
      <c r="H1789" t="s">
        <v>33</v>
      </c>
      <c r="I1789" t="s">
        <v>43</v>
      </c>
      <c r="J1789" t="s">
        <v>44</v>
      </c>
      <c r="K1789" t="s">
        <v>36</v>
      </c>
      <c r="L1789" t="s">
        <v>37</v>
      </c>
      <c r="M1789">
        <v>0</v>
      </c>
      <c r="N1789">
        <v>0</v>
      </c>
      <c r="O1789" s="5">
        <v>50595</v>
      </c>
      <c r="P1789" s="5">
        <v>50594</v>
      </c>
      <c r="Q1789">
        <f>34.5-13</f>
        <v>21.5</v>
      </c>
      <c r="R1789" t="s">
        <v>38</v>
      </c>
      <c r="T1789">
        <v>20</v>
      </c>
      <c r="U1789">
        <v>86</v>
      </c>
      <c r="V1789">
        <v>17</v>
      </c>
      <c r="Y1789" t="s">
        <v>240</v>
      </c>
      <c r="Z1789" t="s">
        <v>39</v>
      </c>
      <c r="AB1789" t="s">
        <v>47</v>
      </c>
      <c r="AC1789" t="s">
        <v>41</v>
      </c>
    </row>
    <row r="1790" spans="1:29" x14ac:dyDescent="0.35">
      <c r="A1790" s="4">
        <v>42571</v>
      </c>
      <c r="B1790" t="s">
        <v>30</v>
      </c>
      <c r="C1790">
        <v>111</v>
      </c>
      <c r="D1790">
        <v>3</v>
      </c>
      <c r="E1790">
        <v>2</v>
      </c>
      <c r="F1790" t="s">
        <v>42</v>
      </c>
      <c r="G1790" t="s">
        <v>32</v>
      </c>
      <c r="H1790" t="s">
        <v>33</v>
      </c>
      <c r="I1790" t="s">
        <v>43</v>
      </c>
      <c r="J1790" t="s">
        <v>44</v>
      </c>
      <c r="K1790" t="s">
        <v>36</v>
      </c>
      <c r="L1790" t="s">
        <v>37</v>
      </c>
      <c r="M1790">
        <v>0</v>
      </c>
      <c r="N1790">
        <v>0</v>
      </c>
      <c r="O1790" s="5">
        <v>50602</v>
      </c>
      <c r="P1790" s="5">
        <v>50601</v>
      </c>
      <c r="Q1790">
        <v>22</v>
      </c>
      <c r="R1790" t="s">
        <v>38</v>
      </c>
      <c r="T1790">
        <v>18</v>
      </c>
      <c r="U1790">
        <v>91</v>
      </c>
      <c r="V1790">
        <v>17</v>
      </c>
      <c r="W1790">
        <v>13.3</v>
      </c>
      <c r="X1790">
        <v>27.5</v>
      </c>
      <c r="Z1790" t="s">
        <v>39</v>
      </c>
      <c r="AB1790" t="s">
        <v>47</v>
      </c>
      <c r="AC1790" t="s">
        <v>41</v>
      </c>
    </row>
    <row r="1791" spans="1:29" x14ac:dyDescent="0.35">
      <c r="A1791" s="4">
        <v>42571</v>
      </c>
      <c r="B1791" t="s">
        <v>30</v>
      </c>
      <c r="C1791">
        <v>112</v>
      </c>
      <c r="D1791">
        <v>2</v>
      </c>
      <c r="E1791">
        <v>1</v>
      </c>
      <c r="F1791" t="s">
        <v>42</v>
      </c>
      <c r="G1791" t="s">
        <v>32</v>
      </c>
      <c r="H1791" t="s">
        <v>33</v>
      </c>
      <c r="I1791" t="s">
        <v>43</v>
      </c>
      <c r="J1791" t="s">
        <v>44</v>
      </c>
      <c r="K1791" t="s">
        <v>113</v>
      </c>
      <c r="L1791" t="s">
        <v>45</v>
      </c>
      <c r="M1791">
        <v>0</v>
      </c>
      <c r="N1791">
        <v>0</v>
      </c>
      <c r="O1791" s="5">
        <v>50709</v>
      </c>
      <c r="P1791" s="5">
        <v>50708</v>
      </c>
      <c r="Q1791">
        <v>17</v>
      </c>
      <c r="R1791" t="s">
        <v>46</v>
      </c>
      <c r="S1791" t="s">
        <v>39</v>
      </c>
      <c r="T1791">
        <v>19</v>
      </c>
      <c r="U1791">
        <v>86.5</v>
      </c>
      <c r="V1791">
        <v>15</v>
      </c>
      <c r="W1791">
        <v>12.75</v>
      </c>
      <c r="X1791">
        <v>25.6</v>
      </c>
      <c r="Z1791" t="s">
        <v>39</v>
      </c>
      <c r="AB1791" t="s">
        <v>47</v>
      </c>
      <c r="AC1791" t="s">
        <v>41</v>
      </c>
    </row>
    <row r="1792" spans="1:29" x14ac:dyDescent="0.35">
      <c r="A1792" s="4">
        <v>42571</v>
      </c>
      <c r="B1792" t="s">
        <v>30</v>
      </c>
      <c r="C1792">
        <v>113</v>
      </c>
      <c r="D1792">
        <v>3</v>
      </c>
      <c r="E1792">
        <v>1</v>
      </c>
      <c r="F1792" t="s">
        <v>42</v>
      </c>
      <c r="G1792" t="s">
        <v>32</v>
      </c>
      <c r="H1792" t="s">
        <v>33</v>
      </c>
      <c r="I1792" t="s">
        <v>43</v>
      </c>
      <c r="J1792" t="s">
        <v>44</v>
      </c>
      <c r="K1792" t="s">
        <v>113</v>
      </c>
      <c r="L1792" t="s">
        <v>45</v>
      </c>
      <c r="M1792">
        <v>0</v>
      </c>
      <c r="N1792">
        <v>0</v>
      </c>
      <c r="O1792" s="5">
        <v>50712</v>
      </c>
      <c r="P1792" s="5">
        <v>50711</v>
      </c>
      <c r="Q1792">
        <f>26.5-9.5</f>
        <v>17</v>
      </c>
      <c r="R1792" t="s">
        <v>46</v>
      </c>
      <c r="S1792" t="s">
        <v>39</v>
      </c>
      <c r="T1792">
        <v>18</v>
      </c>
      <c r="U1792">
        <v>90.5</v>
      </c>
      <c r="V1792">
        <v>17</v>
      </c>
      <c r="W1792">
        <v>12.6</v>
      </c>
      <c r="X1792">
        <v>25.9</v>
      </c>
      <c r="Z1792" t="s">
        <v>39</v>
      </c>
      <c r="AB1792" t="s">
        <v>47</v>
      </c>
      <c r="AC1792" t="s">
        <v>41</v>
      </c>
    </row>
    <row r="1793" spans="1:29" x14ac:dyDescent="0.35">
      <c r="A1793" s="4">
        <v>42571</v>
      </c>
      <c r="B1793" t="s">
        <v>30</v>
      </c>
      <c r="C1793">
        <v>113</v>
      </c>
      <c r="D1793">
        <v>10</v>
      </c>
      <c r="E1793">
        <v>2</v>
      </c>
      <c r="F1793" t="s">
        <v>42</v>
      </c>
      <c r="G1793" t="s">
        <v>32</v>
      </c>
      <c r="H1793" t="s">
        <v>33</v>
      </c>
      <c r="I1793" t="s">
        <v>43</v>
      </c>
      <c r="J1793" t="s">
        <v>44</v>
      </c>
      <c r="K1793" t="s">
        <v>113</v>
      </c>
      <c r="L1793" t="s">
        <v>37</v>
      </c>
      <c r="M1793">
        <v>0</v>
      </c>
      <c r="N1793">
        <v>0</v>
      </c>
      <c r="O1793" s="5">
        <v>50716</v>
      </c>
      <c r="P1793" s="5">
        <v>50715</v>
      </c>
      <c r="Q1793">
        <f>28-10.5</f>
        <v>17.5</v>
      </c>
      <c r="R1793" t="s">
        <v>64</v>
      </c>
      <c r="T1793">
        <v>18</v>
      </c>
      <c r="U1793">
        <v>82</v>
      </c>
      <c r="V1793">
        <v>15</v>
      </c>
      <c r="W1793">
        <v>13</v>
      </c>
      <c r="X1793">
        <v>25.6</v>
      </c>
      <c r="Z1793" t="s">
        <v>39</v>
      </c>
      <c r="AB1793" t="s">
        <v>47</v>
      </c>
      <c r="AC1793" t="s">
        <v>41</v>
      </c>
    </row>
    <row r="1794" spans="1:29" x14ac:dyDescent="0.35">
      <c r="A1794" s="4">
        <v>42571</v>
      </c>
      <c r="B1794" t="s">
        <v>30</v>
      </c>
      <c r="C1794">
        <v>111</v>
      </c>
      <c r="D1794">
        <v>7</v>
      </c>
      <c r="E1794">
        <v>1</v>
      </c>
      <c r="F1794" t="s">
        <v>42</v>
      </c>
      <c r="G1794" t="s">
        <v>32</v>
      </c>
      <c r="H1794" t="s">
        <v>33</v>
      </c>
      <c r="I1794" t="s">
        <v>43</v>
      </c>
      <c r="J1794" t="s">
        <v>35</v>
      </c>
      <c r="K1794" t="s">
        <v>113</v>
      </c>
      <c r="L1794" t="s">
        <v>37</v>
      </c>
      <c r="M1794">
        <v>0</v>
      </c>
      <c r="N1794">
        <v>0</v>
      </c>
      <c r="O1794" s="5">
        <v>50719</v>
      </c>
      <c r="P1794" s="5">
        <v>50718</v>
      </c>
      <c r="Q1794">
        <f>28-11</f>
        <v>17</v>
      </c>
      <c r="R1794" t="s">
        <v>64</v>
      </c>
      <c r="T1794">
        <v>19</v>
      </c>
      <c r="U1794">
        <v>86</v>
      </c>
      <c r="V1794">
        <v>18</v>
      </c>
      <c r="W1794">
        <v>12.3</v>
      </c>
      <c r="X1794">
        <v>26.8</v>
      </c>
      <c r="Z1794" t="s">
        <v>39</v>
      </c>
      <c r="AB1794" t="s">
        <v>47</v>
      </c>
      <c r="AC1794" t="s">
        <v>41</v>
      </c>
    </row>
    <row r="1795" spans="1:29" x14ac:dyDescent="0.35">
      <c r="A1795" s="4">
        <v>42571</v>
      </c>
      <c r="B1795" t="s">
        <v>30</v>
      </c>
      <c r="C1795">
        <v>111</v>
      </c>
      <c r="D1795">
        <v>10</v>
      </c>
      <c r="E1795">
        <v>2</v>
      </c>
      <c r="F1795" t="s">
        <v>42</v>
      </c>
      <c r="G1795" t="s">
        <v>32</v>
      </c>
      <c r="H1795" t="s">
        <v>33</v>
      </c>
      <c r="I1795" t="s">
        <v>43</v>
      </c>
      <c r="J1795" t="s">
        <v>35</v>
      </c>
      <c r="K1795" t="s">
        <v>88</v>
      </c>
      <c r="L1795" t="s">
        <v>45</v>
      </c>
      <c r="M1795">
        <v>0</v>
      </c>
      <c r="N1795">
        <v>1</v>
      </c>
      <c r="O1795" s="5">
        <v>50721</v>
      </c>
      <c r="P1795" s="5">
        <v>50720</v>
      </c>
      <c r="Q1795">
        <f>21.5-9</f>
        <v>12.5</v>
      </c>
      <c r="R1795" t="s">
        <v>46</v>
      </c>
      <c r="S1795" t="s">
        <v>39</v>
      </c>
      <c r="T1795">
        <v>18</v>
      </c>
      <c r="V1795">
        <v>16</v>
      </c>
      <c r="W1795">
        <v>12.4</v>
      </c>
      <c r="X1795">
        <v>25.7</v>
      </c>
      <c r="Z1795" t="s">
        <v>39</v>
      </c>
      <c r="AB1795" t="s">
        <v>47</v>
      </c>
      <c r="AC1795" t="s">
        <v>41</v>
      </c>
    </row>
    <row r="1796" spans="1:29" x14ac:dyDescent="0.35">
      <c r="A1796" s="4">
        <v>42571</v>
      </c>
      <c r="B1796" t="s">
        <v>30</v>
      </c>
      <c r="C1796">
        <v>202</v>
      </c>
      <c r="D1796">
        <v>2</v>
      </c>
      <c r="E1796">
        <v>1</v>
      </c>
      <c r="F1796" t="s">
        <v>31</v>
      </c>
      <c r="G1796" t="s">
        <v>32</v>
      </c>
      <c r="H1796" t="s">
        <v>33</v>
      </c>
      <c r="I1796" t="s">
        <v>43</v>
      </c>
      <c r="J1796" t="s">
        <v>35</v>
      </c>
      <c r="K1796" t="s">
        <v>88</v>
      </c>
      <c r="L1796" t="s">
        <v>45</v>
      </c>
      <c r="M1796">
        <v>0</v>
      </c>
      <c r="N1796">
        <v>1</v>
      </c>
      <c r="O1796" s="5">
        <v>50778</v>
      </c>
      <c r="P1796" s="5">
        <v>50777</v>
      </c>
      <c r="Q1796">
        <f>26.5-11.5</f>
        <v>15</v>
      </c>
      <c r="R1796" t="s">
        <v>46</v>
      </c>
      <c r="S1796" t="s">
        <v>39</v>
      </c>
      <c r="T1796">
        <v>19</v>
      </c>
      <c r="V1796">
        <v>14</v>
      </c>
      <c r="W1796">
        <v>12.7</v>
      </c>
      <c r="X1796">
        <v>26.5</v>
      </c>
      <c r="Z1796" t="s">
        <v>39</v>
      </c>
      <c r="AB1796" t="s">
        <v>86</v>
      </c>
      <c r="AC1796" t="s">
        <v>76</v>
      </c>
    </row>
    <row r="1797" spans="1:29" x14ac:dyDescent="0.35">
      <c r="A1797" s="4">
        <v>42571</v>
      </c>
      <c r="B1797" t="s">
        <v>30</v>
      </c>
      <c r="C1797">
        <v>202</v>
      </c>
      <c r="D1797">
        <v>5</v>
      </c>
      <c r="E1797">
        <v>2</v>
      </c>
      <c r="F1797" t="s">
        <v>31</v>
      </c>
      <c r="G1797" t="s">
        <v>32</v>
      </c>
      <c r="H1797" t="s">
        <v>33</v>
      </c>
      <c r="I1797" t="s">
        <v>43</v>
      </c>
      <c r="J1797" t="s">
        <v>44</v>
      </c>
      <c r="K1797" t="s">
        <v>113</v>
      </c>
      <c r="L1797" t="s">
        <v>37</v>
      </c>
      <c r="M1797">
        <v>0</v>
      </c>
      <c r="N1797">
        <v>0</v>
      </c>
      <c r="O1797" s="5">
        <v>50788</v>
      </c>
      <c r="P1797" s="5">
        <v>50787</v>
      </c>
      <c r="Q1797">
        <f>24.5-9</f>
        <v>15.5</v>
      </c>
      <c r="R1797" t="s">
        <v>64</v>
      </c>
      <c r="T1797">
        <v>20</v>
      </c>
      <c r="U1797">
        <v>77</v>
      </c>
      <c r="V1797">
        <v>14</v>
      </c>
      <c r="W1797">
        <v>12.8</v>
      </c>
      <c r="X1797">
        <v>26.4</v>
      </c>
      <c r="Z1797" t="s">
        <v>102</v>
      </c>
      <c r="AB1797" t="s">
        <v>86</v>
      </c>
      <c r="AC1797" t="s">
        <v>76</v>
      </c>
    </row>
    <row r="1798" spans="1:29" x14ac:dyDescent="0.35">
      <c r="A1798" s="4">
        <v>42571</v>
      </c>
      <c r="B1798" t="s">
        <v>30</v>
      </c>
      <c r="C1798">
        <v>112</v>
      </c>
      <c r="D1798">
        <v>7</v>
      </c>
      <c r="E1798">
        <v>2</v>
      </c>
      <c r="F1798" t="s">
        <v>42</v>
      </c>
      <c r="G1798" t="s">
        <v>32</v>
      </c>
      <c r="H1798" t="s">
        <v>33</v>
      </c>
      <c r="I1798" t="s">
        <v>43</v>
      </c>
      <c r="J1798" t="s">
        <v>35</v>
      </c>
      <c r="K1798" t="s">
        <v>113</v>
      </c>
      <c r="L1798" t="s">
        <v>45</v>
      </c>
      <c r="M1798">
        <v>0</v>
      </c>
      <c r="N1798">
        <v>1</v>
      </c>
      <c r="O1798" s="5">
        <v>50804</v>
      </c>
      <c r="P1798" s="5">
        <v>50803</v>
      </c>
      <c r="Q1798">
        <f>33-10.5</f>
        <v>22.5</v>
      </c>
      <c r="R1798" t="s">
        <v>77</v>
      </c>
      <c r="S1798" t="s">
        <v>102</v>
      </c>
      <c r="T1798">
        <v>19</v>
      </c>
      <c r="U1798">
        <v>93</v>
      </c>
      <c r="V1798">
        <v>17</v>
      </c>
      <c r="W1798">
        <v>12.9</v>
      </c>
      <c r="X1798">
        <v>28</v>
      </c>
      <c r="Z1798" t="s">
        <v>39</v>
      </c>
      <c r="AB1798" t="s">
        <v>47</v>
      </c>
      <c r="AC1798" t="s">
        <v>41</v>
      </c>
    </row>
    <row r="1799" spans="1:29" x14ac:dyDescent="0.35">
      <c r="A1799" s="4">
        <v>42571</v>
      </c>
      <c r="B1799" t="s">
        <v>30</v>
      </c>
      <c r="C1799">
        <v>201</v>
      </c>
      <c r="D1799">
        <v>5</v>
      </c>
      <c r="E1799">
        <v>2</v>
      </c>
      <c r="F1799" t="s">
        <v>31</v>
      </c>
      <c r="G1799" t="s">
        <v>32</v>
      </c>
      <c r="H1799" t="s">
        <v>33</v>
      </c>
      <c r="I1799" t="s">
        <v>43</v>
      </c>
      <c r="J1799" t="s">
        <v>241</v>
      </c>
      <c r="K1799" t="s">
        <v>242</v>
      </c>
      <c r="O1799" s="5"/>
      <c r="P1799" s="5"/>
    </row>
    <row r="1800" spans="1:29" x14ac:dyDescent="0.35">
      <c r="A1800" s="4">
        <v>42571</v>
      </c>
      <c r="B1800" t="s">
        <v>30</v>
      </c>
      <c r="C1800">
        <v>111</v>
      </c>
      <c r="D1800">
        <v>8</v>
      </c>
      <c r="E1800">
        <v>1</v>
      </c>
      <c r="F1800" t="s">
        <v>42</v>
      </c>
      <c r="G1800" t="s">
        <v>32</v>
      </c>
      <c r="H1800" t="s">
        <v>33</v>
      </c>
      <c r="I1800" t="s">
        <v>43</v>
      </c>
      <c r="J1800" t="s">
        <v>122</v>
      </c>
      <c r="O1800" s="5"/>
      <c r="P1800" s="5"/>
    </row>
    <row r="1801" spans="1:29" x14ac:dyDescent="0.35">
      <c r="A1801" s="4">
        <v>42571</v>
      </c>
      <c r="B1801" t="s">
        <v>30</v>
      </c>
      <c r="C1801">
        <v>402</v>
      </c>
      <c r="D1801">
        <v>9</v>
      </c>
      <c r="E1801">
        <v>1</v>
      </c>
      <c r="F1801" t="s">
        <v>42</v>
      </c>
      <c r="G1801" t="s">
        <v>32</v>
      </c>
      <c r="H1801" t="s">
        <v>33</v>
      </c>
      <c r="I1801" t="s">
        <v>43</v>
      </c>
      <c r="J1801" t="s">
        <v>241</v>
      </c>
      <c r="O1801" s="5"/>
      <c r="P1801" s="5"/>
    </row>
    <row r="1802" spans="1:29" x14ac:dyDescent="0.35">
      <c r="A1802" s="4">
        <v>42571</v>
      </c>
      <c r="B1802" t="s">
        <v>30</v>
      </c>
      <c r="C1802">
        <v>113</v>
      </c>
      <c r="D1802">
        <v>9</v>
      </c>
      <c r="E1802">
        <v>2</v>
      </c>
      <c r="F1802" t="s">
        <v>42</v>
      </c>
      <c r="G1802" t="s">
        <v>32</v>
      </c>
      <c r="H1802" t="s">
        <v>33</v>
      </c>
      <c r="I1802" t="s">
        <v>34</v>
      </c>
      <c r="J1802" t="s">
        <v>44</v>
      </c>
      <c r="K1802" t="s">
        <v>36</v>
      </c>
      <c r="L1802" t="s">
        <v>37</v>
      </c>
      <c r="M1802">
        <v>0</v>
      </c>
      <c r="N1802">
        <v>0</v>
      </c>
      <c r="O1802" s="5">
        <v>50482</v>
      </c>
      <c r="P1802" s="5"/>
      <c r="Q1802">
        <f>190-117</f>
        <v>73</v>
      </c>
      <c r="R1802" t="s">
        <v>38</v>
      </c>
      <c r="T1802">
        <v>27</v>
      </c>
      <c r="W1802">
        <v>21.8</v>
      </c>
      <c r="X1802">
        <v>41.2</v>
      </c>
      <c r="Z1802" t="s">
        <v>39</v>
      </c>
      <c r="AB1802" t="s">
        <v>47</v>
      </c>
      <c r="AC1802" t="s">
        <v>41</v>
      </c>
    </row>
    <row r="1803" spans="1:29" x14ac:dyDescent="0.35">
      <c r="A1803" s="4">
        <v>42571</v>
      </c>
      <c r="B1803" t="s">
        <v>30</v>
      </c>
      <c r="C1803">
        <v>304</v>
      </c>
      <c r="D1803">
        <v>4</v>
      </c>
      <c r="E1803">
        <v>1</v>
      </c>
      <c r="F1803" t="s">
        <v>31</v>
      </c>
      <c r="G1803" t="s">
        <v>32</v>
      </c>
      <c r="H1803" t="s">
        <v>33</v>
      </c>
      <c r="I1803" t="s">
        <v>75</v>
      </c>
      <c r="J1803" t="s">
        <v>241</v>
      </c>
      <c r="O1803" s="5"/>
      <c r="P1803" s="5"/>
    </row>
    <row r="1804" spans="1:29" x14ac:dyDescent="0.35">
      <c r="A1804" s="4">
        <v>42571</v>
      </c>
      <c r="B1804" t="s">
        <v>30</v>
      </c>
      <c r="C1804">
        <v>402</v>
      </c>
      <c r="D1804">
        <v>1</v>
      </c>
      <c r="E1804">
        <v>1</v>
      </c>
      <c r="F1804" t="s">
        <v>42</v>
      </c>
      <c r="G1804" t="s">
        <v>32</v>
      </c>
      <c r="H1804" t="s">
        <v>33</v>
      </c>
      <c r="I1804" t="s">
        <v>58</v>
      </c>
      <c r="J1804" t="s">
        <v>35</v>
      </c>
      <c r="K1804" t="s">
        <v>36</v>
      </c>
      <c r="L1804" t="s">
        <v>45</v>
      </c>
      <c r="M1804">
        <v>0</v>
      </c>
      <c r="N1804">
        <v>1</v>
      </c>
      <c r="O1804" s="5">
        <v>50806</v>
      </c>
      <c r="P1804" s="5"/>
      <c r="Q1804">
        <f>33-12.5</f>
        <v>20.5</v>
      </c>
      <c r="R1804" t="s">
        <v>79</v>
      </c>
      <c r="S1804" t="s">
        <v>39</v>
      </c>
      <c r="T1804">
        <v>16</v>
      </c>
      <c r="W1804">
        <v>12.55</v>
      </c>
      <c r="X1804">
        <v>24.6</v>
      </c>
      <c r="Z1804" t="s">
        <v>102</v>
      </c>
      <c r="AA1804" t="s">
        <v>243</v>
      </c>
      <c r="AB1804" t="s">
        <v>47</v>
      </c>
      <c r="AC1804" t="s">
        <v>41</v>
      </c>
    </row>
    <row r="1805" spans="1:29" x14ac:dyDescent="0.35">
      <c r="A1805" s="4">
        <v>42571</v>
      </c>
      <c r="B1805" t="s">
        <v>30</v>
      </c>
      <c r="C1805">
        <v>402</v>
      </c>
      <c r="D1805">
        <v>1</v>
      </c>
      <c r="E1805">
        <v>2</v>
      </c>
      <c r="F1805" t="s">
        <v>42</v>
      </c>
      <c r="G1805" t="s">
        <v>32</v>
      </c>
      <c r="H1805" t="s">
        <v>33</v>
      </c>
      <c r="I1805" t="s">
        <v>58</v>
      </c>
      <c r="J1805" t="s">
        <v>35</v>
      </c>
      <c r="K1805" t="s">
        <v>36</v>
      </c>
      <c r="L1805" t="s">
        <v>37</v>
      </c>
      <c r="M1805">
        <v>0</v>
      </c>
      <c r="N1805">
        <v>1</v>
      </c>
      <c r="O1805" s="5">
        <v>50807</v>
      </c>
      <c r="P1805" s="5"/>
      <c r="Q1805">
        <v>22</v>
      </c>
      <c r="R1805" t="s">
        <v>64</v>
      </c>
      <c r="T1805">
        <v>16</v>
      </c>
      <c r="Z1805" t="s">
        <v>102</v>
      </c>
      <c r="AA1805" t="s">
        <v>244</v>
      </c>
      <c r="AB1805" t="s">
        <v>47</v>
      </c>
      <c r="AC1805" t="s">
        <v>41</v>
      </c>
    </row>
    <row r="1806" spans="1:29" x14ac:dyDescent="0.35">
      <c r="A1806" s="4">
        <v>42571</v>
      </c>
      <c r="B1806" t="s">
        <v>30</v>
      </c>
      <c r="C1806">
        <v>203</v>
      </c>
      <c r="D1806">
        <v>1</v>
      </c>
      <c r="E1806">
        <v>1</v>
      </c>
      <c r="F1806" t="s">
        <v>31</v>
      </c>
      <c r="G1806" t="s">
        <v>32</v>
      </c>
      <c r="H1806" t="s">
        <v>33</v>
      </c>
      <c r="I1806" t="s">
        <v>55</v>
      </c>
      <c r="J1806" t="s">
        <v>66</v>
      </c>
      <c r="O1806" s="5"/>
      <c r="P1806" s="5"/>
    </row>
    <row r="1807" spans="1:29" x14ac:dyDescent="0.35">
      <c r="A1807" s="4">
        <v>42571</v>
      </c>
      <c r="B1807" t="s">
        <v>30</v>
      </c>
      <c r="C1807">
        <v>304</v>
      </c>
      <c r="D1807">
        <v>3</v>
      </c>
      <c r="E1807">
        <v>1</v>
      </c>
      <c r="F1807" t="s">
        <v>31</v>
      </c>
      <c r="G1807" t="s">
        <v>32</v>
      </c>
      <c r="H1807" t="s">
        <v>33</v>
      </c>
      <c r="I1807" t="s">
        <v>55</v>
      </c>
      <c r="J1807" t="s">
        <v>66</v>
      </c>
      <c r="O1807" s="5"/>
      <c r="P1807" s="5"/>
    </row>
    <row r="1808" spans="1:29" x14ac:dyDescent="0.35">
      <c r="A1808" s="4">
        <v>42571</v>
      </c>
      <c r="B1808" t="s">
        <v>30</v>
      </c>
      <c r="C1808">
        <v>304</v>
      </c>
      <c r="D1808">
        <v>10</v>
      </c>
      <c r="E1808">
        <v>1</v>
      </c>
      <c r="F1808" t="s">
        <v>31</v>
      </c>
      <c r="G1808" t="s">
        <v>32</v>
      </c>
      <c r="H1808" t="s">
        <v>33</v>
      </c>
      <c r="I1808" t="s">
        <v>55</v>
      </c>
      <c r="J1808" t="s">
        <v>66</v>
      </c>
      <c r="O1808" s="5"/>
      <c r="P1808" s="5"/>
    </row>
    <row r="1809" spans="1:16" x14ac:dyDescent="0.35">
      <c r="A1809" s="4">
        <v>42571</v>
      </c>
      <c r="B1809" t="s">
        <v>30</v>
      </c>
      <c r="C1809">
        <v>201</v>
      </c>
      <c r="D1809">
        <v>8</v>
      </c>
      <c r="E1809">
        <v>2</v>
      </c>
      <c r="F1809" t="s">
        <v>31</v>
      </c>
      <c r="G1809" t="s">
        <v>32</v>
      </c>
      <c r="H1809" t="s">
        <v>33</v>
      </c>
      <c r="I1809" t="s">
        <v>84</v>
      </c>
      <c r="O1809" s="5"/>
      <c r="P1809" s="5"/>
    </row>
    <row r="1810" spans="1:16" x14ac:dyDescent="0.35">
      <c r="A1810" s="4">
        <v>42571</v>
      </c>
      <c r="B1810" t="s">
        <v>30</v>
      </c>
      <c r="C1810">
        <v>203</v>
      </c>
      <c r="D1810">
        <v>4</v>
      </c>
      <c r="E1810">
        <v>2</v>
      </c>
      <c r="F1810" t="s">
        <v>31</v>
      </c>
      <c r="G1810" t="s">
        <v>32</v>
      </c>
      <c r="H1810" t="s">
        <v>33</v>
      </c>
      <c r="I1810" t="s">
        <v>84</v>
      </c>
      <c r="O1810" s="5"/>
      <c r="P1810" s="5"/>
    </row>
    <row r="1811" spans="1:16" x14ac:dyDescent="0.35">
      <c r="A1811" s="4">
        <v>42571</v>
      </c>
      <c r="B1811" t="s">
        <v>30</v>
      </c>
      <c r="C1811">
        <v>203</v>
      </c>
      <c r="D1811">
        <v>6</v>
      </c>
      <c r="E1811">
        <v>2</v>
      </c>
      <c r="F1811" t="s">
        <v>31</v>
      </c>
      <c r="G1811" t="s">
        <v>32</v>
      </c>
      <c r="H1811" t="s">
        <v>33</v>
      </c>
      <c r="I1811" t="s">
        <v>84</v>
      </c>
      <c r="O1811" s="5"/>
      <c r="P1811" s="5"/>
    </row>
    <row r="1812" spans="1:16" x14ac:dyDescent="0.35">
      <c r="A1812" s="4">
        <v>42571</v>
      </c>
      <c r="B1812" t="s">
        <v>30</v>
      </c>
      <c r="C1812">
        <v>304</v>
      </c>
      <c r="D1812">
        <v>1</v>
      </c>
      <c r="E1812">
        <v>1</v>
      </c>
      <c r="F1812" t="s">
        <v>31</v>
      </c>
      <c r="G1812" t="s">
        <v>32</v>
      </c>
      <c r="H1812" t="s">
        <v>33</v>
      </c>
      <c r="I1812" t="s">
        <v>84</v>
      </c>
      <c r="O1812" s="5"/>
      <c r="P1812" s="5"/>
    </row>
    <row r="1813" spans="1:16" x14ac:dyDescent="0.35">
      <c r="A1813" s="4">
        <v>42571</v>
      </c>
      <c r="B1813" t="s">
        <v>30</v>
      </c>
      <c r="C1813">
        <v>304</v>
      </c>
      <c r="D1813">
        <v>2</v>
      </c>
      <c r="E1813">
        <v>1</v>
      </c>
      <c r="F1813" t="s">
        <v>31</v>
      </c>
      <c r="G1813" t="s">
        <v>32</v>
      </c>
      <c r="H1813" t="s">
        <v>33</v>
      </c>
      <c r="I1813" t="s">
        <v>84</v>
      </c>
      <c r="O1813" s="5"/>
      <c r="P1813" s="5"/>
    </row>
    <row r="1814" spans="1:16" x14ac:dyDescent="0.35">
      <c r="A1814" s="4">
        <v>42571</v>
      </c>
      <c r="B1814" t="s">
        <v>30</v>
      </c>
      <c r="C1814">
        <v>304</v>
      </c>
      <c r="D1814">
        <v>8</v>
      </c>
      <c r="E1814">
        <v>1</v>
      </c>
      <c r="F1814" t="s">
        <v>31</v>
      </c>
      <c r="G1814" t="s">
        <v>32</v>
      </c>
      <c r="H1814" t="s">
        <v>33</v>
      </c>
      <c r="I1814" t="s">
        <v>84</v>
      </c>
      <c r="O1814" s="5"/>
      <c r="P1814" s="5"/>
    </row>
    <row r="1815" spans="1:16" x14ac:dyDescent="0.35">
      <c r="A1815" s="4">
        <v>42571</v>
      </c>
      <c r="B1815" t="s">
        <v>30</v>
      </c>
      <c r="C1815">
        <v>402</v>
      </c>
      <c r="D1815">
        <v>6</v>
      </c>
      <c r="E1815">
        <v>1</v>
      </c>
      <c r="F1815" t="s">
        <v>42</v>
      </c>
      <c r="G1815" t="s">
        <v>32</v>
      </c>
      <c r="H1815" t="s">
        <v>33</v>
      </c>
      <c r="I1815" t="s">
        <v>84</v>
      </c>
      <c r="O1815" s="5"/>
      <c r="P1815" s="5"/>
    </row>
    <row r="1816" spans="1:16" x14ac:dyDescent="0.35">
      <c r="A1816" s="4">
        <v>42571</v>
      </c>
      <c r="B1816" t="s">
        <v>30</v>
      </c>
      <c r="C1816">
        <v>402</v>
      </c>
      <c r="D1816">
        <v>7</v>
      </c>
      <c r="E1816">
        <v>1</v>
      </c>
      <c r="F1816" t="s">
        <v>42</v>
      </c>
      <c r="G1816" t="s">
        <v>32</v>
      </c>
      <c r="H1816" t="s">
        <v>33</v>
      </c>
      <c r="I1816" t="s">
        <v>84</v>
      </c>
      <c r="O1816" s="5"/>
      <c r="P1816" s="5"/>
    </row>
    <row r="1817" spans="1:16" x14ac:dyDescent="0.35">
      <c r="A1817" s="4">
        <v>42571</v>
      </c>
      <c r="B1817" t="s">
        <v>30</v>
      </c>
      <c r="C1817">
        <v>402</v>
      </c>
      <c r="D1817">
        <v>8</v>
      </c>
      <c r="E1817">
        <v>1</v>
      </c>
      <c r="F1817" t="s">
        <v>42</v>
      </c>
      <c r="G1817" t="s">
        <v>32</v>
      </c>
      <c r="H1817" t="s">
        <v>33</v>
      </c>
      <c r="I1817" t="s">
        <v>84</v>
      </c>
      <c r="O1817" s="5"/>
      <c r="P1817" s="5"/>
    </row>
    <row r="1818" spans="1:16" x14ac:dyDescent="0.35">
      <c r="A1818" s="4">
        <v>42571</v>
      </c>
      <c r="B1818" t="s">
        <v>30</v>
      </c>
      <c r="C1818">
        <v>402</v>
      </c>
      <c r="D1818">
        <v>8</v>
      </c>
      <c r="E1818">
        <v>2</v>
      </c>
      <c r="F1818" t="s">
        <v>42</v>
      </c>
      <c r="G1818" t="s">
        <v>32</v>
      </c>
      <c r="H1818" t="s">
        <v>33</v>
      </c>
      <c r="I1818" t="s">
        <v>84</v>
      </c>
      <c r="O1818" s="5"/>
      <c r="P1818" s="5"/>
    </row>
    <row r="1819" spans="1:16" x14ac:dyDescent="0.35">
      <c r="A1819" s="4">
        <v>42571</v>
      </c>
      <c r="B1819" t="s">
        <v>30</v>
      </c>
      <c r="C1819">
        <v>402</v>
      </c>
      <c r="D1819">
        <v>9</v>
      </c>
      <c r="E1819">
        <v>2</v>
      </c>
      <c r="F1819" t="s">
        <v>42</v>
      </c>
      <c r="G1819" t="s">
        <v>32</v>
      </c>
      <c r="H1819" t="s">
        <v>33</v>
      </c>
      <c r="I1819" t="s">
        <v>84</v>
      </c>
      <c r="O1819" s="5"/>
      <c r="P1819" s="5"/>
    </row>
    <row r="1820" spans="1:16" x14ac:dyDescent="0.35">
      <c r="A1820" s="4">
        <v>42571</v>
      </c>
      <c r="B1820" t="s">
        <v>30</v>
      </c>
      <c r="C1820">
        <v>402</v>
      </c>
      <c r="D1820">
        <v>10</v>
      </c>
      <c r="E1820">
        <v>1</v>
      </c>
      <c r="F1820" t="s">
        <v>42</v>
      </c>
      <c r="G1820" t="s">
        <v>32</v>
      </c>
      <c r="H1820" t="s">
        <v>33</v>
      </c>
      <c r="I1820" t="s">
        <v>84</v>
      </c>
      <c r="O1820" s="5"/>
      <c r="P1820" s="5"/>
    </row>
    <row r="1821" spans="1:16" x14ac:dyDescent="0.35">
      <c r="A1821" s="4">
        <v>42571</v>
      </c>
      <c r="B1821" t="s">
        <v>30</v>
      </c>
      <c r="C1821">
        <v>402</v>
      </c>
      <c r="D1821">
        <v>10</v>
      </c>
      <c r="E1821">
        <v>2</v>
      </c>
      <c r="F1821" t="s">
        <v>42</v>
      </c>
      <c r="G1821" t="s">
        <v>32</v>
      </c>
      <c r="H1821" t="s">
        <v>33</v>
      </c>
      <c r="I1821" t="s">
        <v>84</v>
      </c>
      <c r="O1821" s="5"/>
      <c r="P1821" s="5"/>
    </row>
    <row r="1822" spans="1:16" x14ac:dyDescent="0.35">
      <c r="A1822" s="4">
        <v>42571</v>
      </c>
      <c r="B1822" t="s">
        <v>30</v>
      </c>
      <c r="C1822">
        <v>201</v>
      </c>
      <c r="D1822">
        <v>1</v>
      </c>
      <c r="E1822">
        <v>1</v>
      </c>
      <c r="F1822" t="s">
        <v>31</v>
      </c>
      <c r="G1822" t="s">
        <v>32</v>
      </c>
      <c r="H1822" t="s">
        <v>33</v>
      </c>
      <c r="I1822" t="s">
        <v>59</v>
      </c>
      <c r="O1822" s="5"/>
      <c r="P1822" s="5"/>
    </row>
    <row r="1823" spans="1:16" x14ac:dyDescent="0.35">
      <c r="A1823" s="4">
        <v>42571</v>
      </c>
      <c r="B1823" t="s">
        <v>30</v>
      </c>
      <c r="C1823">
        <v>201</v>
      </c>
      <c r="D1823">
        <v>1</v>
      </c>
      <c r="E1823">
        <v>2</v>
      </c>
      <c r="F1823" t="s">
        <v>31</v>
      </c>
      <c r="G1823" t="s">
        <v>32</v>
      </c>
      <c r="H1823" t="s">
        <v>33</v>
      </c>
      <c r="I1823" t="s">
        <v>59</v>
      </c>
      <c r="O1823" s="5"/>
      <c r="P1823" s="5"/>
    </row>
    <row r="1824" spans="1:16" x14ac:dyDescent="0.35">
      <c r="A1824" s="4">
        <v>42571</v>
      </c>
      <c r="B1824" t="s">
        <v>30</v>
      </c>
      <c r="C1824">
        <v>201</v>
      </c>
      <c r="D1824">
        <v>2</v>
      </c>
      <c r="E1824">
        <v>1</v>
      </c>
      <c r="F1824" t="s">
        <v>31</v>
      </c>
      <c r="G1824" t="s">
        <v>32</v>
      </c>
      <c r="H1824" t="s">
        <v>33</v>
      </c>
      <c r="I1824" t="s">
        <v>59</v>
      </c>
      <c r="O1824" s="5"/>
      <c r="P1824" s="5"/>
    </row>
    <row r="1825" spans="1:16" x14ac:dyDescent="0.35">
      <c r="A1825" s="4">
        <v>42571</v>
      </c>
      <c r="B1825" t="s">
        <v>30</v>
      </c>
      <c r="C1825">
        <v>201</v>
      </c>
      <c r="D1825">
        <v>3</v>
      </c>
      <c r="E1825">
        <v>1</v>
      </c>
      <c r="F1825" t="s">
        <v>31</v>
      </c>
      <c r="G1825" t="s">
        <v>32</v>
      </c>
      <c r="H1825" t="s">
        <v>33</v>
      </c>
      <c r="I1825" t="s">
        <v>59</v>
      </c>
      <c r="O1825" s="5"/>
      <c r="P1825" s="5"/>
    </row>
    <row r="1826" spans="1:16" x14ac:dyDescent="0.35">
      <c r="A1826" s="4">
        <v>42571</v>
      </c>
      <c r="B1826" t="s">
        <v>30</v>
      </c>
      <c r="C1826">
        <v>201</v>
      </c>
      <c r="D1826">
        <v>4</v>
      </c>
      <c r="E1826">
        <v>1</v>
      </c>
      <c r="F1826" t="s">
        <v>31</v>
      </c>
      <c r="G1826" t="s">
        <v>32</v>
      </c>
      <c r="H1826" t="s">
        <v>33</v>
      </c>
      <c r="I1826" t="s">
        <v>59</v>
      </c>
      <c r="O1826" s="5"/>
      <c r="P1826" s="5"/>
    </row>
    <row r="1827" spans="1:16" x14ac:dyDescent="0.35">
      <c r="A1827" s="4">
        <v>42571</v>
      </c>
      <c r="B1827" t="s">
        <v>30</v>
      </c>
      <c r="C1827">
        <v>201</v>
      </c>
      <c r="D1827">
        <v>4</v>
      </c>
      <c r="E1827">
        <v>2</v>
      </c>
      <c r="F1827" t="s">
        <v>31</v>
      </c>
      <c r="G1827" t="s">
        <v>32</v>
      </c>
      <c r="H1827" t="s">
        <v>33</v>
      </c>
      <c r="I1827" t="s">
        <v>59</v>
      </c>
      <c r="O1827" s="5"/>
      <c r="P1827" s="5"/>
    </row>
    <row r="1828" spans="1:16" x14ac:dyDescent="0.35">
      <c r="A1828" s="4">
        <v>42571</v>
      </c>
      <c r="B1828" t="s">
        <v>30</v>
      </c>
      <c r="C1828">
        <v>201</v>
      </c>
      <c r="D1828">
        <v>5</v>
      </c>
      <c r="E1828">
        <v>1</v>
      </c>
      <c r="F1828" t="s">
        <v>31</v>
      </c>
      <c r="G1828" t="s">
        <v>32</v>
      </c>
      <c r="H1828" t="s">
        <v>33</v>
      </c>
      <c r="I1828" t="s">
        <v>59</v>
      </c>
      <c r="O1828" s="5"/>
      <c r="P1828" s="5"/>
    </row>
    <row r="1829" spans="1:16" x14ac:dyDescent="0.35">
      <c r="A1829" s="4">
        <v>42571</v>
      </c>
      <c r="B1829" t="s">
        <v>30</v>
      </c>
      <c r="C1829">
        <v>201</v>
      </c>
      <c r="D1829">
        <v>6</v>
      </c>
      <c r="E1829">
        <v>1</v>
      </c>
      <c r="F1829" t="s">
        <v>31</v>
      </c>
      <c r="G1829" t="s">
        <v>32</v>
      </c>
      <c r="H1829" t="s">
        <v>33</v>
      </c>
      <c r="I1829" t="s">
        <v>59</v>
      </c>
      <c r="O1829" s="5"/>
      <c r="P1829" s="5"/>
    </row>
    <row r="1830" spans="1:16" x14ac:dyDescent="0.35">
      <c r="A1830" s="4">
        <v>42571</v>
      </c>
      <c r="B1830" t="s">
        <v>30</v>
      </c>
      <c r="C1830">
        <v>201</v>
      </c>
      <c r="D1830">
        <v>6</v>
      </c>
      <c r="E1830">
        <v>2</v>
      </c>
      <c r="F1830" t="s">
        <v>31</v>
      </c>
      <c r="G1830" t="s">
        <v>32</v>
      </c>
      <c r="H1830" t="s">
        <v>33</v>
      </c>
      <c r="I1830" t="s">
        <v>59</v>
      </c>
      <c r="O1830" s="5"/>
      <c r="P1830" s="5"/>
    </row>
    <row r="1831" spans="1:16" x14ac:dyDescent="0.35">
      <c r="A1831" s="4">
        <v>42571</v>
      </c>
      <c r="B1831" t="s">
        <v>30</v>
      </c>
      <c r="C1831">
        <v>201</v>
      </c>
      <c r="D1831">
        <v>7</v>
      </c>
      <c r="E1831">
        <v>1</v>
      </c>
      <c r="F1831" t="s">
        <v>31</v>
      </c>
      <c r="G1831" t="s">
        <v>32</v>
      </c>
      <c r="H1831" t="s">
        <v>33</v>
      </c>
      <c r="I1831" t="s">
        <v>59</v>
      </c>
      <c r="O1831" s="5"/>
      <c r="P1831" s="5"/>
    </row>
    <row r="1832" spans="1:16" x14ac:dyDescent="0.35">
      <c r="A1832" s="4">
        <v>42571</v>
      </c>
      <c r="B1832" t="s">
        <v>30</v>
      </c>
      <c r="C1832">
        <v>201</v>
      </c>
      <c r="D1832">
        <v>7</v>
      </c>
      <c r="E1832">
        <v>2</v>
      </c>
      <c r="F1832" t="s">
        <v>31</v>
      </c>
      <c r="G1832" t="s">
        <v>32</v>
      </c>
      <c r="H1832" t="s">
        <v>33</v>
      </c>
      <c r="I1832" t="s">
        <v>59</v>
      </c>
      <c r="O1832" s="5"/>
      <c r="P1832" s="5"/>
    </row>
    <row r="1833" spans="1:16" x14ac:dyDescent="0.35">
      <c r="A1833" s="4">
        <v>42571</v>
      </c>
      <c r="B1833" t="s">
        <v>30</v>
      </c>
      <c r="C1833">
        <v>201</v>
      </c>
      <c r="D1833">
        <v>8</v>
      </c>
      <c r="E1833">
        <v>1</v>
      </c>
      <c r="F1833" t="s">
        <v>31</v>
      </c>
      <c r="G1833" t="s">
        <v>32</v>
      </c>
      <c r="H1833" t="s">
        <v>33</v>
      </c>
      <c r="I1833" t="s">
        <v>59</v>
      </c>
      <c r="O1833" s="5"/>
      <c r="P1833" s="5"/>
    </row>
    <row r="1834" spans="1:16" x14ac:dyDescent="0.35">
      <c r="A1834" s="4">
        <v>42571</v>
      </c>
      <c r="B1834" t="s">
        <v>30</v>
      </c>
      <c r="C1834">
        <v>201</v>
      </c>
      <c r="D1834">
        <v>9</v>
      </c>
      <c r="E1834">
        <v>1</v>
      </c>
      <c r="F1834" t="s">
        <v>31</v>
      </c>
      <c r="G1834" t="s">
        <v>32</v>
      </c>
      <c r="H1834" t="s">
        <v>33</v>
      </c>
      <c r="I1834" t="s">
        <v>59</v>
      </c>
      <c r="O1834" s="5"/>
      <c r="P1834" s="5"/>
    </row>
    <row r="1835" spans="1:16" x14ac:dyDescent="0.35">
      <c r="A1835" s="4">
        <v>42571</v>
      </c>
      <c r="B1835" t="s">
        <v>30</v>
      </c>
      <c r="C1835">
        <v>201</v>
      </c>
      <c r="D1835">
        <v>9</v>
      </c>
      <c r="E1835">
        <v>2</v>
      </c>
      <c r="F1835" t="s">
        <v>31</v>
      </c>
      <c r="G1835" t="s">
        <v>32</v>
      </c>
      <c r="H1835" t="s">
        <v>33</v>
      </c>
      <c r="I1835" t="s">
        <v>59</v>
      </c>
      <c r="O1835" s="5"/>
      <c r="P1835" s="5"/>
    </row>
    <row r="1836" spans="1:16" x14ac:dyDescent="0.35">
      <c r="A1836" s="4">
        <v>42571</v>
      </c>
      <c r="B1836" t="s">
        <v>30</v>
      </c>
      <c r="C1836">
        <v>201</v>
      </c>
      <c r="D1836">
        <v>10</v>
      </c>
      <c r="E1836">
        <v>1</v>
      </c>
      <c r="F1836" t="s">
        <v>31</v>
      </c>
      <c r="G1836" t="s">
        <v>32</v>
      </c>
      <c r="H1836" t="s">
        <v>33</v>
      </c>
      <c r="I1836" t="s">
        <v>59</v>
      </c>
      <c r="O1836" s="5"/>
      <c r="P1836" s="5"/>
    </row>
    <row r="1837" spans="1:16" x14ac:dyDescent="0.35">
      <c r="A1837" s="4">
        <v>42571</v>
      </c>
      <c r="B1837" t="s">
        <v>30</v>
      </c>
      <c r="C1837">
        <v>201</v>
      </c>
      <c r="D1837">
        <v>10</v>
      </c>
      <c r="E1837">
        <v>2</v>
      </c>
      <c r="F1837" t="s">
        <v>31</v>
      </c>
      <c r="G1837" t="s">
        <v>32</v>
      </c>
      <c r="H1837" t="s">
        <v>33</v>
      </c>
      <c r="I1837" t="s">
        <v>59</v>
      </c>
      <c r="O1837" s="5"/>
      <c r="P1837" s="5"/>
    </row>
    <row r="1838" spans="1:16" x14ac:dyDescent="0.35">
      <c r="A1838" s="4">
        <v>42571</v>
      </c>
      <c r="B1838" t="s">
        <v>30</v>
      </c>
      <c r="C1838">
        <v>203</v>
      </c>
      <c r="D1838">
        <v>1</v>
      </c>
      <c r="E1838">
        <v>2</v>
      </c>
      <c r="F1838" t="s">
        <v>31</v>
      </c>
      <c r="G1838" t="s">
        <v>32</v>
      </c>
      <c r="H1838" t="s">
        <v>33</v>
      </c>
      <c r="I1838" t="s">
        <v>59</v>
      </c>
      <c r="O1838" s="5"/>
      <c r="P1838" s="5"/>
    </row>
    <row r="1839" spans="1:16" x14ac:dyDescent="0.35">
      <c r="A1839" s="4">
        <v>42571</v>
      </c>
      <c r="B1839" t="s">
        <v>30</v>
      </c>
      <c r="C1839">
        <v>203</v>
      </c>
      <c r="D1839">
        <v>2</v>
      </c>
      <c r="E1839">
        <v>1</v>
      </c>
      <c r="F1839" t="s">
        <v>31</v>
      </c>
      <c r="G1839" t="s">
        <v>32</v>
      </c>
      <c r="H1839" t="s">
        <v>33</v>
      </c>
      <c r="I1839" t="s">
        <v>59</v>
      </c>
      <c r="O1839" s="5"/>
      <c r="P1839" s="5"/>
    </row>
    <row r="1840" spans="1:16" x14ac:dyDescent="0.35">
      <c r="A1840" s="4">
        <v>42571</v>
      </c>
      <c r="B1840" t="s">
        <v>30</v>
      </c>
      <c r="C1840">
        <v>203</v>
      </c>
      <c r="D1840">
        <v>2</v>
      </c>
      <c r="E1840">
        <v>2</v>
      </c>
      <c r="F1840" t="s">
        <v>31</v>
      </c>
      <c r="G1840" t="s">
        <v>32</v>
      </c>
      <c r="H1840" t="s">
        <v>33</v>
      </c>
      <c r="I1840" t="s">
        <v>59</v>
      </c>
      <c r="O1840" s="5"/>
      <c r="P1840" s="5"/>
    </row>
    <row r="1841" spans="1:16" x14ac:dyDescent="0.35">
      <c r="A1841" s="4">
        <v>42571</v>
      </c>
      <c r="B1841" t="s">
        <v>30</v>
      </c>
      <c r="C1841">
        <v>203</v>
      </c>
      <c r="D1841">
        <v>3</v>
      </c>
      <c r="E1841">
        <v>1</v>
      </c>
      <c r="F1841" t="s">
        <v>31</v>
      </c>
      <c r="G1841" t="s">
        <v>32</v>
      </c>
      <c r="H1841" t="s">
        <v>33</v>
      </c>
      <c r="I1841" t="s">
        <v>59</v>
      </c>
      <c r="O1841" s="5"/>
      <c r="P1841" s="5"/>
    </row>
    <row r="1842" spans="1:16" x14ac:dyDescent="0.35">
      <c r="A1842" s="4">
        <v>42571</v>
      </c>
      <c r="B1842" t="s">
        <v>30</v>
      </c>
      <c r="C1842">
        <v>203</v>
      </c>
      <c r="D1842">
        <v>3</v>
      </c>
      <c r="E1842">
        <v>2</v>
      </c>
      <c r="F1842" t="s">
        <v>31</v>
      </c>
      <c r="G1842" t="s">
        <v>32</v>
      </c>
      <c r="H1842" t="s">
        <v>33</v>
      </c>
      <c r="I1842" t="s">
        <v>59</v>
      </c>
      <c r="O1842" s="5"/>
      <c r="P1842" s="5"/>
    </row>
    <row r="1843" spans="1:16" x14ac:dyDescent="0.35">
      <c r="A1843" s="4">
        <v>42571</v>
      </c>
      <c r="B1843" t="s">
        <v>30</v>
      </c>
      <c r="C1843">
        <v>203</v>
      </c>
      <c r="D1843">
        <v>4</v>
      </c>
      <c r="E1843">
        <v>1</v>
      </c>
      <c r="F1843" t="s">
        <v>31</v>
      </c>
      <c r="G1843" t="s">
        <v>32</v>
      </c>
      <c r="H1843" t="s">
        <v>33</v>
      </c>
      <c r="I1843" t="s">
        <v>59</v>
      </c>
      <c r="O1843" s="5"/>
      <c r="P1843" s="5"/>
    </row>
    <row r="1844" spans="1:16" x14ac:dyDescent="0.35">
      <c r="A1844" s="4">
        <v>42571</v>
      </c>
      <c r="B1844" t="s">
        <v>30</v>
      </c>
      <c r="C1844">
        <v>203</v>
      </c>
      <c r="D1844">
        <v>5</v>
      </c>
      <c r="E1844">
        <v>1</v>
      </c>
      <c r="F1844" t="s">
        <v>31</v>
      </c>
      <c r="G1844" t="s">
        <v>32</v>
      </c>
      <c r="H1844" t="s">
        <v>33</v>
      </c>
      <c r="I1844" t="s">
        <v>59</v>
      </c>
      <c r="O1844" s="5"/>
      <c r="P1844" s="5"/>
    </row>
    <row r="1845" spans="1:16" x14ac:dyDescent="0.35">
      <c r="A1845" s="4">
        <v>42571</v>
      </c>
      <c r="B1845" t="s">
        <v>30</v>
      </c>
      <c r="C1845">
        <v>203</v>
      </c>
      <c r="D1845">
        <v>5</v>
      </c>
      <c r="E1845">
        <v>2</v>
      </c>
      <c r="F1845" t="s">
        <v>31</v>
      </c>
      <c r="G1845" t="s">
        <v>32</v>
      </c>
      <c r="H1845" t="s">
        <v>33</v>
      </c>
      <c r="I1845" t="s">
        <v>59</v>
      </c>
      <c r="O1845" s="5"/>
      <c r="P1845" s="5"/>
    </row>
    <row r="1846" spans="1:16" x14ac:dyDescent="0.35">
      <c r="A1846" s="4">
        <v>42571</v>
      </c>
      <c r="B1846" t="s">
        <v>30</v>
      </c>
      <c r="C1846">
        <v>203</v>
      </c>
      <c r="D1846">
        <v>6</v>
      </c>
      <c r="E1846">
        <v>1</v>
      </c>
      <c r="F1846" t="s">
        <v>31</v>
      </c>
      <c r="G1846" t="s">
        <v>32</v>
      </c>
      <c r="H1846" t="s">
        <v>33</v>
      </c>
      <c r="I1846" t="s">
        <v>59</v>
      </c>
      <c r="O1846" s="5"/>
      <c r="P1846" s="5"/>
    </row>
    <row r="1847" spans="1:16" x14ac:dyDescent="0.35">
      <c r="A1847" s="4">
        <v>42571</v>
      </c>
      <c r="B1847" t="s">
        <v>30</v>
      </c>
      <c r="C1847">
        <v>203</v>
      </c>
      <c r="D1847">
        <v>7</v>
      </c>
      <c r="E1847">
        <v>1</v>
      </c>
      <c r="F1847" t="s">
        <v>31</v>
      </c>
      <c r="G1847" t="s">
        <v>32</v>
      </c>
      <c r="H1847" t="s">
        <v>33</v>
      </c>
      <c r="I1847" t="s">
        <v>59</v>
      </c>
      <c r="O1847" s="5"/>
      <c r="P1847" s="5"/>
    </row>
    <row r="1848" spans="1:16" x14ac:dyDescent="0.35">
      <c r="A1848" s="4">
        <v>42571</v>
      </c>
      <c r="B1848" t="s">
        <v>30</v>
      </c>
      <c r="C1848">
        <v>203</v>
      </c>
      <c r="D1848">
        <v>7</v>
      </c>
      <c r="E1848">
        <v>2</v>
      </c>
      <c r="F1848" t="s">
        <v>31</v>
      </c>
      <c r="G1848" t="s">
        <v>32</v>
      </c>
      <c r="H1848" t="s">
        <v>33</v>
      </c>
      <c r="I1848" t="s">
        <v>59</v>
      </c>
      <c r="O1848" s="5"/>
      <c r="P1848" s="5"/>
    </row>
    <row r="1849" spans="1:16" x14ac:dyDescent="0.35">
      <c r="A1849" s="4">
        <v>42571</v>
      </c>
      <c r="B1849" t="s">
        <v>30</v>
      </c>
      <c r="C1849">
        <v>203</v>
      </c>
      <c r="D1849">
        <v>8</v>
      </c>
      <c r="E1849">
        <v>1</v>
      </c>
      <c r="F1849" t="s">
        <v>31</v>
      </c>
      <c r="G1849" t="s">
        <v>32</v>
      </c>
      <c r="H1849" t="s">
        <v>33</v>
      </c>
      <c r="I1849" t="s">
        <v>59</v>
      </c>
      <c r="O1849" s="5"/>
      <c r="P1849" s="5"/>
    </row>
    <row r="1850" spans="1:16" x14ac:dyDescent="0.35">
      <c r="A1850" s="4">
        <v>42571</v>
      </c>
      <c r="B1850" t="s">
        <v>30</v>
      </c>
      <c r="C1850">
        <v>203</v>
      </c>
      <c r="D1850">
        <v>8</v>
      </c>
      <c r="E1850">
        <v>2</v>
      </c>
      <c r="F1850" t="s">
        <v>31</v>
      </c>
      <c r="G1850" t="s">
        <v>32</v>
      </c>
      <c r="H1850" t="s">
        <v>33</v>
      </c>
      <c r="I1850" t="s">
        <v>59</v>
      </c>
      <c r="O1850" s="5"/>
      <c r="P1850" s="5"/>
    </row>
    <row r="1851" spans="1:16" x14ac:dyDescent="0.35">
      <c r="A1851" s="4">
        <v>42571</v>
      </c>
      <c r="B1851" t="s">
        <v>30</v>
      </c>
      <c r="C1851">
        <v>203</v>
      </c>
      <c r="D1851">
        <v>9</v>
      </c>
      <c r="E1851">
        <v>1</v>
      </c>
      <c r="F1851" t="s">
        <v>31</v>
      </c>
      <c r="G1851" t="s">
        <v>32</v>
      </c>
      <c r="H1851" t="s">
        <v>33</v>
      </c>
      <c r="I1851" t="s">
        <v>59</v>
      </c>
      <c r="O1851" s="5"/>
      <c r="P1851" s="5"/>
    </row>
    <row r="1852" spans="1:16" x14ac:dyDescent="0.35">
      <c r="A1852" s="4">
        <v>42571</v>
      </c>
      <c r="B1852" t="s">
        <v>30</v>
      </c>
      <c r="C1852">
        <v>203</v>
      </c>
      <c r="D1852">
        <v>9</v>
      </c>
      <c r="E1852">
        <v>2</v>
      </c>
      <c r="F1852" t="s">
        <v>31</v>
      </c>
      <c r="G1852" t="s">
        <v>32</v>
      </c>
      <c r="H1852" t="s">
        <v>33</v>
      </c>
      <c r="I1852" t="s">
        <v>59</v>
      </c>
      <c r="O1852" s="5"/>
      <c r="P1852" s="5"/>
    </row>
    <row r="1853" spans="1:16" x14ac:dyDescent="0.35">
      <c r="A1853" s="4">
        <v>42571</v>
      </c>
      <c r="B1853" t="s">
        <v>30</v>
      </c>
      <c r="C1853">
        <v>203</v>
      </c>
      <c r="D1853">
        <v>10</v>
      </c>
      <c r="E1853">
        <v>1</v>
      </c>
      <c r="F1853" t="s">
        <v>31</v>
      </c>
      <c r="G1853" t="s">
        <v>32</v>
      </c>
      <c r="H1853" t="s">
        <v>33</v>
      </c>
      <c r="I1853" t="s">
        <v>59</v>
      </c>
      <c r="O1853" s="5"/>
      <c r="P1853" s="5"/>
    </row>
    <row r="1854" spans="1:16" x14ac:dyDescent="0.35">
      <c r="A1854" s="4">
        <v>42571</v>
      </c>
      <c r="B1854" t="s">
        <v>30</v>
      </c>
      <c r="C1854">
        <v>203</v>
      </c>
      <c r="D1854">
        <v>10</v>
      </c>
      <c r="E1854">
        <v>2</v>
      </c>
      <c r="F1854" t="s">
        <v>31</v>
      </c>
      <c r="G1854" t="s">
        <v>32</v>
      </c>
      <c r="H1854" t="s">
        <v>33</v>
      </c>
      <c r="I1854" t="s">
        <v>59</v>
      </c>
      <c r="O1854" s="5"/>
      <c r="P1854" s="5"/>
    </row>
    <row r="1855" spans="1:16" x14ac:dyDescent="0.35">
      <c r="A1855" s="4">
        <v>42571</v>
      </c>
      <c r="B1855" t="s">
        <v>30</v>
      </c>
      <c r="C1855">
        <v>202</v>
      </c>
      <c r="D1855">
        <v>1</v>
      </c>
      <c r="E1855">
        <v>1</v>
      </c>
      <c r="F1855" t="s">
        <v>31</v>
      </c>
      <c r="G1855" t="s">
        <v>32</v>
      </c>
      <c r="H1855" t="s">
        <v>33</v>
      </c>
      <c r="I1855" t="s">
        <v>59</v>
      </c>
      <c r="O1855" s="5"/>
      <c r="P1855" s="5"/>
    </row>
    <row r="1856" spans="1:16" x14ac:dyDescent="0.35">
      <c r="A1856" s="4">
        <v>42571</v>
      </c>
      <c r="B1856" t="s">
        <v>30</v>
      </c>
      <c r="C1856">
        <v>202</v>
      </c>
      <c r="D1856">
        <v>3</v>
      </c>
      <c r="E1856">
        <v>1</v>
      </c>
      <c r="F1856" t="s">
        <v>31</v>
      </c>
      <c r="G1856" t="s">
        <v>32</v>
      </c>
      <c r="H1856" t="s">
        <v>33</v>
      </c>
      <c r="I1856" t="s">
        <v>59</v>
      </c>
      <c r="O1856" s="5"/>
      <c r="P1856" s="5"/>
    </row>
    <row r="1857" spans="1:16" x14ac:dyDescent="0.35">
      <c r="A1857" s="4">
        <v>42571</v>
      </c>
      <c r="B1857" t="s">
        <v>30</v>
      </c>
      <c r="C1857">
        <v>202</v>
      </c>
      <c r="D1857">
        <v>3</v>
      </c>
      <c r="E1857">
        <v>2</v>
      </c>
      <c r="F1857" t="s">
        <v>31</v>
      </c>
      <c r="G1857" t="s">
        <v>32</v>
      </c>
      <c r="H1857" t="s">
        <v>33</v>
      </c>
      <c r="I1857" t="s">
        <v>59</v>
      </c>
      <c r="O1857" s="5"/>
      <c r="P1857" s="5"/>
    </row>
    <row r="1858" spans="1:16" x14ac:dyDescent="0.35">
      <c r="A1858" s="4">
        <v>42571</v>
      </c>
      <c r="B1858" t="s">
        <v>30</v>
      </c>
      <c r="C1858">
        <v>202</v>
      </c>
      <c r="D1858">
        <v>5</v>
      </c>
      <c r="E1858">
        <v>1</v>
      </c>
      <c r="F1858" t="s">
        <v>31</v>
      </c>
      <c r="G1858" t="s">
        <v>32</v>
      </c>
      <c r="H1858" t="s">
        <v>33</v>
      </c>
      <c r="I1858" t="s">
        <v>59</v>
      </c>
      <c r="O1858" s="5"/>
      <c r="P1858" s="5"/>
    </row>
    <row r="1859" spans="1:16" x14ac:dyDescent="0.35">
      <c r="A1859" s="4">
        <v>42571</v>
      </c>
      <c r="B1859" t="s">
        <v>30</v>
      </c>
      <c r="C1859">
        <v>202</v>
      </c>
      <c r="D1859">
        <v>6</v>
      </c>
      <c r="E1859">
        <v>1</v>
      </c>
      <c r="F1859" t="s">
        <v>31</v>
      </c>
      <c r="G1859" t="s">
        <v>32</v>
      </c>
      <c r="H1859" t="s">
        <v>33</v>
      </c>
      <c r="I1859" t="s">
        <v>59</v>
      </c>
      <c r="O1859" s="5"/>
      <c r="P1859" s="5"/>
    </row>
    <row r="1860" spans="1:16" x14ac:dyDescent="0.35">
      <c r="A1860" s="4">
        <v>42571</v>
      </c>
      <c r="B1860" t="s">
        <v>30</v>
      </c>
      <c r="C1860">
        <v>202</v>
      </c>
      <c r="D1860">
        <v>6</v>
      </c>
      <c r="E1860">
        <v>2</v>
      </c>
      <c r="F1860" t="s">
        <v>31</v>
      </c>
      <c r="G1860" t="s">
        <v>32</v>
      </c>
      <c r="H1860" t="s">
        <v>33</v>
      </c>
      <c r="I1860" t="s">
        <v>59</v>
      </c>
      <c r="O1860" s="5"/>
      <c r="P1860" s="5"/>
    </row>
    <row r="1861" spans="1:16" x14ac:dyDescent="0.35">
      <c r="A1861" s="4">
        <v>42571</v>
      </c>
      <c r="B1861" t="s">
        <v>30</v>
      </c>
      <c r="C1861">
        <v>202</v>
      </c>
      <c r="D1861">
        <v>8</v>
      </c>
      <c r="E1861">
        <v>1</v>
      </c>
      <c r="F1861" t="s">
        <v>31</v>
      </c>
      <c r="G1861" t="s">
        <v>32</v>
      </c>
      <c r="H1861" t="s">
        <v>33</v>
      </c>
      <c r="I1861" t="s">
        <v>59</v>
      </c>
      <c r="O1861" s="5"/>
      <c r="P1861" s="5"/>
    </row>
    <row r="1862" spans="1:16" x14ac:dyDescent="0.35">
      <c r="A1862" s="4">
        <v>42571</v>
      </c>
      <c r="B1862" t="s">
        <v>30</v>
      </c>
      <c r="C1862">
        <v>202</v>
      </c>
      <c r="D1862">
        <v>8</v>
      </c>
      <c r="E1862">
        <v>2</v>
      </c>
      <c r="F1862" t="s">
        <v>31</v>
      </c>
      <c r="G1862" t="s">
        <v>32</v>
      </c>
      <c r="H1862" t="s">
        <v>33</v>
      </c>
      <c r="I1862" t="s">
        <v>59</v>
      </c>
      <c r="O1862" s="5"/>
      <c r="P1862" s="5"/>
    </row>
    <row r="1863" spans="1:16" x14ac:dyDescent="0.35">
      <c r="A1863" s="4">
        <v>42571</v>
      </c>
      <c r="B1863" t="s">
        <v>30</v>
      </c>
      <c r="C1863">
        <v>304</v>
      </c>
      <c r="D1863">
        <v>3</v>
      </c>
      <c r="E1863">
        <v>2</v>
      </c>
      <c r="F1863" t="s">
        <v>31</v>
      </c>
      <c r="G1863" t="s">
        <v>32</v>
      </c>
      <c r="H1863" t="s">
        <v>33</v>
      </c>
      <c r="I1863" t="s">
        <v>59</v>
      </c>
      <c r="O1863" s="5"/>
      <c r="P1863" s="5"/>
    </row>
    <row r="1864" spans="1:16" x14ac:dyDescent="0.35">
      <c r="A1864" s="4">
        <v>42571</v>
      </c>
      <c r="B1864" t="s">
        <v>30</v>
      </c>
      <c r="C1864">
        <v>304</v>
      </c>
      <c r="D1864">
        <v>5</v>
      </c>
      <c r="E1864">
        <v>1</v>
      </c>
      <c r="F1864" t="s">
        <v>31</v>
      </c>
      <c r="G1864" t="s">
        <v>32</v>
      </c>
      <c r="H1864" t="s">
        <v>33</v>
      </c>
      <c r="I1864" t="s">
        <v>59</v>
      </c>
      <c r="O1864" s="5"/>
      <c r="P1864" s="5"/>
    </row>
    <row r="1865" spans="1:16" x14ac:dyDescent="0.35">
      <c r="A1865" s="4">
        <v>42571</v>
      </c>
      <c r="B1865" t="s">
        <v>30</v>
      </c>
      <c r="C1865">
        <v>304</v>
      </c>
      <c r="D1865">
        <v>6</v>
      </c>
      <c r="E1865">
        <v>1</v>
      </c>
      <c r="F1865" t="s">
        <v>31</v>
      </c>
      <c r="G1865" t="s">
        <v>32</v>
      </c>
      <c r="H1865" t="s">
        <v>33</v>
      </c>
      <c r="I1865" t="s">
        <v>59</v>
      </c>
      <c r="O1865" s="5"/>
      <c r="P1865" s="5"/>
    </row>
    <row r="1866" spans="1:16" x14ac:dyDescent="0.35">
      <c r="A1866" s="4">
        <v>42571</v>
      </c>
      <c r="B1866" t="s">
        <v>30</v>
      </c>
      <c r="C1866">
        <v>304</v>
      </c>
      <c r="D1866">
        <v>6</v>
      </c>
      <c r="E1866">
        <v>2</v>
      </c>
      <c r="F1866" t="s">
        <v>31</v>
      </c>
      <c r="G1866" t="s">
        <v>32</v>
      </c>
      <c r="H1866" t="s">
        <v>33</v>
      </c>
      <c r="I1866" t="s">
        <v>59</v>
      </c>
      <c r="O1866" s="5"/>
      <c r="P1866" s="5"/>
    </row>
    <row r="1867" spans="1:16" x14ac:dyDescent="0.35">
      <c r="A1867" s="4">
        <v>42571</v>
      </c>
      <c r="B1867" t="s">
        <v>30</v>
      </c>
      <c r="C1867">
        <v>304</v>
      </c>
      <c r="D1867">
        <v>7</v>
      </c>
      <c r="E1867">
        <v>1</v>
      </c>
      <c r="F1867" t="s">
        <v>31</v>
      </c>
      <c r="G1867" t="s">
        <v>32</v>
      </c>
      <c r="H1867" t="s">
        <v>33</v>
      </c>
      <c r="I1867" t="s">
        <v>59</v>
      </c>
      <c r="O1867" s="5"/>
      <c r="P1867" s="5"/>
    </row>
    <row r="1868" spans="1:16" x14ac:dyDescent="0.35">
      <c r="A1868" s="4">
        <v>42571</v>
      </c>
      <c r="B1868" t="s">
        <v>30</v>
      </c>
      <c r="C1868">
        <v>304</v>
      </c>
      <c r="D1868">
        <v>7</v>
      </c>
      <c r="E1868">
        <v>2</v>
      </c>
      <c r="F1868" t="s">
        <v>31</v>
      </c>
      <c r="G1868" t="s">
        <v>32</v>
      </c>
      <c r="H1868" t="s">
        <v>33</v>
      </c>
      <c r="I1868" t="s">
        <v>59</v>
      </c>
      <c r="O1868" s="5"/>
      <c r="P1868" s="5"/>
    </row>
    <row r="1869" spans="1:16" x14ac:dyDescent="0.35">
      <c r="A1869" s="4">
        <v>42571</v>
      </c>
      <c r="B1869" t="s">
        <v>30</v>
      </c>
      <c r="C1869">
        <v>304</v>
      </c>
      <c r="D1869">
        <v>9</v>
      </c>
      <c r="E1869">
        <v>1</v>
      </c>
      <c r="F1869" t="s">
        <v>31</v>
      </c>
      <c r="G1869" t="s">
        <v>32</v>
      </c>
      <c r="H1869" t="s">
        <v>33</v>
      </c>
      <c r="I1869" t="s">
        <v>59</v>
      </c>
      <c r="O1869" s="5"/>
      <c r="P1869" s="5"/>
    </row>
    <row r="1870" spans="1:16" x14ac:dyDescent="0.35">
      <c r="A1870" s="4">
        <v>42571</v>
      </c>
      <c r="B1870" t="s">
        <v>30</v>
      </c>
      <c r="C1870">
        <v>304</v>
      </c>
      <c r="D1870">
        <v>9</v>
      </c>
      <c r="E1870">
        <v>2</v>
      </c>
      <c r="F1870" t="s">
        <v>31</v>
      </c>
      <c r="G1870" t="s">
        <v>32</v>
      </c>
      <c r="H1870" t="s">
        <v>33</v>
      </c>
      <c r="I1870" t="s">
        <v>59</v>
      </c>
      <c r="O1870" s="5"/>
      <c r="P1870" s="5"/>
    </row>
    <row r="1871" spans="1:16" x14ac:dyDescent="0.35">
      <c r="A1871" s="4">
        <v>42571</v>
      </c>
      <c r="B1871" t="s">
        <v>30</v>
      </c>
      <c r="C1871">
        <v>111</v>
      </c>
      <c r="D1871">
        <v>3</v>
      </c>
      <c r="E1871">
        <v>1</v>
      </c>
      <c r="F1871" t="s">
        <v>42</v>
      </c>
      <c r="G1871" t="s">
        <v>32</v>
      </c>
      <c r="H1871" t="s">
        <v>33</v>
      </c>
      <c r="I1871" t="s">
        <v>59</v>
      </c>
      <c r="O1871" s="5"/>
      <c r="P1871" s="5"/>
    </row>
    <row r="1872" spans="1:16" x14ac:dyDescent="0.35">
      <c r="A1872" s="4">
        <v>42571</v>
      </c>
      <c r="B1872" t="s">
        <v>30</v>
      </c>
      <c r="C1872">
        <v>111</v>
      </c>
      <c r="D1872">
        <v>1</v>
      </c>
      <c r="E1872">
        <v>1</v>
      </c>
      <c r="F1872" t="s">
        <v>42</v>
      </c>
      <c r="G1872" t="s">
        <v>32</v>
      </c>
      <c r="H1872" t="s">
        <v>33</v>
      </c>
      <c r="I1872" t="s">
        <v>59</v>
      </c>
      <c r="O1872" s="5"/>
      <c r="P1872" s="5"/>
    </row>
    <row r="1873" spans="1:29" x14ac:dyDescent="0.35">
      <c r="A1873" s="4">
        <v>42571</v>
      </c>
      <c r="B1873" t="s">
        <v>30</v>
      </c>
      <c r="C1873">
        <v>111</v>
      </c>
      <c r="D1873">
        <v>9</v>
      </c>
      <c r="E1873">
        <v>2</v>
      </c>
      <c r="F1873" t="s">
        <v>42</v>
      </c>
      <c r="G1873" t="s">
        <v>32</v>
      </c>
      <c r="H1873" t="s">
        <v>33</v>
      </c>
      <c r="I1873" t="s">
        <v>59</v>
      </c>
      <c r="O1873" s="5"/>
      <c r="P1873" s="5"/>
    </row>
    <row r="1874" spans="1:29" x14ac:dyDescent="0.35">
      <c r="A1874" s="4">
        <v>42571</v>
      </c>
      <c r="B1874" t="s">
        <v>30</v>
      </c>
      <c r="C1874">
        <v>111</v>
      </c>
      <c r="D1874">
        <v>10</v>
      </c>
      <c r="E1874">
        <v>1</v>
      </c>
      <c r="F1874" t="s">
        <v>42</v>
      </c>
      <c r="G1874" t="s">
        <v>32</v>
      </c>
      <c r="H1874" t="s">
        <v>33</v>
      </c>
      <c r="I1874" t="s">
        <v>59</v>
      </c>
      <c r="O1874" s="5"/>
      <c r="P1874" s="5"/>
    </row>
    <row r="1875" spans="1:29" x14ac:dyDescent="0.35">
      <c r="A1875" s="4">
        <v>42571</v>
      </c>
      <c r="B1875" t="s">
        <v>30</v>
      </c>
      <c r="C1875">
        <v>112</v>
      </c>
      <c r="D1875">
        <v>1</v>
      </c>
      <c r="E1875">
        <v>1</v>
      </c>
      <c r="F1875" t="s">
        <v>42</v>
      </c>
      <c r="G1875" t="s">
        <v>32</v>
      </c>
      <c r="H1875" t="s">
        <v>33</v>
      </c>
      <c r="I1875" t="s">
        <v>59</v>
      </c>
      <c r="O1875" s="5"/>
      <c r="P1875" s="5"/>
    </row>
    <row r="1876" spans="1:29" x14ac:dyDescent="0.35">
      <c r="A1876" s="4">
        <v>42571</v>
      </c>
      <c r="B1876" t="s">
        <v>30</v>
      </c>
      <c r="C1876">
        <v>112</v>
      </c>
      <c r="D1876">
        <v>2</v>
      </c>
      <c r="E1876">
        <v>2</v>
      </c>
      <c r="F1876" t="s">
        <v>42</v>
      </c>
      <c r="G1876" t="s">
        <v>32</v>
      </c>
      <c r="H1876" t="s">
        <v>33</v>
      </c>
      <c r="I1876" t="s">
        <v>59</v>
      </c>
      <c r="O1876" s="5"/>
      <c r="P1876" s="5"/>
    </row>
    <row r="1877" spans="1:29" x14ac:dyDescent="0.35">
      <c r="A1877" s="4">
        <v>42571</v>
      </c>
      <c r="B1877" t="s">
        <v>30</v>
      </c>
      <c r="C1877">
        <v>112</v>
      </c>
      <c r="D1877">
        <v>3</v>
      </c>
      <c r="E1877">
        <v>1</v>
      </c>
      <c r="F1877" t="s">
        <v>42</v>
      </c>
      <c r="G1877" t="s">
        <v>32</v>
      </c>
      <c r="H1877" t="s">
        <v>33</v>
      </c>
      <c r="I1877" t="s">
        <v>59</v>
      </c>
      <c r="O1877" s="5"/>
      <c r="P1877" s="5"/>
    </row>
    <row r="1878" spans="1:29" x14ac:dyDescent="0.35">
      <c r="A1878" s="4">
        <v>42571</v>
      </c>
      <c r="B1878" t="s">
        <v>30</v>
      </c>
      <c r="C1878">
        <v>112</v>
      </c>
      <c r="D1878">
        <v>3</v>
      </c>
      <c r="E1878">
        <v>2</v>
      </c>
      <c r="F1878" t="s">
        <v>42</v>
      </c>
      <c r="G1878" t="s">
        <v>32</v>
      </c>
      <c r="H1878" t="s">
        <v>33</v>
      </c>
      <c r="I1878" t="s">
        <v>59</v>
      </c>
      <c r="O1878" s="5"/>
      <c r="P1878" s="5"/>
    </row>
    <row r="1879" spans="1:29" x14ac:dyDescent="0.35">
      <c r="A1879" s="4">
        <v>42571</v>
      </c>
      <c r="B1879" t="s">
        <v>30</v>
      </c>
      <c r="C1879">
        <v>112</v>
      </c>
      <c r="D1879">
        <v>4</v>
      </c>
      <c r="E1879">
        <v>1</v>
      </c>
      <c r="F1879" t="s">
        <v>42</v>
      </c>
      <c r="G1879" t="s">
        <v>32</v>
      </c>
      <c r="H1879" t="s">
        <v>33</v>
      </c>
      <c r="I1879" t="s">
        <v>59</v>
      </c>
      <c r="O1879" s="5"/>
      <c r="P1879" s="5"/>
    </row>
    <row r="1880" spans="1:29" x14ac:dyDescent="0.35">
      <c r="A1880" s="4">
        <v>42571</v>
      </c>
      <c r="B1880" t="s">
        <v>30</v>
      </c>
      <c r="C1880">
        <v>112</v>
      </c>
      <c r="D1880">
        <v>6</v>
      </c>
      <c r="E1880">
        <v>1</v>
      </c>
      <c r="F1880" t="s">
        <v>42</v>
      </c>
      <c r="G1880" t="s">
        <v>32</v>
      </c>
      <c r="H1880" t="s">
        <v>33</v>
      </c>
      <c r="I1880" t="s">
        <v>59</v>
      </c>
      <c r="O1880" s="5"/>
      <c r="P1880" s="5"/>
    </row>
    <row r="1881" spans="1:29" x14ac:dyDescent="0.35">
      <c r="A1881" s="4">
        <v>42571</v>
      </c>
      <c r="B1881" t="s">
        <v>30</v>
      </c>
      <c r="C1881">
        <v>112</v>
      </c>
      <c r="D1881">
        <v>9</v>
      </c>
      <c r="E1881">
        <v>1</v>
      </c>
      <c r="F1881" t="s">
        <v>42</v>
      </c>
      <c r="G1881" t="s">
        <v>32</v>
      </c>
      <c r="H1881" t="s">
        <v>33</v>
      </c>
      <c r="I1881" t="s">
        <v>59</v>
      </c>
      <c r="O1881" s="5"/>
      <c r="P1881" s="5"/>
    </row>
    <row r="1882" spans="1:29" x14ac:dyDescent="0.35">
      <c r="A1882" s="4">
        <v>42571</v>
      </c>
      <c r="B1882" t="s">
        <v>30</v>
      </c>
      <c r="C1882">
        <v>113</v>
      </c>
      <c r="D1882">
        <v>6</v>
      </c>
      <c r="E1882">
        <v>1</v>
      </c>
      <c r="F1882" t="s">
        <v>42</v>
      </c>
      <c r="G1882" t="s">
        <v>32</v>
      </c>
      <c r="H1882" t="s">
        <v>33</v>
      </c>
      <c r="I1882" t="s">
        <v>59</v>
      </c>
      <c r="O1882" s="5"/>
      <c r="P1882" s="5"/>
    </row>
    <row r="1883" spans="1:29" x14ac:dyDescent="0.35">
      <c r="A1883" s="4">
        <v>42571</v>
      </c>
      <c r="B1883" t="s">
        <v>30</v>
      </c>
      <c r="C1883">
        <v>113</v>
      </c>
      <c r="D1883">
        <v>7</v>
      </c>
      <c r="E1883">
        <v>2</v>
      </c>
      <c r="F1883" t="s">
        <v>42</v>
      </c>
      <c r="G1883" t="s">
        <v>32</v>
      </c>
      <c r="H1883" t="s">
        <v>33</v>
      </c>
      <c r="I1883" t="s">
        <v>59</v>
      </c>
      <c r="O1883" s="5"/>
      <c r="P1883" s="5"/>
    </row>
    <row r="1884" spans="1:29" x14ac:dyDescent="0.35">
      <c r="A1884" s="4">
        <v>42571</v>
      </c>
      <c r="B1884" t="s">
        <v>30</v>
      </c>
      <c r="C1884">
        <v>113</v>
      </c>
      <c r="D1884">
        <v>8</v>
      </c>
      <c r="E1884">
        <v>1</v>
      </c>
      <c r="F1884" t="s">
        <v>42</v>
      </c>
      <c r="G1884" t="s">
        <v>32</v>
      </c>
      <c r="H1884" t="s">
        <v>33</v>
      </c>
      <c r="I1884" t="s">
        <v>59</v>
      </c>
      <c r="O1884" s="5"/>
      <c r="P1884" s="5"/>
    </row>
    <row r="1885" spans="1:29" x14ac:dyDescent="0.35">
      <c r="A1885" s="4">
        <v>42571</v>
      </c>
      <c r="B1885" t="s">
        <v>30</v>
      </c>
      <c r="C1885">
        <v>113</v>
      </c>
      <c r="D1885">
        <v>10</v>
      </c>
      <c r="E1885">
        <v>1</v>
      </c>
      <c r="F1885" t="s">
        <v>42</v>
      </c>
      <c r="G1885" t="s">
        <v>32</v>
      </c>
      <c r="H1885" t="s">
        <v>33</v>
      </c>
      <c r="I1885" t="s">
        <v>59</v>
      </c>
      <c r="O1885" s="5"/>
      <c r="P1885" s="5"/>
    </row>
    <row r="1886" spans="1:29" x14ac:dyDescent="0.35">
      <c r="A1886" s="4">
        <v>42571</v>
      </c>
      <c r="B1886" t="s">
        <v>30</v>
      </c>
      <c r="C1886">
        <v>402</v>
      </c>
      <c r="D1886">
        <v>3</v>
      </c>
      <c r="E1886">
        <v>1</v>
      </c>
      <c r="F1886" t="s">
        <v>42</v>
      </c>
      <c r="G1886" t="s">
        <v>32</v>
      </c>
      <c r="H1886" t="s">
        <v>33</v>
      </c>
      <c r="I1886" t="s">
        <v>59</v>
      </c>
      <c r="O1886" s="5"/>
      <c r="P1886" s="5"/>
    </row>
    <row r="1887" spans="1:29" x14ac:dyDescent="0.35">
      <c r="A1887" s="4">
        <v>42571</v>
      </c>
      <c r="B1887" t="s">
        <v>30</v>
      </c>
      <c r="C1887">
        <v>402</v>
      </c>
      <c r="D1887">
        <v>5</v>
      </c>
      <c r="E1887">
        <v>1</v>
      </c>
      <c r="F1887" t="s">
        <v>42</v>
      </c>
      <c r="G1887" t="s">
        <v>32</v>
      </c>
      <c r="H1887" t="s">
        <v>33</v>
      </c>
      <c r="I1887" t="s">
        <v>59</v>
      </c>
      <c r="O1887" s="5"/>
      <c r="P1887" s="5"/>
    </row>
    <row r="1888" spans="1:29" x14ac:dyDescent="0.35">
      <c r="A1888" s="4">
        <v>42571</v>
      </c>
      <c r="B1888" t="s">
        <v>30</v>
      </c>
      <c r="C1888">
        <v>112</v>
      </c>
      <c r="D1888">
        <v>6</v>
      </c>
      <c r="E1888">
        <v>2</v>
      </c>
      <c r="F1888" t="s">
        <v>42</v>
      </c>
      <c r="G1888" t="s">
        <v>32</v>
      </c>
      <c r="H1888" t="s">
        <v>33</v>
      </c>
      <c r="I1888" t="s">
        <v>94</v>
      </c>
      <c r="J1888" t="s">
        <v>44</v>
      </c>
      <c r="K1888" t="s">
        <v>36</v>
      </c>
      <c r="L1888" t="s">
        <v>37</v>
      </c>
      <c r="M1888">
        <v>0</v>
      </c>
      <c r="N1888">
        <v>0</v>
      </c>
      <c r="O1888" s="5">
        <v>50495</v>
      </c>
      <c r="P1888" s="5"/>
      <c r="Q1888">
        <f>33-12</f>
        <v>21</v>
      </c>
      <c r="R1888" t="s">
        <v>38</v>
      </c>
      <c r="T1888">
        <v>30</v>
      </c>
      <c r="W1888">
        <v>12.75</v>
      </c>
      <c r="X1888">
        <v>27.3</v>
      </c>
      <c r="Z1888" t="s">
        <v>39</v>
      </c>
      <c r="AB1888" t="s">
        <v>47</v>
      </c>
      <c r="AC1888" t="s">
        <v>41</v>
      </c>
    </row>
    <row r="1889" spans="1:30" x14ac:dyDescent="0.35">
      <c r="A1889" s="4">
        <v>42571</v>
      </c>
      <c r="B1889" t="s">
        <v>30</v>
      </c>
      <c r="C1889">
        <v>112</v>
      </c>
      <c r="D1889">
        <v>9</v>
      </c>
      <c r="E1889">
        <v>2</v>
      </c>
      <c r="F1889" t="s">
        <v>42</v>
      </c>
      <c r="G1889" t="s">
        <v>32</v>
      </c>
      <c r="H1889" t="s">
        <v>33</v>
      </c>
      <c r="I1889" t="s">
        <v>94</v>
      </c>
      <c r="J1889" t="s">
        <v>35</v>
      </c>
      <c r="K1889" t="s">
        <v>88</v>
      </c>
      <c r="L1889" t="s">
        <v>37</v>
      </c>
      <c r="M1889">
        <v>0</v>
      </c>
      <c r="N1889">
        <v>1</v>
      </c>
      <c r="O1889" s="5">
        <v>50805</v>
      </c>
      <c r="P1889" s="5"/>
      <c r="Q1889">
        <f>29.5-11</f>
        <v>18.5</v>
      </c>
      <c r="R1889" t="s">
        <v>38</v>
      </c>
      <c r="T1889">
        <v>27</v>
      </c>
      <c r="W1889">
        <v>12.4</v>
      </c>
      <c r="X1889">
        <v>26.3</v>
      </c>
      <c r="Z1889" t="s">
        <v>39</v>
      </c>
      <c r="AB1889" t="s">
        <v>47</v>
      </c>
      <c r="AC1889" t="s">
        <v>41</v>
      </c>
    </row>
    <row r="1890" spans="1:30" x14ac:dyDescent="0.35">
      <c r="A1890" s="4">
        <v>42571</v>
      </c>
      <c r="B1890" t="s">
        <v>30</v>
      </c>
      <c r="C1890">
        <v>112</v>
      </c>
      <c r="D1890">
        <v>7</v>
      </c>
      <c r="E1890">
        <v>1</v>
      </c>
      <c r="F1890" t="s">
        <v>42</v>
      </c>
      <c r="G1890" t="s">
        <v>32</v>
      </c>
      <c r="H1890" t="s">
        <v>33</v>
      </c>
      <c r="I1890" t="s">
        <v>94</v>
      </c>
      <c r="J1890" t="s">
        <v>48</v>
      </c>
      <c r="K1890" t="s">
        <v>36</v>
      </c>
      <c r="L1890" t="s">
        <v>45</v>
      </c>
      <c r="M1890">
        <v>1</v>
      </c>
      <c r="N1890">
        <v>0</v>
      </c>
      <c r="O1890" s="5" t="s">
        <v>168</v>
      </c>
      <c r="P1890" s="5">
        <v>50802</v>
      </c>
      <c r="Q1890">
        <v>28</v>
      </c>
      <c r="R1890" t="s">
        <v>145</v>
      </c>
      <c r="S1890" t="s">
        <v>102</v>
      </c>
      <c r="T1890">
        <v>28.5</v>
      </c>
      <c r="W1890">
        <v>13</v>
      </c>
      <c r="X1890">
        <v>25.7</v>
      </c>
      <c r="Z1890" t="s">
        <v>39</v>
      </c>
      <c r="AB1890" t="s">
        <v>47</v>
      </c>
      <c r="AC1890" t="s">
        <v>41</v>
      </c>
      <c r="AD1890" t="s">
        <v>245</v>
      </c>
    </row>
    <row r="1891" spans="1:30" x14ac:dyDescent="0.35">
      <c r="A1891" s="4">
        <v>42571</v>
      </c>
      <c r="B1891" t="s">
        <v>30</v>
      </c>
      <c r="C1891">
        <v>304</v>
      </c>
      <c r="D1891">
        <v>8</v>
      </c>
      <c r="E1891">
        <v>2</v>
      </c>
      <c r="F1891" t="s">
        <v>31</v>
      </c>
      <c r="G1891" t="s">
        <v>32</v>
      </c>
      <c r="H1891" t="s">
        <v>33</v>
      </c>
      <c r="J1891" t="s">
        <v>241</v>
      </c>
      <c r="K1891" t="s">
        <v>246</v>
      </c>
      <c r="O1891" s="5"/>
      <c r="P1891" s="5"/>
    </row>
    <row r="1892" spans="1:30" x14ac:dyDescent="0.35">
      <c r="A1892" s="4">
        <v>42572</v>
      </c>
      <c r="B1892" t="s">
        <v>30</v>
      </c>
      <c r="C1892">
        <v>201</v>
      </c>
      <c r="D1892">
        <v>7</v>
      </c>
      <c r="E1892">
        <v>2</v>
      </c>
      <c r="F1892" t="s">
        <v>31</v>
      </c>
      <c r="G1892" t="s">
        <v>32</v>
      </c>
      <c r="H1892" t="s">
        <v>33</v>
      </c>
      <c r="I1892" t="s">
        <v>43</v>
      </c>
      <c r="J1892" t="s">
        <v>44</v>
      </c>
      <c r="K1892" t="s">
        <v>36</v>
      </c>
      <c r="L1892" t="s">
        <v>37</v>
      </c>
      <c r="M1892">
        <v>0</v>
      </c>
      <c r="N1892">
        <v>0</v>
      </c>
      <c r="O1892" s="5">
        <v>50335</v>
      </c>
      <c r="P1892" s="5">
        <v>50334</v>
      </c>
      <c r="Q1892">
        <v>23</v>
      </c>
      <c r="R1892" t="s">
        <v>38</v>
      </c>
      <c r="T1892">
        <v>21</v>
      </c>
      <c r="U1892">
        <v>79</v>
      </c>
      <c r="V1892">
        <v>16</v>
      </c>
      <c r="W1892">
        <v>13.1</v>
      </c>
      <c r="X1892">
        <v>27.5</v>
      </c>
      <c r="Z1892" t="s">
        <v>102</v>
      </c>
      <c r="AB1892" t="s">
        <v>86</v>
      </c>
      <c r="AC1892" t="s">
        <v>41</v>
      </c>
    </row>
    <row r="1893" spans="1:30" x14ac:dyDescent="0.35">
      <c r="A1893" s="4">
        <v>42572</v>
      </c>
      <c r="B1893" t="s">
        <v>30</v>
      </c>
      <c r="C1893">
        <v>111</v>
      </c>
      <c r="D1893">
        <v>2</v>
      </c>
      <c r="E1893">
        <v>1</v>
      </c>
      <c r="F1893" t="s">
        <v>42</v>
      </c>
      <c r="G1893" t="s">
        <v>32</v>
      </c>
      <c r="H1893" t="s">
        <v>33</v>
      </c>
      <c r="I1893" t="s">
        <v>43</v>
      </c>
      <c r="J1893" t="s">
        <v>44</v>
      </c>
      <c r="K1893" t="s">
        <v>36</v>
      </c>
      <c r="L1893" t="s">
        <v>45</v>
      </c>
      <c r="M1893">
        <v>0</v>
      </c>
      <c r="N1893">
        <v>0</v>
      </c>
      <c r="O1893" s="5">
        <v>50348</v>
      </c>
      <c r="P1893" s="5">
        <v>50347</v>
      </c>
      <c r="Q1893">
        <v>20</v>
      </c>
      <c r="R1893" t="s">
        <v>46</v>
      </c>
      <c r="S1893" t="s">
        <v>39</v>
      </c>
      <c r="T1893">
        <v>19</v>
      </c>
      <c r="U1893">
        <v>86</v>
      </c>
      <c r="V1893">
        <v>17</v>
      </c>
      <c r="Z1893" t="s">
        <v>39</v>
      </c>
      <c r="AB1893" t="s">
        <v>86</v>
      </c>
      <c r="AC1893" t="s">
        <v>87</v>
      </c>
    </row>
    <row r="1894" spans="1:30" x14ac:dyDescent="0.35">
      <c r="A1894" s="4">
        <v>42572</v>
      </c>
      <c r="B1894" t="s">
        <v>30</v>
      </c>
      <c r="C1894">
        <v>201</v>
      </c>
      <c r="D1894">
        <v>8</v>
      </c>
      <c r="E1894">
        <v>2</v>
      </c>
      <c r="F1894" t="s">
        <v>31</v>
      </c>
      <c r="G1894" t="s">
        <v>32</v>
      </c>
      <c r="H1894" t="s">
        <v>33</v>
      </c>
      <c r="I1894" t="s">
        <v>43</v>
      </c>
      <c r="J1894" t="s">
        <v>44</v>
      </c>
      <c r="K1894" t="s">
        <v>36</v>
      </c>
      <c r="L1894" t="s">
        <v>45</v>
      </c>
      <c r="M1894">
        <v>0</v>
      </c>
      <c r="N1894">
        <v>0</v>
      </c>
      <c r="O1894" s="5">
        <v>50359</v>
      </c>
      <c r="P1894" s="5">
        <v>50358</v>
      </c>
      <c r="Q1894">
        <f>42-11</f>
        <v>31</v>
      </c>
      <c r="R1894" t="s">
        <v>145</v>
      </c>
      <c r="S1894" t="s">
        <v>102</v>
      </c>
      <c r="T1894">
        <v>19</v>
      </c>
      <c r="U1894">
        <v>91</v>
      </c>
      <c r="V1894">
        <v>16</v>
      </c>
      <c r="W1894">
        <v>13.1</v>
      </c>
      <c r="X1894">
        <v>26.6</v>
      </c>
      <c r="Z1894" t="s">
        <v>39</v>
      </c>
      <c r="AB1894" t="s">
        <v>86</v>
      </c>
      <c r="AC1894" t="s">
        <v>41</v>
      </c>
    </row>
    <row r="1895" spans="1:30" x14ac:dyDescent="0.35">
      <c r="A1895" s="4">
        <v>42572</v>
      </c>
      <c r="B1895" t="s">
        <v>30</v>
      </c>
      <c r="C1895">
        <v>112</v>
      </c>
      <c r="D1895">
        <v>6</v>
      </c>
      <c r="E1895">
        <v>2</v>
      </c>
      <c r="F1895" t="s">
        <v>42</v>
      </c>
      <c r="G1895" t="s">
        <v>32</v>
      </c>
      <c r="H1895" t="s">
        <v>33</v>
      </c>
      <c r="I1895" t="s">
        <v>43</v>
      </c>
      <c r="J1895" t="s">
        <v>44</v>
      </c>
      <c r="K1895" t="s">
        <v>113</v>
      </c>
      <c r="L1895" t="s">
        <v>37</v>
      </c>
      <c r="M1895">
        <v>0</v>
      </c>
      <c r="N1895">
        <v>0</v>
      </c>
      <c r="O1895" s="5">
        <v>50447</v>
      </c>
      <c r="P1895" s="5">
        <v>50446</v>
      </c>
      <c r="Q1895">
        <v>18</v>
      </c>
      <c r="R1895" t="s">
        <v>38</v>
      </c>
      <c r="T1895">
        <v>18</v>
      </c>
      <c r="U1895">
        <v>78.5</v>
      </c>
      <c r="V1895">
        <v>15</v>
      </c>
      <c r="W1895">
        <v>12</v>
      </c>
      <c r="X1895">
        <v>27.7</v>
      </c>
      <c r="Z1895" t="s">
        <v>39</v>
      </c>
      <c r="AB1895" t="s">
        <v>86</v>
      </c>
      <c r="AC1895" t="s">
        <v>87</v>
      </c>
    </row>
    <row r="1896" spans="1:30" x14ac:dyDescent="0.35">
      <c r="A1896" s="4">
        <v>42572</v>
      </c>
      <c r="B1896" t="s">
        <v>30</v>
      </c>
      <c r="C1896">
        <v>111</v>
      </c>
      <c r="D1896">
        <v>3</v>
      </c>
      <c r="E1896">
        <v>2</v>
      </c>
      <c r="F1896" t="s">
        <v>42</v>
      </c>
      <c r="G1896" t="s">
        <v>32</v>
      </c>
      <c r="H1896" t="s">
        <v>33</v>
      </c>
      <c r="I1896" t="s">
        <v>43</v>
      </c>
      <c r="J1896" t="s">
        <v>44</v>
      </c>
      <c r="K1896" t="s">
        <v>36</v>
      </c>
      <c r="L1896" t="s">
        <v>37</v>
      </c>
      <c r="M1896">
        <v>0</v>
      </c>
      <c r="N1896">
        <v>0</v>
      </c>
      <c r="O1896" s="5">
        <v>50475</v>
      </c>
      <c r="P1896" s="5">
        <v>50308</v>
      </c>
      <c r="Q1896">
        <f>32.5-12</f>
        <v>20.5</v>
      </c>
      <c r="R1896" t="s">
        <v>38</v>
      </c>
      <c r="T1896">
        <v>17</v>
      </c>
      <c r="U1896">
        <v>86</v>
      </c>
      <c r="V1896">
        <v>16</v>
      </c>
      <c r="W1896">
        <v>13.1</v>
      </c>
      <c r="X1896">
        <v>28.2</v>
      </c>
      <c r="Z1896" t="s">
        <v>39</v>
      </c>
      <c r="AB1896" t="s">
        <v>86</v>
      </c>
      <c r="AC1896" t="s">
        <v>87</v>
      </c>
    </row>
    <row r="1897" spans="1:30" x14ac:dyDescent="0.35">
      <c r="A1897" s="4">
        <v>42572</v>
      </c>
      <c r="B1897" t="s">
        <v>30</v>
      </c>
      <c r="C1897">
        <v>113</v>
      </c>
      <c r="D1897">
        <v>8</v>
      </c>
      <c r="E1897">
        <v>2</v>
      </c>
      <c r="F1897" t="s">
        <v>42</v>
      </c>
      <c r="G1897" t="s">
        <v>32</v>
      </c>
      <c r="H1897" t="s">
        <v>33</v>
      </c>
      <c r="I1897" t="s">
        <v>43</v>
      </c>
      <c r="J1897" t="s">
        <v>44</v>
      </c>
      <c r="K1897" t="s">
        <v>113</v>
      </c>
      <c r="L1897" t="s">
        <v>45</v>
      </c>
      <c r="M1897">
        <v>0</v>
      </c>
      <c r="N1897">
        <v>0</v>
      </c>
      <c r="O1897" s="5">
        <v>50520</v>
      </c>
      <c r="P1897" s="5">
        <v>50529</v>
      </c>
      <c r="Q1897">
        <f>30-12.5</f>
        <v>17.5</v>
      </c>
      <c r="R1897" t="s">
        <v>74</v>
      </c>
      <c r="S1897" t="s">
        <v>102</v>
      </c>
      <c r="T1897">
        <v>17</v>
      </c>
      <c r="U1897">
        <v>85</v>
      </c>
      <c r="V1897">
        <v>16</v>
      </c>
      <c r="W1897">
        <v>12.5</v>
      </c>
      <c r="X1897">
        <v>25.2</v>
      </c>
      <c r="Z1897" t="s">
        <v>39</v>
      </c>
      <c r="AB1897" t="s">
        <v>86</v>
      </c>
      <c r="AC1897" t="s">
        <v>87</v>
      </c>
    </row>
    <row r="1898" spans="1:30" x14ac:dyDescent="0.35">
      <c r="A1898" s="4">
        <v>42572</v>
      </c>
      <c r="B1898" t="s">
        <v>30</v>
      </c>
      <c r="C1898">
        <v>112</v>
      </c>
      <c r="D1898">
        <v>5</v>
      </c>
      <c r="E1898">
        <v>2</v>
      </c>
      <c r="F1898" t="s">
        <v>42</v>
      </c>
      <c r="G1898" t="s">
        <v>32</v>
      </c>
      <c r="H1898" t="s">
        <v>33</v>
      </c>
      <c r="I1898" t="s">
        <v>43</v>
      </c>
      <c r="J1898" t="s">
        <v>44</v>
      </c>
      <c r="K1898" t="s">
        <v>36</v>
      </c>
      <c r="L1898" t="s">
        <v>37</v>
      </c>
      <c r="M1898">
        <v>0</v>
      </c>
      <c r="N1898">
        <v>0</v>
      </c>
      <c r="O1898" s="5">
        <v>50525</v>
      </c>
      <c r="P1898" s="5">
        <v>50524</v>
      </c>
      <c r="Q1898">
        <f>30-12</f>
        <v>18</v>
      </c>
      <c r="R1898" t="s">
        <v>38</v>
      </c>
      <c r="T1898">
        <v>18</v>
      </c>
      <c r="U1898">
        <v>80</v>
      </c>
      <c r="V1898">
        <v>15</v>
      </c>
      <c r="W1898">
        <v>12.8</v>
      </c>
      <c r="X1898">
        <v>25.9</v>
      </c>
      <c r="Z1898" t="s">
        <v>39</v>
      </c>
      <c r="AB1898" t="s">
        <v>86</v>
      </c>
      <c r="AC1898" t="s">
        <v>87</v>
      </c>
    </row>
    <row r="1899" spans="1:30" x14ac:dyDescent="0.35">
      <c r="A1899" s="4">
        <v>42572</v>
      </c>
      <c r="B1899" t="s">
        <v>30</v>
      </c>
      <c r="C1899">
        <v>111</v>
      </c>
      <c r="D1899">
        <v>5</v>
      </c>
      <c r="E1899">
        <v>2</v>
      </c>
      <c r="F1899" t="s">
        <v>42</v>
      </c>
      <c r="G1899" t="s">
        <v>32</v>
      </c>
      <c r="H1899" t="s">
        <v>33</v>
      </c>
      <c r="I1899" t="s">
        <v>43</v>
      </c>
      <c r="J1899" t="s">
        <v>44</v>
      </c>
      <c r="K1899" t="s">
        <v>113</v>
      </c>
      <c r="L1899" t="s">
        <v>37</v>
      </c>
      <c r="M1899">
        <v>0</v>
      </c>
      <c r="N1899">
        <v>0</v>
      </c>
      <c r="O1899" s="5">
        <v>50530</v>
      </c>
      <c r="P1899" s="5">
        <v>50529</v>
      </c>
      <c r="Q1899">
        <f>28-9.5</f>
        <v>18.5</v>
      </c>
      <c r="R1899" t="s">
        <v>64</v>
      </c>
      <c r="T1899">
        <v>18</v>
      </c>
      <c r="V1899">
        <v>15.5</v>
      </c>
      <c r="W1899">
        <v>13</v>
      </c>
      <c r="X1899">
        <v>27.8</v>
      </c>
      <c r="Z1899" t="s">
        <v>39</v>
      </c>
      <c r="AB1899" t="s">
        <v>97</v>
      </c>
      <c r="AC1899" t="s">
        <v>87</v>
      </c>
    </row>
    <row r="1900" spans="1:30" x14ac:dyDescent="0.35">
      <c r="A1900" s="4">
        <v>42572</v>
      </c>
      <c r="B1900" t="s">
        <v>30</v>
      </c>
      <c r="C1900">
        <v>112</v>
      </c>
      <c r="D1900">
        <v>4</v>
      </c>
      <c r="E1900">
        <v>2</v>
      </c>
      <c r="F1900" t="s">
        <v>42</v>
      </c>
      <c r="G1900" t="s">
        <v>32</v>
      </c>
      <c r="H1900" t="s">
        <v>33</v>
      </c>
      <c r="I1900" t="s">
        <v>43</v>
      </c>
      <c r="J1900" t="s">
        <v>44</v>
      </c>
      <c r="K1900" t="s">
        <v>36</v>
      </c>
      <c r="L1900" t="s">
        <v>37</v>
      </c>
      <c r="M1900">
        <v>0</v>
      </c>
      <c r="N1900">
        <v>0</v>
      </c>
      <c r="O1900" s="5">
        <v>50545</v>
      </c>
      <c r="P1900" s="5">
        <v>50544</v>
      </c>
      <c r="Q1900">
        <f>33.5-11.5</f>
        <v>22</v>
      </c>
      <c r="R1900" t="s">
        <v>38</v>
      </c>
      <c r="T1900">
        <v>18</v>
      </c>
      <c r="U1900">
        <v>81</v>
      </c>
      <c r="V1900">
        <v>15.5</v>
      </c>
      <c r="Z1900" t="s">
        <v>39</v>
      </c>
      <c r="AB1900" t="s">
        <v>86</v>
      </c>
      <c r="AC1900" t="s">
        <v>87</v>
      </c>
    </row>
    <row r="1901" spans="1:30" x14ac:dyDescent="0.35">
      <c r="A1901" s="4">
        <v>42572</v>
      </c>
      <c r="B1901" t="s">
        <v>30</v>
      </c>
      <c r="C1901">
        <v>112</v>
      </c>
      <c r="D1901">
        <v>3</v>
      </c>
      <c r="E1901">
        <v>2</v>
      </c>
      <c r="F1901" t="s">
        <v>42</v>
      </c>
      <c r="G1901" t="s">
        <v>32</v>
      </c>
      <c r="H1901" t="s">
        <v>33</v>
      </c>
      <c r="I1901" t="s">
        <v>43</v>
      </c>
      <c r="J1901" t="s">
        <v>44</v>
      </c>
      <c r="K1901" t="s">
        <v>36</v>
      </c>
      <c r="L1901" t="s">
        <v>37</v>
      </c>
      <c r="M1901">
        <v>0</v>
      </c>
      <c r="N1901">
        <v>0</v>
      </c>
      <c r="O1901" s="5">
        <v>50574</v>
      </c>
      <c r="P1901" s="5">
        <v>50573</v>
      </c>
      <c r="Q1901">
        <f>31-9.5</f>
        <v>21.5</v>
      </c>
      <c r="R1901" t="s">
        <v>38</v>
      </c>
      <c r="T1901">
        <v>18.5</v>
      </c>
      <c r="U1901">
        <v>92</v>
      </c>
      <c r="V1901">
        <v>17</v>
      </c>
      <c r="W1901">
        <v>12.9</v>
      </c>
      <c r="X1901">
        <v>27.2</v>
      </c>
      <c r="Z1901" t="s">
        <v>39</v>
      </c>
      <c r="AB1901" t="s">
        <v>86</v>
      </c>
      <c r="AC1901" t="s">
        <v>87</v>
      </c>
    </row>
    <row r="1902" spans="1:30" x14ac:dyDescent="0.35">
      <c r="A1902" s="4">
        <v>42572</v>
      </c>
      <c r="B1902" t="s">
        <v>30</v>
      </c>
      <c r="C1902">
        <v>111</v>
      </c>
      <c r="D1902">
        <v>6</v>
      </c>
      <c r="E1902">
        <v>1</v>
      </c>
      <c r="F1902" t="s">
        <v>42</v>
      </c>
      <c r="G1902" t="s">
        <v>32</v>
      </c>
      <c r="H1902" t="s">
        <v>33</v>
      </c>
      <c r="I1902" t="s">
        <v>43</v>
      </c>
      <c r="J1902" t="s">
        <v>44</v>
      </c>
      <c r="K1902" t="s">
        <v>36</v>
      </c>
      <c r="L1902" t="s">
        <v>37</v>
      </c>
      <c r="M1902">
        <v>0</v>
      </c>
      <c r="N1902">
        <v>0</v>
      </c>
      <c r="O1902" s="5">
        <v>50602</v>
      </c>
      <c r="P1902" s="5">
        <v>50601</v>
      </c>
      <c r="Q1902">
        <v>22</v>
      </c>
      <c r="R1902" t="s">
        <v>38</v>
      </c>
      <c r="T1902">
        <v>18</v>
      </c>
      <c r="U1902">
        <v>91</v>
      </c>
      <c r="V1902">
        <v>17</v>
      </c>
      <c r="W1902">
        <v>12.6</v>
      </c>
      <c r="X1902">
        <v>25.3</v>
      </c>
      <c r="Z1902" t="s">
        <v>39</v>
      </c>
      <c r="AB1902" t="s">
        <v>86</v>
      </c>
      <c r="AC1902" t="s">
        <v>87</v>
      </c>
    </row>
    <row r="1903" spans="1:30" x14ac:dyDescent="0.35">
      <c r="A1903" s="4">
        <v>42572</v>
      </c>
      <c r="B1903" t="s">
        <v>30</v>
      </c>
      <c r="C1903">
        <v>203</v>
      </c>
      <c r="D1903">
        <v>8</v>
      </c>
      <c r="E1903">
        <v>1</v>
      </c>
      <c r="F1903" t="s">
        <v>31</v>
      </c>
      <c r="G1903" t="s">
        <v>32</v>
      </c>
      <c r="H1903" t="s">
        <v>33</v>
      </c>
      <c r="I1903" t="s">
        <v>43</v>
      </c>
      <c r="J1903" t="s">
        <v>44</v>
      </c>
      <c r="K1903" t="s">
        <v>113</v>
      </c>
      <c r="L1903" t="s">
        <v>45</v>
      </c>
      <c r="M1903">
        <v>0</v>
      </c>
      <c r="N1903">
        <v>0</v>
      </c>
      <c r="O1903" s="5">
        <v>50633</v>
      </c>
      <c r="P1903" s="5">
        <v>50634</v>
      </c>
      <c r="Q1903">
        <f>29.5-10</f>
        <v>19.5</v>
      </c>
      <c r="R1903" t="s">
        <v>161</v>
      </c>
      <c r="S1903" t="s">
        <v>102</v>
      </c>
      <c r="T1903">
        <v>20</v>
      </c>
      <c r="U1903">
        <v>84</v>
      </c>
      <c r="V1903">
        <v>16</v>
      </c>
      <c r="Z1903" t="s">
        <v>102</v>
      </c>
      <c r="AA1903" t="s">
        <v>201</v>
      </c>
      <c r="AB1903" t="s">
        <v>86</v>
      </c>
      <c r="AC1903" t="s">
        <v>41</v>
      </c>
    </row>
    <row r="1904" spans="1:30" x14ac:dyDescent="0.35">
      <c r="A1904" s="4">
        <v>42572</v>
      </c>
      <c r="B1904" t="s">
        <v>30</v>
      </c>
      <c r="C1904">
        <v>203</v>
      </c>
      <c r="D1904">
        <v>6</v>
      </c>
      <c r="E1904">
        <v>1</v>
      </c>
      <c r="F1904" t="s">
        <v>31</v>
      </c>
      <c r="G1904" t="s">
        <v>32</v>
      </c>
      <c r="H1904" t="s">
        <v>33</v>
      </c>
      <c r="I1904" t="s">
        <v>43</v>
      </c>
      <c r="J1904" t="s">
        <v>44</v>
      </c>
      <c r="K1904" t="s">
        <v>88</v>
      </c>
      <c r="L1904" t="s">
        <v>37</v>
      </c>
      <c r="M1904">
        <v>0</v>
      </c>
      <c r="N1904">
        <v>0</v>
      </c>
      <c r="O1904" s="5">
        <v>50665</v>
      </c>
      <c r="P1904" s="5">
        <v>50664</v>
      </c>
      <c r="Q1904">
        <v>15</v>
      </c>
      <c r="R1904" t="s">
        <v>64</v>
      </c>
      <c r="T1904">
        <v>19</v>
      </c>
      <c r="U1904">
        <v>96</v>
      </c>
      <c r="V1904">
        <v>13</v>
      </c>
      <c r="W1904">
        <v>12.9</v>
      </c>
      <c r="X1904">
        <v>26.7</v>
      </c>
      <c r="Z1904" t="s">
        <v>39</v>
      </c>
      <c r="AB1904" t="s">
        <v>86</v>
      </c>
      <c r="AC1904" t="s">
        <v>41</v>
      </c>
    </row>
    <row r="1905" spans="1:30" x14ac:dyDescent="0.35">
      <c r="A1905" s="4">
        <v>42572</v>
      </c>
      <c r="B1905" t="s">
        <v>30</v>
      </c>
      <c r="C1905">
        <v>112</v>
      </c>
      <c r="D1905">
        <v>2</v>
      </c>
      <c r="E1905">
        <v>1</v>
      </c>
      <c r="F1905" t="s">
        <v>42</v>
      </c>
      <c r="G1905" t="s">
        <v>32</v>
      </c>
      <c r="H1905" t="s">
        <v>33</v>
      </c>
      <c r="I1905" t="s">
        <v>43</v>
      </c>
      <c r="J1905" t="s">
        <v>44</v>
      </c>
      <c r="K1905" t="s">
        <v>113</v>
      </c>
      <c r="L1905" t="s">
        <v>45</v>
      </c>
      <c r="M1905">
        <v>0</v>
      </c>
      <c r="N1905">
        <v>0</v>
      </c>
      <c r="O1905" s="5">
        <v>50709</v>
      </c>
      <c r="P1905" s="5">
        <v>50708</v>
      </c>
      <c r="Q1905">
        <f>28-9.5</f>
        <v>18.5</v>
      </c>
      <c r="R1905" t="s">
        <v>46</v>
      </c>
      <c r="S1905" t="s">
        <v>39</v>
      </c>
      <c r="T1905">
        <v>18</v>
      </c>
      <c r="U1905">
        <v>83</v>
      </c>
      <c r="V1905">
        <v>16</v>
      </c>
      <c r="Z1905" t="s">
        <v>39</v>
      </c>
      <c r="AB1905" t="s">
        <v>86</v>
      </c>
      <c r="AC1905" t="s">
        <v>87</v>
      </c>
    </row>
    <row r="1906" spans="1:30" x14ac:dyDescent="0.35">
      <c r="A1906" s="4">
        <v>42572</v>
      </c>
      <c r="B1906" t="s">
        <v>30</v>
      </c>
      <c r="C1906">
        <v>113</v>
      </c>
      <c r="D1906">
        <v>7</v>
      </c>
      <c r="E1906">
        <v>1</v>
      </c>
      <c r="F1906" t="s">
        <v>42</v>
      </c>
      <c r="G1906" t="s">
        <v>32</v>
      </c>
      <c r="H1906" t="s">
        <v>33</v>
      </c>
      <c r="I1906" t="s">
        <v>43</v>
      </c>
      <c r="J1906" t="s">
        <v>44</v>
      </c>
      <c r="K1906" t="s">
        <v>113</v>
      </c>
      <c r="L1906" t="s">
        <v>37</v>
      </c>
      <c r="M1906">
        <v>0</v>
      </c>
      <c r="N1906">
        <v>0</v>
      </c>
      <c r="O1906" s="5">
        <v>50716</v>
      </c>
      <c r="P1906" s="5">
        <v>50715</v>
      </c>
      <c r="Q1906">
        <v>16.5</v>
      </c>
      <c r="R1906" t="s">
        <v>64</v>
      </c>
      <c r="T1906">
        <v>19</v>
      </c>
      <c r="U1906">
        <v>84</v>
      </c>
      <c r="V1906">
        <v>14</v>
      </c>
      <c r="W1906">
        <v>13.2</v>
      </c>
      <c r="X1906">
        <v>25.7</v>
      </c>
      <c r="Z1906" t="s">
        <v>39</v>
      </c>
      <c r="AB1906" t="s">
        <v>86</v>
      </c>
      <c r="AC1906" t="s">
        <v>87</v>
      </c>
    </row>
    <row r="1907" spans="1:30" x14ac:dyDescent="0.35">
      <c r="A1907" s="4">
        <v>42572</v>
      </c>
      <c r="B1907" t="s">
        <v>30</v>
      </c>
      <c r="C1907">
        <v>111</v>
      </c>
      <c r="D1907">
        <v>8</v>
      </c>
      <c r="E1907">
        <v>2</v>
      </c>
      <c r="F1907" t="s">
        <v>42</v>
      </c>
      <c r="G1907" t="s">
        <v>32</v>
      </c>
      <c r="H1907" t="s">
        <v>33</v>
      </c>
      <c r="I1907" t="s">
        <v>43</v>
      </c>
      <c r="J1907" t="s">
        <v>44</v>
      </c>
      <c r="K1907" t="s">
        <v>88</v>
      </c>
      <c r="L1907" t="s">
        <v>45</v>
      </c>
      <c r="M1907">
        <v>0</v>
      </c>
      <c r="N1907">
        <v>0</v>
      </c>
      <c r="O1907" s="5">
        <v>50721</v>
      </c>
      <c r="P1907" s="5">
        <v>50720</v>
      </c>
      <c r="Q1907">
        <f>22-10.5</f>
        <v>11.5</v>
      </c>
      <c r="R1907" t="s">
        <v>46</v>
      </c>
      <c r="S1907" t="s">
        <v>39</v>
      </c>
      <c r="T1907">
        <v>18</v>
      </c>
      <c r="V1907">
        <v>15.5</v>
      </c>
      <c r="W1907">
        <v>12.5</v>
      </c>
      <c r="X1907">
        <v>24.8</v>
      </c>
      <c r="Z1907" t="s">
        <v>39</v>
      </c>
      <c r="AB1907" t="s">
        <v>86</v>
      </c>
      <c r="AC1907" t="s">
        <v>87</v>
      </c>
    </row>
    <row r="1908" spans="1:30" x14ac:dyDescent="0.35">
      <c r="A1908" s="4">
        <v>42572</v>
      </c>
      <c r="B1908" t="s">
        <v>30</v>
      </c>
      <c r="C1908">
        <v>202</v>
      </c>
      <c r="D1908">
        <v>5</v>
      </c>
      <c r="E1908">
        <v>1</v>
      </c>
      <c r="F1908" t="s">
        <v>31</v>
      </c>
      <c r="G1908" t="s">
        <v>32</v>
      </c>
      <c r="H1908" t="s">
        <v>33</v>
      </c>
      <c r="I1908" t="s">
        <v>43</v>
      </c>
      <c r="J1908" t="s">
        <v>44</v>
      </c>
      <c r="K1908" t="s">
        <v>88</v>
      </c>
      <c r="L1908" t="s">
        <v>45</v>
      </c>
      <c r="M1908">
        <v>0</v>
      </c>
      <c r="N1908">
        <v>0</v>
      </c>
      <c r="O1908" s="5">
        <v>50778</v>
      </c>
      <c r="P1908" s="5">
        <v>50777</v>
      </c>
      <c r="Q1908">
        <f>26-12</f>
        <v>14</v>
      </c>
      <c r="R1908" t="s">
        <v>46</v>
      </c>
      <c r="S1908" t="s">
        <v>39</v>
      </c>
      <c r="T1908">
        <v>19</v>
      </c>
      <c r="V1908">
        <v>14</v>
      </c>
      <c r="W1908">
        <v>12.6</v>
      </c>
      <c r="X1908">
        <v>26.6</v>
      </c>
      <c r="Z1908" t="s">
        <v>102</v>
      </c>
      <c r="AA1908" t="s">
        <v>201</v>
      </c>
      <c r="AB1908" t="s">
        <v>86</v>
      </c>
      <c r="AC1908" t="s">
        <v>41</v>
      </c>
    </row>
    <row r="1909" spans="1:30" x14ac:dyDescent="0.35">
      <c r="A1909" s="4">
        <v>42572</v>
      </c>
      <c r="B1909" t="s">
        <v>30</v>
      </c>
      <c r="C1909">
        <v>201</v>
      </c>
      <c r="D1909">
        <v>2</v>
      </c>
      <c r="E1909">
        <v>1</v>
      </c>
      <c r="F1909" t="s">
        <v>31</v>
      </c>
      <c r="G1909" t="s">
        <v>32</v>
      </c>
      <c r="H1909" t="s">
        <v>33</v>
      </c>
      <c r="I1909" t="s">
        <v>43</v>
      </c>
      <c r="J1909" t="s">
        <v>35</v>
      </c>
      <c r="K1909" t="s">
        <v>113</v>
      </c>
      <c r="L1909" t="s">
        <v>45</v>
      </c>
      <c r="M1909">
        <v>0</v>
      </c>
      <c r="N1909">
        <v>1</v>
      </c>
      <c r="O1909" s="5">
        <v>50780</v>
      </c>
      <c r="P1909" s="5">
        <v>50779</v>
      </c>
      <c r="Q1909">
        <f>33-11</f>
        <v>22</v>
      </c>
      <c r="R1909" t="s">
        <v>145</v>
      </c>
      <c r="S1909" t="s">
        <v>102</v>
      </c>
      <c r="T1909">
        <v>18</v>
      </c>
      <c r="U1909">
        <v>85</v>
      </c>
      <c r="V1909">
        <v>14</v>
      </c>
      <c r="W1909">
        <v>12.9</v>
      </c>
      <c r="X1909">
        <v>27.4</v>
      </c>
      <c r="Z1909" t="s">
        <v>102</v>
      </c>
      <c r="AA1909" t="s">
        <v>247</v>
      </c>
      <c r="AB1909" t="s">
        <v>86</v>
      </c>
      <c r="AC1909" t="s">
        <v>41</v>
      </c>
    </row>
    <row r="1910" spans="1:30" x14ac:dyDescent="0.35">
      <c r="A1910" s="4">
        <v>42572</v>
      </c>
      <c r="B1910" t="s">
        <v>30</v>
      </c>
      <c r="C1910">
        <v>202</v>
      </c>
      <c r="D1910">
        <v>8</v>
      </c>
      <c r="E1910">
        <v>2</v>
      </c>
      <c r="F1910" t="s">
        <v>31</v>
      </c>
      <c r="G1910" t="s">
        <v>32</v>
      </c>
      <c r="H1910" t="s">
        <v>33</v>
      </c>
      <c r="I1910" t="s">
        <v>43</v>
      </c>
      <c r="J1910" t="s">
        <v>44</v>
      </c>
      <c r="K1910" t="s">
        <v>88</v>
      </c>
      <c r="L1910" t="s">
        <v>37</v>
      </c>
      <c r="M1910">
        <v>0</v>
      </c>
      <c r="N1910">
        <v>0</v>
      </c>
      <c r="O1910" s="5">
        <v>50786</v>
      </c>
      <c r="P1910" s="5">
        <v>50785</v>
      </c>
      <c r="Q1910">
        <f>27-14.5</f>
        <v>12.5</v>
      </c>
      <c r="R1910" t="s">
        <v>64</v>
      </c>
      <c r="T1910">
        <v>18</v>
      </c>
      <c r="V1910">
        <v>13.5</v>
      </c>
      <c r="W1910">
        <v>12.6</v>
      </c>
      <c r="X1910">
        <v>25.5</v>
      </c>
      <c r="Z1910" t="s">
        <v>102</v>
      </c>
      <c r="AA1910" t="s">
        <v>248</v>
      </c>
      <c r="AB1910" t="s">
        <v>86</v>
      </c>
      <c r="AC1910" t="s">
        <v>41</v>
      </c>
    </row>
    <row r="1911" spans="1:30" x14ac:dyDescent="0.35">
      <c r="A1911" s="4">
        <v>42572</v>
      </c>
      <c r="B1911" t="s">
        <v>30</v>
      </c>
      <c r="C1911">
        <v>112</v>
      </c>
      <c r="D1911">
        <v>7</v>
      </c>
      <c r="E1911">
        <v>2</v>
      </c>
      <c r="F1911" t="s">
        <v>42</v>
      </c>
      <c r="G1911" t="s">
        <v>32</v>
      </c>
      <c r="H1911" t="s">
        <v>33</v>
      </c>
      <c r="I1911" t="s">
        <v>43</v>
      </c>
      <c r="J1911" t="s">
        <v>44</v>
      </c>
      <c r="K1911" t="s">
        <v>113</v>
      </c>
      <c r="L1911" t="s">
        <v>45</v>
      </c>
      <c r="M1911">
        <v>0</v>
      </c>
      <c r="N1911">
        <v>0</v>
      </c>
      <c r="O1911" s="5">
        <v>50804</v>
      </c>
      <c r="P1911" s="5">
        <v>50803</v>
      </c>
      <c r="Q1911">
        <f>34.5-11</f>
        <v>23.5</v>
      </c>
      <c r="R1911" t="s">
        <v>77</v>
      </c>
      <c r="S1911" t="s">
        <v>39</v>
      </c>
      <c r="T1911">
        <v>17</v>
      </c>
      <c r="U1911">
        <v>94</v>
      </c>
      <c r="V1911">
        <v>15</v>
      </c>
      <c r="W1911">
        <v>12.9</v>
      </c>
      <c r="X1911">
        <v>27.4</v>
      </c>
      <c r="Z1911" t="s">
        <v>39</v>
      </c>
      <c r="AB1911" t="s">
        <v>86</v>
      </c>
      <c r="AC1911" t="s">
        <v>87</v>
      </c>
    </row>
    <row r="1912" spans="1:30" x14ac:dyDescent="0.35">
      <c r="A1912" s="4">
        <v>42572</v>
      </c>
      <c r="B1912" t="s">
        <v>30</v>
      </c>
      <c r="C1912">
        <v>111</v>
      </c>
      <c r="D1912">
        <v>3</v>
      </c>
      <c r="E1912">
        <v>1</v>
      </c>
      <c r="F1912" t="s">
        <v>42</v>
      </c>
      <c r="G1912" t="s">
        <v>32</v>
      </c>
      <c r="H1912" t="s">
        <v>33</v>
      </c>
      <c r="I1912" t="s">
        <v>43</v>
      </c>
      <c r="J1912" t="s">
        <v>35</v>
      </c>
      <c r="K1912" t="s">
        <v>249</v>
      </c>
      <c r="L1912" t="s">
        <v>250</v>
      </c>
      <c r="M1912">
        <v>0</v>
      </c>
      <c r="N1912">
        <v>1</v>
      </c>
      <c r="O1912" s="5">
        <v>50809</v>
      </c>
      <c r="P1912" s="5">
        <v>50808</v>
      </c>
      <c r="Q1912">
        <f>26-12</f>
        <v>14</v>
      </c>
      <c r="R1912" t="s">
        <v>64</v>
      </c>
      <c r="T1912">
        <v>19</v>
      </c>
      <c r="V1912">
        <v>17</v>
      </c>
      <c r="W1912">
        <v>12.6</v>
      </c>
      <c r="X1912">
        <v>26.3</v>
      </c>
      <c r="Z1912" t="s">
        <v>39</v>
      </c>
      <c r="AB1912" t="s">
        <v>86</v>
      </c>
      <c r="AC1912" t="s">
        <v>87</v>
      </c>
    </row>
    <row r="1913" spans="1:30" x14ac:dyDescent="0.35">
      <c r="A1913" s="4">
        <v>42572</v>
      </c>
      <c r="B1913" t="s">
        <v>30</v>
      </c>
      <c r="C1913">
        <v>111</v>
      </c>
      <c r="D1913">
        <v>2</v>
      </c>
      <c r="E1913">
        <v>2</v>
      </c>
      <c r="F1913" t="s">
        <v>42</v>
      </c>
      <c r="G1913" t="s">
        <v>32</v>
      </c>
      <c r="H1913" t="s">
        <v>33</v>
      </c>
      <c r="I1913" t="s">
        <v>43</v>
      </c>
      <c r="J1913" t="s">
        <v>35</v>
      </c>
      <c r="K1913" t="s">
        <v>113</v>
      </c>
      <c r="L1913" t="s">
        <v>45</v>
      </c>
      <c r="M1913">
        <v>0</v>
      </c>
      <c r="N1913">
        <v>1</v>
      </c>
      <c r="O1913" s="5">
        <v>50811</v>
      </c>
      <c r="P1913" s="5">
        <v>50810</v>
      </c>
      <c r="Q1913">
        <v>21</v>
      </c>
      <c r="R1913" t="s">
        <v>145</v>
      </c>
      <c r="S1913" t="s">
        <v>102</v>
      </c>
      <c r="T1913">
        <v>19</v>
      </c>
      <c r="U1913">
        <v>98</v>
      </c>
      <c r="V1913">
        <v>17.5</v>
      </c>
      <c r="W1913">
        <v>13.2</v>
      </c>
      <c r="X1913">
        <v>27.9</v>
      </c>
      <c r="Z1913" t="s">
        <v>39</v>
      </c>
      <c r="AB1913" t="s">
        <v>86</v>
      </c>
      <c r="AC1913" t="s">
        <v>87</v>
      </c>
    </row>
    <row r="1914" spans="1:30" x14ac:dyDescent="0.35">
      <c r="A1914" s="4">
        <v>42572</v>
      </c>
      <c r="B1914" t="s">
        <v>30</v>
      </c>
      <c r="C1914">
        <v>111</v>
      </c>
      <c r="D1914">
        <v>9</v>
      </c>
      <c r="E1914">
        <v>2</v>
      </c>
      <c r="F1914" t="s">
        <v>42</v>
      </c>
      <c r="G1914" t="s">
        <v>32</v>
      </c>
      <c r="H1914" t="s">
        <v>33</v>
      </c>
      <c r="I1914" t="s">
        <v>43</v>
      </c>
      <c r="J1914" t="s">
        <v>35</v>
      </c>
      <c r="K1914" t="s">
        <v>88</v>
      </c>
      <c r="L1914" t="s">
        <v>37</v>
      </c>
      <c r="M1914">
        <v>0</v>
      </c>
      <c r="N1914">
        <v>1</v>
      </c>
      <c r="O1914" s="5">
        <v>50813</v>
      </c>
      <c r="P1914" s="5">
        <v>50812</v>
      </c>
      <c r="Q1914">
        <f>22-13</f>
        <v>9</v>
      </c>
      <c r="R1914" t="s">
        <v>64</v>
      </c>
      <c r="T1914">
        <v>18</v>
      </c>
      <c r="V1914">
        <v>16</v>
      </c>
      <c r="W1914">
        <v>12.7</v>
      </c>
      <c r="X1914">
        <v>24.8</v>
      </c>
      <c r="Z1914" t="s">
        <v>39</v>
      </c>
      <c r="AB1914" t="s">
        <v>86</v>
      </c>
      <c r="AC1914" t="s">
        <v>87</v>
      </c>
    </row>
    <row r="1915" spans="1:30" x14ac:dyDescent="0.35">
      <c r="A1915" s="4">
        <v>42572</v>
      </c>
      <c r="B1915" t="s">
        <v>30</v>
      </c>
      <c r="C1915">
        <v>111</v>
      </c>
      <c r="D1915">
        <v>10</v>
      </c>
      <c r="E1915">
        <v>2</v>
      </c>
      <c r="F1915" t="s">
        <v>42</v>
      </c>
      <c r="G1915" t="s">
        <v>32</v>
      </c>
      <c r="H1915" t="s">
        <v>33</v>
      </c>
      <c r="I1915" t="s">
        <v>43</v>
      </c>
      <c r="J1915" t="s">
        <v>35</v>
      </c>
      <c r="K1915" t="s">
        <v>113</v>
      </c>
      <c r="L1915" t="s">
        <v>37</v>
      </c>
      <c r="M1915">
        <v>0</v>
      </c>
      <c r="N1915">
        <v>1</v>
      </c>
      <c r="O1915" s="5">
        <v>50815</v>
      </c>
      <c r="P1915" s="5">
        <v>50814</v>
      </c>
      <c r="Q1915">
        <f>30.5-13</f>
        <v>17.5</v>
      </c>
      <c r="R1915" t="s">
        <v>38</v>
      </c>
      <c r="T1915">
        <v>19</v>
      </c>
      <c r="U1915">
        <v>91.5</v>
      </c>
      <c r="V1915">
        <v>15</v>
      </c>
      <c r="W1915">
        <v>12.8</v>
      </c>
      <c r="X1915">
        <v>26.7</v>
      </c>
      <c r="Z1915" t="s">
        <v>39</v>
      </c>
      <c r="AB1915" t="s">
        <v>86</v>
      </c>
      <c r="AC1915" t="s">
        <v>87</v>
      </c>
    </row>
    <row r="1916" spans="1:30" x14ac:dyDescent="0.35">
      <c r="A1916" s="4">
        <v>42572</v>
      </c>
      <c r="B1916" t="s">
        <v>30</v>
      </c>
      <c r="C1916">
        <v>113</v>
      </c>
      <c r="D1916">
        <v>3</v>
      </c>
      <c r="E1916">
        <v>1</v>
      </c>
      <c r="F1916" t="s">
        <v>42</v>
      </c>
      <c r="G1916" t="s">
        <v>32</v>
      </c>
      <c r="H1916" t="s">
        <v>33</v>
      </c>
      <c r="I1916" t="s">
        <v>43</v>
      </c>
      <c r="J1916" t="s">
        <v>35</v>
      </c>
      <c r="K1916" t="s">
        <v>36</v>
      </c>
      <c r="L1916" t="s">
        <v>37</v>
      </c>
      <c r="M1916">
        <v>0</v>
      </c>
      <c r="N1916">
        <v>1</v>
      </c>
      <c r="O1916" s="5">
        <v>50821</v>
      </c>
      <c r="P1916" s="5">
        <v>50820</v>
      </c>
      <c r="Q1916">
        <v>19</v>
      </c>
      <c r="R1916" t="s">
        <v>64</v>
      </c>
      <c r="T1916">
        <v>17</v>
      </c>
      <c r="U1916">
        <v>91</v>
      </c>
      <c r="V1916">
        <v>17</v>
      </c>
      <c r="W1916">
        <v>13.2</v>
      </c>
      <c r="X1916">
        <v>27.7</v>
      </c>
      <c r="Z1916" t="s">
        <v>39</v>
      </c>
      <c r="AB1916" t="s">
        <v>86</v>
      </c>
      <c r="AC1916" t="s">
        <v>87</v>
      </c>
    </row>
    <row r="1917" spans="1:30" x14ac:dyDescent="0.35">
      <c r="A1917" s="4">
        <v>42572</v>
      </c>
      <c r="B1917" t="s">
        <v>30</v>
      </c>
      <c r="C1917">
        <v>113</v>
      </c>
      <c r="D1917">
        <v>5</v>
      </c>
      <c r="E1917">
        <v>1</v>
      </c>
      <c r="F1917" t="s">
        <v>42</v>
      </c>
      <c r="G1917" t="s">
        <v>32</v>
      </c>
      <c r="H1917" t="s">
        <v>33</v>
      </c>
      <c r="I1917" t="s">
        <v>43</v>
      </c>
      <c r="J1917" t="s">
        <v>35</v>
      </c>
      <c r="K1917" t="s">
        <v>88</v>
      </c>
      <c r="L1917" t="s">
        <v>37</v>
      </c>
      <c r="M1917">
        <v>0</v>
      </c>
      <c r="N1917">
        <v>1</v>
      </c>
      <c r="O1917" s="5">
        <v>50823</v>
      </c>
      <c r="P1917" s="5">
        <v>50822</v>
      </c>
      <c r="Q1917">
        <f>20-10.5</f>
        <v>9.5</v>
      </c>
      <c r="R1917" t="s">
        <v>64</v>
      </c>
      <c r="T1917">
        <v>18</v>
      </c>
      <c r="V1917">
        <v>17</v>
      </c>
      <c r="W1917">
        <v>12</v>
      </c>
      <c r="X1917">
        <v>23.9</v>
      </c>
      <c r="Z1917" t="s">
        <v>39</v>
      </c>
      <c r="AB1917" t="s">
        <v>86</v>
      </c>
      <c r="AC1917" t="s">
        <v>87</v>
      </c>
    </row>
    <row r="1918" spans="1:30" x14ac:dyDescent="0.35">
      <c r="A1918" s="4">
        <v>42572</v>
      </c>
      <c r="B1918" t="s">
        <v>30</v>
      </c>
      <c r="C1918">
        <v>113</v>
      </c>
      <c r="D1918">
        <v>6</v>
      </c>
      <c r="E1918">
        <v>2</v>
      </c>
      <c r="F1918" t="s">
        <v>42</v>
      </c>
      <c r="G1918" t="s">
        <v>32</v>
      </c>
      <c r="H1918" t="s">
        <v>33</v>
      </c>
      <c r="I1918" t="s">
        <v>43</v>
      </c>
      <c r="J1918" t="s">
        <v>35</v>
      </c>
      <c r="K1918" t="s">
        <v>88</v>
      </c>
      <c r="L1918" t="s">
        <v>37</v>
      </c>
      <c r="M1918">
        <v>0</v>
      </c>
      <c r="N1918">
        <v>1</v>
      </c>
      <c r="O1918" s="5">
        <v>50825</v>
      </c>
      <c r="P1918" s="5">
        <v>50824</v>
      </c>
      <c r="Q1918">
        <v>14.5</v>
      </c>
      <c r="R1918" t="s">
        <v>38</v>
      </c>
      <c r="T1918">
        <v>19</v>
      </c>
      <c r="V1918">
        <v>16.5</v>
      </c>
      <c r="W1918">
        <v>12.5</v>
      </c>
      <c r="X1918">
        <v>26.8</v>
      </c>
      <c r="Z1918" t="s">
        <v>39</v>
      </c>
      <c r="AB1918" t="s">
        <v>86</v>
      </c>
      <c r="AC1918" t="s">
        <v>87</v>
      </c>
    </row>
    <row r="1919" spans="1:30" x14ac:dyDescent="0.35">
      <c r="A1919" s="4">
        <v>42572</v>
      </c>
      <c r="B1919" t="s">
        <v>30</v>
      </c>
      <c r="C1919">
        <v>304</v>
      </c>
      <c r="D1919">
        <v>1</v>
      </c>
      <c r="E1919">
        <v>1</v>
      </c>
      <c r="F1919" t="s">
        <v>31</v>
      </c>
      <c r="G1919" t="s">
        <v>32</v>
      </c>
      <c r="H1919" t="s">
        <v>33</v>
      </c>
      <c r="I1919" t="s">
        <v>43</v>
      </c>
      <c r="J1919" t="s">
        <v>35</v>
      </c>
      <c r="K1919" t="s">
        <v>88</v>
      </c>
      <c r="L1919" t="s">
        <v>37</v>
      </c>
      <c r="M1919">
        <v>0</v>
      </c>
      <c r="N1919">
        <v>1</v>
      </c>
      <c r="O1919" s="5">
        <v>50829</v>
      </c>
      <c r="P1919" s="5">
        <v>50828</v>
      </c>
      <c r="Q1919">
        <f>25-11.5</f>
        <v>13.5</v>
      </c>
      <c r="R1919" t="s">
        <v>64</v>
      </c>
      <c r="T1919">
        <v>20</v>
      </c>
      <c r="U1919">
        <v>86</v>
      </c>
      <c r="V1919">
        <v>15</v>
      </c>
      <c r="W1919">
        <v>12.9</v>
      </c>
      <c r="X1919">
        <v>26.8</v>
      </c>
      <c r="Z1919" t="s">
        <v>102</v>
      </c>
      <c r="AB1919" t="s">
        <v>86</v>
      </c>
      <c r="AC1919" t="s">
        <v>41</v>
      </c>
      <c r="AD1919" t="s">
        <v>251</v>
      </c>
    </row>
    <row r="1920" spans="1:30" x14ac:dyDescent="0.35">
      <c r="A1920" s="4">
        <v>42572</v>
      </c>
      <c r="B1920" t="s">
        <v>30</v>
      </c>
      <c r="C1920">
        <v>202</v>
      </c>
      <c r="D1920">
        <v>5</v>
      </c>
      <c r="E1920">
        <v>2</v>
      </c>
      <c r="F1920" t="s">
        <v>31</v>
      </c>
      <c r="G1920" t="s">
        <v>32</v>
      </c>
      <c r="H1920" t="s">
        <v>33</v>
      </c>
      <c r="I1920" t="s">
        <v>43</v>
      </c>
      <c r="J1920" t="s">
        <v>35</v>
      </c>
      <c r="K1920" t="s">
        <v>113</v>
      </c>
      <c r="L1920" t="s">
        <v>37</v>
      </c>
      <c r="M1920">
        <v>0</v>
      </c>
      <c r="N1920">
        <v>1</v>
      </c>
      <c r="O1920" s="5">
        <v>50833</v>
      </c>
      <c r="P1920" s="5"/>
      <c r="Q1920">
        <f>33-13</f>
        <v>20</v>
      </c>
      <c r="R1920" t="s">
        <v>38</v>
      </c>
      <c r="T1920">
        <v>19</v>
      </c>
      <c r="U1920">
        <v>93</v>
      </c>
      <c r="V1920">
        <v>14</v>
      </c>
      <c r="W1920">
        <v>12.8</v>
      </c>
      <c r="X1920">
        <v>27.4</v>
      </c>
      <c r="Z1920" t="s">
        <v>102</v>
      </c>
      <c r="AA1920" t="s">
        <v>201</v>
      </c>
      <c r="AB1920" t="s">
        <v>86</v>
      </c>
      <c r="AC1920" t="s">
        <v>41</v>
      </c>
    </row>
    <row r="1921" spans="1:29" x14ac:dyDescent="0.35">
      <c r="A1921" s="4">
        <v>42572</v>
      </c>
      <c r="B1921" t="s">
        <v>30</v>
      </c>
      <c r="C1921">
        <v>203</v>
      </c>
      <c r="D1921">
        <v>9</v>
      </c>
      <c r="E1921">
        <v>1</v>
      </c>
      <c r="F1921" t="s">
        <v>31</v>
      </c>
      <c r="G1921" t="s">
        <v>32</v>
      </c>
      <c r="H1921" t="s">
        <v>33</v>
      </c>
      <c r="I1921" t="s">
        <v>43</v>
      </c>
      <c r="J1921" t="s">
        <v>35</v>
      </c>
      <c r="K1921" t="s">
        <v>88</v>
      </c>
      <c r="L1921" t="s">
        <v>37</v>
      </c>
      <c r="M1921">
        <v>0</v>
      </c>
      <c r="N1921">
        <v>1</v>
      </c>
      <c r="O1921" s="5">
        <v>50834</v>
      </c>
      <c r="P1921" s="5"/>
      <c r="Q1921">
        <f>23-9.5</f>
        <v>13.5</v>
      </c>
      <c r="R1921" t="s">
        <v>64</v>
      </c>
      <c r="T1921">
        <v>19</v>
      </c>
      <c r="U1921">
        <v>85</v>
      </c>
      <c r="V1921">
        <v>13</v>
      </c>
      <c r="W1921">
        <v>12.9</v>
      </c>
      <c r="X1921">
        <v>26.9</v>
      </c>
      <c r="Z1921" t="s">
        <v>39</v>
      </c>
      <c r="AB1921" t="s">
        <v>86</v>
      </c>
      <c r="AC1921" t="s">
        <v>41</v>
      </c>
    </row>
    <row r="1922" spans="1:29" x14ac:dyDescent="0.35">
      <c r="A1922" s="4">
        <v>42572</v>
      </c>
      <c r="B1922" t="s">
        <v>30</v>
      </c>
      <c r="C1922">
        <v>203</v>
      </c>
      <c r="D1922">
        <v>7</v>
      </c>
      <c r="E1922">
        <v>1</v>
      </c>
      <c r="F1922" t="s">
        <v>31</v>
      </c>
      <c r="G1922" t="s">
        <v>32</v>
      </c>
      <c r="H1922" t="s">
        <v>33</v>
      </c>
      <c r="I1922" t="s">
        <v>43</v>
      </c>
      <c r="J1922" t="s">
        <v>35</v>
      </c>
      <c r="K1922" t="s">
        <v>88</v>
      </c>
      <c r="L1922" t="s">
        <v>45</v>
      </c>
      <c r="M1922">
        <v>0</v>
      </c>
      <c r="N1922">
        <v>1</v>
      </c>
      <c r="O1922" s="5" t="s">
        <v>252</v>
      </c>
      <c r="P1922" s="5"/>
      <c r="Q1922">
        <v>15</v>
      </c>
      <c r="R1922" t="s">
        <v>46</v>
      </c>
      <c r="S1922" t="s">
        <v>39</v>
      </c>
      <c r="T1922">
        <v>18</v>
      </c>
      <c r="U1922">
        <v>87</v>
      </c>
      <c r="V1922">
        <v>14</v>
      </c>
      <c r="W1922">
        <v>12.8</v>
      </c>
      <c r="X1922">
        <v>26.5</v>
      </c>
      <c r="Z1922" t="s">
        <v>39</v>
      </c>
      <c r="AB1922" t="s">
        <v>86</v>
      </c>
      <c r="AC1922" t="s">
        <v>41</v>
      </c>
    </row>
    <row r="1923" spans="1:29" x14ac:dyDescent="0.35">
      <c r="A1923" s="4">
        <v>42572</v>
      </c>
      <c r="B1923" t="s">
        <v>30</v>
      </c>
      <c r="C1923">
        <v>203</v>
      </c>
      <c r="D1923">
        <v>3</v>
      </c>
      <c r="E1923">
        <v>1</v>
      </c>
      <c r="F1923" t="s">
        <v>31</v>
      </c>
      <c r="G1923" t="s">
        <v>32</v>
      </c>
      <c r="H1923" t="s">
        <v>33</v>
      </c>
      <c r="I1923" t="s">
        <v>43</v>
      </c>
      <c r="J1923" t="s">
        <v>35</v>
      </c>
      <c r="K1923" t="s">
        <v>113</v>
      </c>
      <c r="L1923" t="s">
        <v>37</v>
      </c>
      <c r="M1923">
        <v>0</v>
      </c>
      <c r="N1923">
        <v>1</v>
      </c>
      <c r="O1923" s="5" t="s">
        <v>253</v>
      </c>
      <c r="P1923" s="5"/>
      <c r="Q1923">
        <f>29-11</f>
        <v>18</v>
      </c>
      <c r="R1923" t="s">
        <v>38</v>
      </c>
      <c r="T1923">
        <v>19</v>
      </c>
      <c r="U1923">
        <v>80</v>
      </c>
      <c r="V1923">
        <v>13</v>
      </c>
      <c r="W1923">
        <v>12.9</v>
      </c>
      <c r="X1923">
        <v>26.8</v>
      </c>
      <c r="Z1923" t="s">
        <v>39</v>
      </c>
      <c r="AB1923" t="s">
        <v>86</v>
      </c>
      <c r="AC1923" t="s">
        <v>41</v>
      </c>
    </row>
    <row r="1924" spans="1:29" x14ac:dyDescent="0.35">
      <c r="A1924" s="4">
        <v>42572</v>
      </c>
      <c r="B1924" t="s">
        <v>30</v>
      </c>
      <c r="C1924">
        <v>203</v>
      </c>
      <c r="D1924">
        <v>2</v>
      </c>
      <c r="E1924">
        <v>2</v>
      </c>
      <c r="F1924" t="s">
        <v>31</v>
      </c>
      <c r="G1924" t="s">
        <v>32</v>
      </c>
      <c r="H1924" t="s">
        <v>33</v>
      </c>
      <c r="I1924" t="s">
        <v>43</v>
      </c>
      <c r="J1924" t="s">
        <v>35</v>
      </c>
      <c r="K1924" t="s">
        <v>88</v>
      </c>
      <c r="L1924" t="s">
        <v>45</v>
      </c>
      <c r="M1924">
        <v>0</v>
      </c>
      <c r="N1924">
        <v>1</v>
      </c>
      <c r="O1924" s="5">
        <v>50841</v>
      </c>
      <c r="P1924" s="5"/>
      <c r="Q1924">
        <v>15</v>
      </c>
      <c r="R1924" t="s">
        <v>46</v>
      </c>
      <c r="S1924" t="s">
        <v>39</v>
      </c>
      <c r="T1924">
        <v>19</v>
      </c>
      <c r="U1924">
        <v>90</v>
      </c>
      <c r="V1924">
        <v>14</v>
      </c>
      <c r="Z1924" t="s">
        <v>39</v>
      </c>
      <c r="AB1924" t="s">
        <v>86</v>
      </c>
      <c r="AC1924" t="s">
        <v>41</v>
      </c>
    </row>
    <row r="1925" spans="1:29" x14ac:dyDescent="0.35">
      <c r="A1925" s="4">
        <v>42572</v>
      </c>
      <c r="B1925" t="s">
        <v>30</v>
      </c>
      <c r="C1925">
        <v>203</v>
      </c>
      <c r="D1925">
        <v>2</v>
      </c>
      <c r="E1925">
        <v>1</v>
      </c>
      <c r="F1925" t="s">
        <v>31</v>
      </c>
      <c r="G1925" t="s">
        <v>32</v>
      </c>
      <c r="H1925" t="s">
        <v>33</v>
      </c>
      <c r="I1925" t="s">
        <v>43</v>
      </c>
      <c r="J1925" t="s">
        <v>35</v>
      </c>
      <c r="K1925" t="s">
        <v>88</v>
      </c>
      <c r="L1925" t="s">
        <v>45</v>
      </c>
      <c r="M1925">
        <v>0</v>
      </c>
      <c r="N1925">
        <v>1</v>
      </c>
      <c r="O1925" s="5">
        <v>50842</v>
      </c>
      <c r="P1925" s="5"/>
      <c r="Q1925">
        <f>28-13</f>
        <v>15</v>
      </c>
      <c r="R1925" t="s">
        <v>46</v>
      </c>
      <c r="S1925" t="s">
        <v>39</v>
      </c>
      <c r="T1925">
        <v>19</v>
      </c>
      <c r="U1925">
        <v>89</v>
      </c>
      <c r="V1925">
        <v>13</v>
      </c>
      <c r="W1925">
        <v>12.8</v>
      </c>
      <c r="X1925">
        <v>26.7</v>
      </c>
      <c r="Z1925" t="s">
        <v>39</v>
      </c>
      <c r="AB1925" t="s">
        <v>86</v>
      </c>
      <c r="AC1925" t="s">
        <v>41</v>
      </c>
    </row>
    <row r="1926" spans="1:29" x14ac:dyDescent="0.35">
      <c r="A1926" s="4">
        <v>42572</v>
      </c>
      <c r="B1926" t="s">
        <v>30</v>
      </c>
      <c r="C1926">
        <v>201</v>
      </c>
      <c r="D1926">
        <v>10</v>
      </c>
      <c r="E1926">
        <v>1</v>
      </c>
      <c r="F1926" t="s">
        <v>31</v>
      </c>
      <c r="G1926" t="s">
        <v>32</v>
      </c>
      <c r="H1926" t="s">
        <v>33</v>
      </c>
      <c r="I1926" t="s">
        <v>43</v>
      </c>
      <c r="J1926" t="s">
        <v>35</v>
      </c>
      <c r="K1926" t="s">
        <v>88</v>
      </c>
      <c r="L1926" t="s">
        <v>45</v>
      </c>
      <c r="M1926">
        <v>0</v>
      </c>
      <c r="N1926">
        <v>1</v>
      </c>
      <c r="O1926" s="5">
        <v>50844</v>
      </c>
      <c r="P1926" s="5">
        <v>50843</v>
      </c>
      <c r="Q1926">
        <f>24.5-12</f>
        <v>12.5</v>
      </c>
      <c r="R1926" t="s">
        <v>64</v>
      </c>
      <c r="T1926">
        <v>18.5</v>
      </c>
      <c r="U1926">
        <v>14</v>
      </c>
      <c r="W1926">
        <v>12.7</v>
      </c>
      <c r="X1926">
        <v>26.9</v>
      </c>
      <c r="Z1926" t="s">
        <v>102</v>
      </c>
      <c r="AA1926" t="s">
        <v>201</v>
      </c>
      <c r="AB1926" t="s">
        <v>86</v>
      </c>
      <c r="AC1926" t="s">
        <v>41</v>
      </c>
    </row>
    <row r="1927" spans="1:29" x14ac:dyDescent="0.35">
      <c r="A1927" s="4">
        <v>42572</v>
      </c>
      <c r="B1927" t="s">
        <v>30</v>
      </c>
      <c r="C1927">
        <v>201</v>
      </c>
      <c r="D1927">
        <v>8</v>
      </c>
      <c r="E1927">
        <v>1</v>
      </c>
      <c r="F1927" t="s">
        <v>31</v>
      </c>
      <c r="G1927" t="s">
        <v>32</v>
      </c>
      <c r="H1927" t="s">
        <v>33</v>
      </c>
      <c r="I1927" t="s">
        <v>43</v>
      </c>
      <c r="J1927" t="s">
        <v>35</v>
      </c>
      <c r="K1927" t="s">
        <v>88</v>
      </c>
      <c r="L1927" t="s">
        <v>45</v>
      </c>
      <c r="M1927">
        <v>0</v>
      </c>
      <c r="N1927">
        <v>1</v>
      </c>
      <c r="O1927" s="5">
        <v>50846</v>
      </c>
      <c r="P1927" s="5">
        <v>50845</v>
      </c>
      <c r="Q1927">
        <v>11</v>
      </c>
      <c r="R1927" t="s">
        <v>46</v>
      </c>
      <c r="S1927" t="s">
        <v>39</v>
      </c>
      <c r="T1927">
        <v>19</v>
      </c>
      <c r="V1927">
        <v>13</v>
      </c>
      <c r="W1927">
        <v>12.5</v>
      </c>
      <c r="X1927">
        <v>25.5</v>
      </c>
      <c r="Z1927" t="s">
        <v>39</v>
      </c>
      <c r="AB1927" t="s">
        <v>86</v>
      </c>
      <c r="AC1927" t="s">
        <v>41</v>
      </c>
    </row>
    <row r="1928" spans="1:29" x14ac:dyDescent="0.35">
      <c r="A1928" s="4">
        <v>42572</v>
      </c>
      <c r="B1928" t="s">
        <v>30</v>
      </c>
      <c r="C1928">
        <v>201</v>
      </c>
      <c r="D1928">
        <v>7</v>
      </c>
      <c r="E1928">
        <v>1</v>
      </c>
      <c r="F1928" t="s">
        <v>31</v>
      </c>
      <c r="G1928" t="s">
        <v>32</v>
      </c>
      <c r="H1928" t="s">
        <v>33</v>
      </c>
      <c r="I1928" t="s">
        <v>43</v>
      </c>
      <c r="J1928" t="s">
        <v>35</v>
      </c>
      <c r="K1928" t="s">
        <v>113</v>
      </c>
      <c r="L1928" t="s">
        <v>37</v>
      </c>
      <c r="M1928">
        <v>0</v>
      </c>
      <c r="N1928">
        <v>1</v>
      </c>
      <c r="O1928" s="5">
        <v>50848</v>
      </c>
      <c r="P1928" s="5">
        <v>50847</v>
      </c>
      <c r="Q1928">
        <v>18</v>
      </c>
      <c r="R1928" t="s">
        <v>38</v>
      </c>
      <c r="T1928">
        <v>18</v>
      </c>
      <c r="U1928">
        <v>82</v>
      </c>
      <c r="V1928">
        <v>16</v>
      </c>
      <c r="W1928">
        <v>12.7</v>
      </c>
      <c r="X1928">
        <v>26.8</v>
      </c>
      <c r="Z1928" t="s">
        <v>39</v>
      </c>
      <c r="AB1928" t="s">
        <v>86</v>
      </c>
      <c r="AC1928" t="s">
        <v>41</v>
      </c>
    </row>
    <row r="1929" spans="1:29" x14ac:dyDescent="0.35">
      <c r="A1929" s="4">
        <v>42572</v>
      </c>
      <c r="B1929" t="s">
        <v>30</v>
      </c>
      <c r="C1929">
        <v>201</v>
      </c>
      <c r="D1929">
        <v>4</v>
      </c>
      <c r="E1929">
        <v>1</v>
      </c>
      <c r="F1929" t="s">
        <v>31</v>
      </c>
      <c r="G1929" t="s">
        <v>32</v>
      </c>
      <c r="H1929" t="s">
        <v>33</v>
      </c>
      <c r="I1929" t="s">
        <v>43</v>
      </c>
      <c r="J1929" t="s">
        <v>35</v>
      </c>
      <c r="K1929" t="s">
        <v>113</v>
      </c>
      <c r="L1929" t="s">
        <v>37</v>
      </c>
      <c r="M1929">
        <v>0</v>
      </c>
      <c r="N1929">
        <v>1</v>
      </c>
      <c r="O1929" s="5">
        <v>50850</v>
      </c>
      <c r="P1929" s="5">
        <v>50849</v>
      </c>
      <c r="Q1929">
        <f>27-10.5</f>
        <v>16.5</v>
      </c>
      <c r="R1929" t="s">
        <v>38</v>
      </c>
      <c r="T1929">
        <v>19</v>
      </c>
      <c r="U1929">
        <v>82</v>
      </c>
      <c r="V1929">
        <v>17</v>
      </c>
      <c r="W1929">
        <v>12.9</v>
      </c>
      <c r="X1929">
        <v>27.7</v>
      </c>
      <c r="Z1929" t="s">
        <v>39</v>
      </c>
      <c r="AB1929" t="s">
        <v>86</v>
      </c>
      <c r="AC1929" t="s">
        <v>41</v>
      </c>
    </row>
    <row r="1930" spans="1:29" x14ac:dyDescent="0.35">
      <c r="A1930" s="4">
        <v>42572</v>
      </c>
      <c r="B1930" t="s">
        <v>30</v>
      </c>
      <c r="C1930">
        <v>113</v>
      </c>
      <c r="D1930">
        <v>10</v>
      </c>
      <c r="E1930">
        <v>1</v>
      </c>
      <c r="F1930" t="s">
        <v>42</v>
      </c>
      <c r="G1930" t="s">
        <v>32</v>
      </c>
      <c r="H1930" t="s">
        <v>33</v>
      </c>
      <c r="I1930" t="s">
        <v>43</v>
      </c>
      <c r="J1930" t="s">
        <v>35</v>
      </c>
      <c r="K1930" t="s">
        <v>88</v>
      </c>
      <c r="L1930" t="s">
        <v>45</v>
      </c>
      <c r="M1930">
        <v>0</v>
      </c>
      <c r="N1930">
        <v>1</v>
      </c>
      <c r="O1930" s="5">
        <v>50852</v>
      </c>
      <c r="P1930" s="5">
        <v>50851</v>
      </c>
      <c r="Q1930">
        <f>19-9.5</f>
        <v>9.5</v>
      </c>
      <c r="R1930" t="s">
        <v>46</v>
      </c>
      <c r="S1930" t="s">
        <v>39</v>
      </c>
      <c r="T1930">
        <v>18</v>
      </c>
      <c r="V1930">
        <v>17</v>
      </c>
      <c r="W1930">
        <v>11.5</v>
      </c>
      <c r="X1930">
        <v>23.8</v>
      </c>
      <c r="Z1930" t="s">
        <v>39</v>
      </c>
      <c r="AB1930" t="s">
        <v>86</v>
      </c>
      <c r="AC1930" t="s">
        <v>87</v>
      </c>
    </row>
    <row r="1931" spans="1:29" x14ac:dyDescent="0.35">
      <c r="A1931" s="4">
        <v>42572</v>
      </c>
      <c r="B1931" t="s">
        <v>30</v>
      </c>
      <c r="C1931">
        <v>113</v>
      </c>
      <c r="D1931">
        <v>10</v>
      </c>
      <c r="E1931">
        <v>2</v>
      </c>
      <c r="F1931" t="s">
        <v>42</v>
      </c>
      <c r="G1931" t="s">
        <v>32</v>
      </c>
      <c r="H1931" t="s">
        <v>33</v>
      </c>
      <c r="I1931" t="s">
        <v>43</v>
      </c>
      <c r="J1931" t="s">
        <v>35</v>
      </c>
      <c r="K1931" t="s">
        <v>36</v>
      </c>
      <c r="L1931" t="s">
        <v>45</v>
      </c>
      <c r="M1931">
        <v>0</v>
      </c>
      <c r="N1931">
        <v>1</v>
      </c>
      <c r="O1931" s="5">
        <v>50854</v>
      </c>
      <c r="P1931" s="5">
        <v>50853</v>
      </c>
      <c r="Q1931">
        <f>37-12</f>
        <v>25</v>
      </c>
      <c r="R1931" t="s">
        <v>145</v>
      </c>
      <c r="S1931" t="s">
        <v>102</v>
      </c>
      <c r="T1931">
        <v>18</v>
      </c>
      <c r="U1931">
        <v>92</v>
      </c>
      <c r="V1931">
        <v>16</v>
      </c>
      <c r="W1931">
        <v>13.2</v>
      </c>
      <c r="X1931">
        <v>27.9</v>
      </c>
      <c r="Z1931" t="s">
        <v>39</v>
      </c>
      <c r="AB1931" t="s">
        <v>86</v>
      </c>
      <c r="AC1931" t="s">
        <v>87</v>
      </c>
    </row>
    <row r="1932" spans="1:29" x14ac:dyDescent="0.35">
      <c r="A1932" s="4">
        <v>42572</v>
      </c>
      <c r="B1932" t="s">
        <v>30</v>
      </c>
      <c r="C1932">
        <v>201</v>
      </c>
      <c r="D1932">
        <v>9</v>
      </c>
      <c r="E1932">
        <v>1</v>
      </c>
      <c r="F1932" t="s">
        <v>31</v>
      </c>
      <c r="G1932" t="s">
        <v>32</v>
      </c>
      <c r="H1932" t="s">
        <v>33</v>
      </c>
      <c r="I1932" t="s">
        <v>43</v>
      </c>
      <c r="J1932" t="s">
        <v>122</v>
      </c>
      <c r="K1932" t="s">
        <v>88</v>
      </c>
      <c r="L1932" t="s">
        <v>45</v>
      </c>
      <c r="O1932" s="5"/>
      <c r="P1932" s="5"/>
    </row>
    <row r="1933" spans="1:29" x14ac:dyDescent="0.35">
      <c r="A1933" s="4">
        <v>42572</v>
      </c>
      <c r="B1933" t="s">
        <v>30</v>
      </c>
      <c r="C1933">
        <v>113</v>
      </c>
      <c r="D1933">
        <v>1</v>
      </c>
      <c r="E1933">
        <v>1</v>
      </c>
      <c r="F1933" t="s">
        <v>42</v>
      </c>
      <c r="G1933" t="s">
        <v>32</v>
      </c>
      <c r="H1933" t="s">
        <v>33</v>
      </c>
      <c r="I1933" t="s">
        <v>43</v>
      </c>
      <c r="J1933" t="s">
        <v>241</v>
      </c>
      <c r="O1933" s="5"/>
      <c r="P1933" s="5"/>
    </row>
    <row r="1934" spans="1:29" x14ac:dyDescent="0.35">
      <c r="A1934" s="4">
        <v>42572</v>
      </c>
      <c r="B1934" t="s">
        <v>30</v>
      </c>
      <c r="C1934">
        <v>113</v>
      </c>
      <c r="D1934">
        <v>9</v>
      </c>
      <c r="E1934">
        <v>2</v>
      </c>
      <c r="F1934" t="s">
        <v>42</v>
      </c>
      <c r="G1934" t="s">
        <v>32</v>
      </c>
      <c r="H1934" t="s">
        <v>33</v>
      </c>
      <c r="I1934" t="s">
        <v>34</v>
      </c>
      <c r="J1934" t="s">
        <v>44</v>
      </c>
      <c r="K1934" t="s">
        <v>88</v>
      </c>
      <c r="L1934" t="s">
        <v>37</v>
      </c>
      <c r="M1934">
        <v>0</v>
      </c>
      <c r="N1934">
        <v>0</v>
      </c>
      <c r="O1934" s="5">
        <v>50482</v>
      </c>
      <c r="P1934" s="5"/>
      <c r="Q1934">
        <f>180-105</f>
        <v>75</v>
      </c>
      <c r="R1934" t="s">
        <v>38</v>
      </c>
      <c r="T1934">
        <v>28.5</v>
      </c>
      <c r="W1934">
        <v>21.5</v>
      </c>
      <c r="X1934">
        <v>41.5</v>
      </c>
      <c r="Z1934" t="s">
        <v>39</v>
      </c>
      <c r="AB1934" t="s">
        <v>86</v>
      </c>
      <c r="AC1934" t="s">
        <v>87</v>
      </c>
    </row>
    <row r="1935" spans="1:29" x14ac:dyDescent="0.35">
      <c r="A1935" s="4">
        <v>42572</v>
      </c>
      <c r="B1935" t="s">
        <v>30</v>
      </c>
      <c r="C1935">
        <v>304</v>
      </c>
      <c r="D1935">
        <v>4</v>
      </c>
      <c r="E1935">
        <v>1</v>
      </c>
      <c r="F1935" t="s">
        <v>31</v>
      </c>
      <c r="G1935" t="s">
        <v>32</v>
      </c>
      <c r="H1935" t="s">
        <v>33</v>
      </c>
      <c r="I1935" t="s">
        <v>34</v>
      </c>
      <c r="J1935" t="s">
        <v>44</v>
      </c>
      <c r="K1935" t="s">
        <v>36</v>
      </c>
      <c r="L1935" t="s">
        <v>45</v>
      </c>
      <c r="M1935">
        <v>0</v>
      </c>
      <c r="N1935">
        <v>0</v>
      </c>
      <c r="O1935" s="5">
        <v>50782</v>
      </c>
      <c r="P1935" s="5"/>
      <c r="Q1935">
        <f>132-48</f>
        <v>84</v>
      </c>
      <c r="R1935" t="s">
        <v>61</v>
      </c>
      <c r="S1935" t="s">
        <v>39</v>
      </c>
      <c r="T1935">
        <v>45</v>
      </c>
      <c r="Z1935" t="s">
        <v>102</v>
      </c>
      <c r="AA1935" t="s">
        <v>201</v>
      </c>
      <c r="AB1935" t="s">
        <v>86</v>
      </c>
      <c r="AC1935" t="s">
        <v>41</v>
      </c>
    </row>
    <row r="1936" spans="1:29" x14ac:dyDescent="0.35">
      <c r="A1936" s="4">
        <v>42572</v>
      </c>
      <c r="B1936" t="s">
        <v>30</v>
      </c>
      <c r="C1936">
        <v>112</v>
      </c>
      <c r="D1936">
        <v>1</v>
      </c>
      <c r="E1936">
        <v>1</v>
      </c>
      <c r="F1936" t="s">
        <v>42</v>
      </c>
      <c r="G1936" t="s">
        <v>32</v>
      </c>
      <c r="H1936" t="s">
        <v>33</v>
      </c>
      <c r="I1936" t="s">
        <v>34</v>
      </c>
      <c r="J1936" t="s">
        <v>35</v>
      </c>
      <c r="K1936" t="s">
        <v>88</v>
      </c>
      <c r="L1936" t="s">
        <v>37</v>
      </c>
      <c r="M1936">
        <v>0</v>
      </c>
      <c r="N1936">
        <v>1</v>
      </c>
      <c r="O1936" s="5">
        <v>50816</v>
      </c>
      <c r="P1936" s="5"/>
      <c r="Q1936">
        <f>195-110</f>
        <v>85</v>
      </c>
      <c r="R1936" t="s">
        <v>64</v>
      </c>
      <c r="T1936">
        <v>32</v>
      </c>
      <c r="W1936">
        <v>21.5</v>
      </c>
      <c r="X1936">
        <v>42.4</v>
      </c>
      <c r="Z1936" t="s">
        <v>39</v>
      </c>
      <c r="AB1936" t="s">
        <v>86</v>
      </c>
      <c r="AC1936" t="s">
        <v>87</v>
      </c>
    </row>
    <row r="1937" spans="1:30" x14ac:dyDescent="0.35">
      <c r="A1937" s="4">
        <v>42572</v>
      </c>
      <c r="B1937" t="s">
        <v>30</v>
      </c>
      <c r="C1937">
        <v>402</v>
      </c>
      <c r="D1937">
        <v>9</v>
      </c>
      <c r="E1937">
        <v>1</v>
      </c>
      <c r="F1937" t="s">
        <v>42</v>
      </c>
      <c r="G1937" t="s">
        <v>32</v>
      </c>
      <c r="H1937" t="s">
        <v>33</v>
      </c>
      <c r="I1937" t="s">
        <v>34</v>
      </c>
      <c r="J1937" t="s">
        <v>123</v>
      </c>
      <c r="O1937" s="5"/>
      <c r="P1937" s="5"/>
      <c r="AB1937" t="s">
        <v>86</v>
      </c>
      <c r="AC1937" t="s">
        <v>87</v>
      </c>
      <c r="AD1937" t="s">
        <v>254</v>
      </c>
    </row>
    <row r="1938" spans="1:30" x14ac:dyDescent="0.35">
      <c r="A1938" s="4">
        <v>42572</v>
      </c>
      <c r="B1938" t="s">
        <v>30</v>
      </c>
      <c r="C1938">
        <v>304</v>
      </c>
      <c r="D1938">
        <v>2</v>
      </c>
      <c r="E1938">
        <v>1</v>
      </c>
      <c r="F1938" t="s">
        <v>31</v>
      </c>
      <c r="G1938" t="s">
        <v>32</v>
      </c>
      <c r="H1938" t="s">
        <v>33</v>
      </c>
      <c r="I1938" t="s">
        <v>58</v>
      </c>
      <c r="J1938" t="s">
        <v>35</v>
      </c>
      <c r="K1938" t="s">
        <v>36</v>
      </c>
      <c r="L1938" t="s">
        <v>37</v>
      </c>
      <c r="M1938">
        <v>0</v>
      </c>
      <c r="N1938">
        <v>1</v>
      </c>
      <c r="O1938" s="5">
        <v>50330</v>
      </c>
      <c r="P1938" s="5"/>
      <c r="Q1938">
        <f>39-11</f>
        <v>28</v>
      </c>
      <c r="R1938" t="s">
        <v>38</v>
      </c>
      <c r="T1938">
        <v>18</v>
      </c>
      <c r="W1938">
        <v>12.8</v>
      </c>
      <c r="X1938">
        <v>27.2</v>
      </c>
      <c r="Z1938" t="s">
        <v>39</v>
      </c>
      <c r="AB1938" t="s">
        <v>86</v>
      </c>
      <c r="AC1938" t="s">
        <v>41</v>
      </c>
    </row>
    <row r="1939" spans="1:30" x14ac:dyDescent="0.35">
      <c r="A1939" s="4">
        <v>42572</v>
      </c>
      <c r="B1939" t="s">
        <v>30</v>
      </c>
      <c r="C1939">
        <v>112</v>
      </c>
      <c r="D1939">
        <v>9</v>
      </c>
      <c r="E1939">
        <v>2</v>
      </c>
      <c r="F1939" t="s">
        <v>42</v>
      </c>
      <c r="G1939" t="s">
        <v>32</v>
      </c>
      <c r="H1939" t="s">
        <v>33</v>
      </c>
      <c r="I1939" t="s">
        <v>58</v>
      </c>
      <c r="J1939" t="s">
        <v>44</v>
      </c>
      <c r="K1939" t="s">
        <v>36</v>
      </c>
      <c r="L1939" t="s">
        <v>45</v>
      </c>
      <c r="M1939">
        <v>0</v>
      </c>
      <c r="N1939">
        <v>0</v>
      </c>
      <c r="O1939" s="5">
        <v>50710</v>
      </c>
      <c r="P1939" s="5"/>
      <c r="Q1939">
        <f>47-9.5</f>
        <v>37.5</v>
      </c>
      <c r="R1939" t="s">
        <v>77</v>
      </c>
      <c r="S1939" t="s">
        <v>39</v>
      </c>
      <c r="T1939">
        <v>18</v>
      </c>
      <c r="Z1939" t="s">
        <v>39</v>
      </c>
      <c r="AB1939" t="s">
        <v>86</v>
      </c>
      <c r="AC1939" t="s">
        <v>87</v>
      </c>
    </row>
    <row r="1940" spans="1:30" x14ac:dyDescent="0.35">
      <c r="A1940" s="4">
        <v>42572</v>
      </c>
      <c r="B1940" t="s">
        <v>30</v>
      </c>
      <c r="C1940">
        <v>201</v>
      </c>
      <c r="D1940">
        <v>1</v>
      </c>
      <c r="E1940">
        <v>1</v>
      </c>
      <c r="F1940" t="s">
        <v>31</v>
      </c>
      <c r="G1940" t="s">
        <v>32</v>
      </c>
      <c r="H1940" t="s">
        <v>33</v>
      </c>
      <c r="I1940" t="s">
        <v>58</v>
      </c>
      <c r="J1940" t="s">
        <v>35</v>
      </c>
      <c r="K1940" t="s">
        <v>36</v>
      </c>
      <c r="L1940" t="s">
        <v>45</v>
      </c>
      <c r="M1940">
        <v>0</v>
      </c>
      <c r="N1940">
        <v>1</v>
      </c>
      <c r="O1940" s="5">
        <v>50794</v>
      </c>
      <c r="P1940" s="5"/>
      <c r="Q1940">
        <f>37-10.5</f>
        <v>26.5</v>
      </c>
      <c r="R1940" t="s">
        <v>145</v>
      </c>
      <c r="S1940" t="s">
        <v>102</v>
      </c>
      <c r="T1940">
        <v>18</v>
      </c>
      <c r="X1940">
        <v>26.6</v>
      </c>
      <c r="Z1940" t="s">
        <v>102</v>
      </c>
      <c r="AA1940" t="s">
        <v>201</v>
      </c>
      <c r="AB1940" t="s">
        <v>86</v>
      </c>
      <c r="AC1940" t="s">
        <v>41</v>
      </c>
    </row>
    <row r="1941" spans="1:30" x14ac:dyDescent="0.35">
      <c r="A1941" s="4">
        <v>42572</v>
      </c>
      <c r="B1941" t="s">
        <v>30</v>
      </c>
      <c r="C1941">
        <v>402</v>
      </c>
      <c r="D1941">
        <v>1</v>
      </c>
      <c r="E1941">
        <v>1</v>
      </c>
      <c r="F1941" t="s">
        <v>42</v>
      </c>
      <c r="G1941" t="s">
        <v>32</v>
      </c>
      <c r="H1941" t="s">
        <v>33</v>
      </c>
      <c r="I1941" t="s">
        <v>58</v>
      </c>
      <c r="J1941" t="s">
        <v>44</v>
      </c>
      <c r="K1941" t="s">
        <v>36</v>
      </c>
      <c r="L1941" t="s">
        <v>45</v>
      </c>
      <c r="M1941">
        <v>0</v>
      </c>
      <c r="N1941">
        <v>0</v>
      </c>
      <c r="O1941" s="5">
        <v>50806</v>
      </c>
      <c r="P1941" s="5"/>
      <c r="Q1941">
        <v>20</v>
      </c>
      <c r="R1941" t="s">
        <v>79</v>
      </c>
      <c r="S1941" t="s">
        <v>39</v>
      </c>
      <c r="Z1941" t="s">
        <v>102</v>
      </c>
      <c r="AB1941" t="s">
        <v>86</v>
      </c>
      <c r="AC1941" t="s">
        <v>87</v>
      </c>
      <c r="AD1941" t="s">
        <v>255</v>
      </c>
    </row>
    <row r="1942" spans="1:30" x14ac:dyDescent="0.35">
      <c r="A1942" s="4">
        <v>42572</v>
      </c>
      <c r="B1942" t="s">
        <v>30</v>
      </c>
      <c r="C1942">
        <v>112</v>
      </c>
      <c r="D1942">
        <v>6</v>
      </c>
      <c r="E1942">
        <v>1</v>
      </c>
      <c r="F1942" t="s">
        <v>42</v>
      </c>
      <c r="G1942" t="s">
        <v>32</v>
      </c>
      <c r="H1942" t="s">
        <v>33</v>
      </c>
      <c r="I1942" t="s">
        <v>58</v>
      </c>
      <c r="J1942" t="s">
        <v>35</v>
      </c>
      <c r="K1942" t="s">
        <v>88</v>
      </c>
      <c r="L1942" t="s">
        <v>45</v>
      </c>
      <c r="M1942">
        <v>0</v>
      </c>
      <c r="N1942">
        <v>1</v>
      </c>
      <c r="O1942" s="5">
        <v>50818</v>
      </c>
      <c r="P1942" s="5"/>
      <c r="Q1942">
        <f>22-9.5</f>
        <v>12.5</v>
      </c>
      <c r="R1942" t="s">
        <v>46</v>
      </c>
      <c r="S1942" t="s">
        <v>39</v>
      </c>
      <c r="T1942">
        <v>17</v>
      </c>
      <c r="W1942">
        <v>11.9</v>
      </c>
      <c r="X1942">
        <v>23.5</v>
      </c>
      <c r="Z1942" t="s">
        <v>39</v>
      </c>
      <c r="AB1942" t="s">
        <v>86</v>
      </c>
      <c r="AC1942" t="s">
        <v>87</v>
      </c>
    </row>
    <row r="1943" spans="1:30" x14ac:dyDescent="0.35">
      <c r="A1943" s="4">
        <v>42572</v>
      </c>
      <c r="B1943" t="s">
        <v>30</v>
      </c>
      <c r="C1943">
        <v>112</v>
      </c>
      <c r="D1943">
        <v>10</v>
      </c>
      <c r="E1943">
        <v>1</v>
      </c>
      <c r="F1943" t="s">
        <v>42</v>
      </c>
      <c r="G1943" t="s">
        <v>32</v>
      </c>
      <c r="H1943" t="s">
        <v>33</v>
      </c>
      <c r="I1943" t="s">
        <v>58</v>
      </c>
      <c r="J1943" t="s">
        <v>35</v>
      </c>
      <c r="K1943" t="s">
        <v>88</v>
      </c>
      <c r="L1943" t="s">
        <v>45</v>
      </c>
      <c r="M1943">
        <v>0</v>
      </c>
      <c r="N1943">
        <v>1</v>
      </c>
      <c r="O1943" s="5">
        <v>50819</v>
      </c>
      <c r="P1943" s="5"/>
      <c r="Q1943">
        <v>11</v>
      </c>
      <c r="R1943" t="s">
        <v>46</v>
      </c>
      <c r="S1943" t="s">
        <v>39</v>
      </c>
      <c r="T1943">
        <v>16</v>
      </c>
      <c r="W1943">
        <v>11.9</v>
      </c>
      <c r="X1943">
        <v>15.7</v>
      </c>
      <c r="Z1943" t="s">
        <v>102</v>
      </c>
      <c r="AB1943" t="s">
        <v>86</v>
      </c>
      <c r="AC1943" t="s">
        <v>87</v>
      </c>
    </row>
    <row r="1944" spans="1:30" x14ac:dyDescent="0.35">
      <c r="A1944" s="4">
        <v>42572</v>
      </c>
      <c r="B1944" t="s">
        <v>30</v>
      </c>
      <c r="C1944">
        <v>304</v>
      </c>
      <c r="D1944">
        <v>7</v>
      </c>
      <c r="E1944">
        <v>2</v>
      </c>
      <c r="F1944" t="s">
        <v>31</v>
      </c>
      <c r="G1944" t="s">
        <v>32</v>
      </c>
      <c r="H1944" t="s">
        <v>33</v>
      </c>
      <c r="I1944" t="s">
        <v>58</v>
      </c>
      <c r="J1944" t="s">
        <v>35</v>
      </c>
      <c r="K1944" t="s">
        <v>36</v>
      </c>
      <c r="L1944" t="s">
        <v>45</v>
      </c>
      <c r="M1944">
        <v>0</v>
      </c>
      <c r="N1944">
        <v>1</v>
      </c>
      <c r="O1944" s="5">
        <v>50831</v>
      </c>
      <c r="P1944" s="5"/>
      <c r="Q1944">
        <f>32-11</f>
        <v>21</v>
      </c>
      <c r="R1944" t="s">
        <v>145</v>
      </c>
      <c r="S1944" t="s">
        <v>102</v>
      </c>
      <c r="T1944">
        <v>16.5</v>
      </c>
      <c r="W1944">
        <v>12.9</v>
      </c>
      <c r="X1944">
        <v>26.5</v>
      </c>
      <c r="Z1944" t="s">
        <v>102</v>
      </c>
      <c r="AA1944" t="s">
        <v>201</v>
      </c>
      <c r="AB1944" t="s">
        <v>86</v>
      </c>
      <c r="AC1944" t="s">
        <v>41</v>
      </c>
    </row>
    <row r="1945" spans="1:30" x14ac:dyDescent="0.35">
      <c r="A1945" s="4">
        <v>42572</v>
      </c>
      <c r="B1945" t="s">
        <v>30</v>
      </c>
      <c r="C1945">
        <v>304</v>
      </c>
      <c r="D1945">
        <v>9</v>
      </c>
      <c r="E1945">
        <v>2</v>
      </c>
      <c r="F1945" t="s">
        <v>31</v>
      </c>
      <c r="G1945" t="s">
        <v>32</v>
      </c>
      <c r="H1945" t="s">
        <v>33</v>
      </c>
      <c r="I1945" t="s">
        <v>58</v>
      </c>
      <c r="J1945" t="s">
        <v>35</v>
      </c>
      <c r="K1945" t="s">
        <v>36</v>
      </c>
      <c r="L1945" t="s">
        <v>45</v>
      </c>
      <c r="M1945">
        <v>0</v>
      </c>
      <c r="N1945">
        <v>1</v>
      </c>
      <c r="O1945" s="5">
        <v>50832</v>
      </c>
      <c r="P1945" s="5"/>
      <c r="Q1945">
        <v>30</v>
      </c>
      <c r="R1945" t="s">
        <v>145</v>
      </c>
      <c r="S1945" t="s">
        <v>102</v>
      </c>
      <c r="T1945">
        <v>20</v>
      </c>
      <c r="W1945">
        <v>12.9</v>
      </c>
      <c r="Z1945" t="s">
        <v>102</v>
      </c>
      <c r="AA1945" t="s">
        <v>201</v>
      </c>
      <c r="AB1945" t="s">
        <v>86</v>
      </c>
      <c r="AC1945" t="s">
        <v>41</v>
      </c>
    </row>
    <row r="1946" spans="1:30" x14ac:dyDescent="0.35">
      <c r="A1946" s="4">
        <v>42572</v>
      </c>
      <c r="B1946" t="s">
        <v>30</v>
      </c>
      <c r="C1946">
        <v>203</v>
      </c>
      <c r="D1946">
        <v>3</v>
      </c>
      <c r="E1946">
        <v>2</v>
      </c>
      <c r="F1946" t="s">
        <v>31</v>
      </c>
      <c r="G1946" t="s">
        <v>32</v>
      </c>
      <c r="H1946" t="s">
        <v>33</v>
      </c>
      <c r="I1946" t="s">
        <v>58</v>
      </c>
      <c r="J1946" t="s">
        <v>35</v>
      </c>
      <c r="K1946" t="s">
        <v>113</v>
      </c>
      <c r="L1946" t="s">
        <v>37</v>
      </c>
      <c r="M1946">
        <v>0</v>
      </c>
      <c r="N1946">
        <v>1</v>
      </c>
      <c r="O1946" s="5">
        <v>50839</v>
      </c>
      <c r="P1946" s="5"/>
      <c r="Q1946">
        <f>28-12</f>
        <v>16</v>
      </c>
      <c r="R1946" t="s">
        <v>38</v>
      </c>
      <c r="T1946">
        <v>18</v>
      </c>
      <c r="W1946">
        <v>12.8</v>
      </c>
      <c r="X1946">
        <v>26.6</v>
      </c>
      <c r="Z1946" t="s">
        <v>102</v>
      </c>
      <c r="AA1946" t="s">
        <v>256</v>
      </c>
      <c r="AB1946" t="s">
        <v>86</v>
      </c>
      <c r="AC1946" t="s">
        <v>41</v>
      </c>
    </row>
    <row r="1947" spans="1:30" x14ac:dyDescent="0.35">
      <c r="A1947" s="4">
        <v>42572</v>
      </c>
      <c r="B1947" t="s">
        <v>30</v>
      </c>
      <c r="C1947">
        <v>402</v>
      </c>
      <c r="D1947">
        <v>1</v>
      </c>
      <c r="E1947">
        <v>2</v>
      </c>
      <c r="F1947" t="s">
        <v>42</v>
      </c>
      <c r="G1947" t="s">
        <v>32</v>
      </c>
      <c r="H1947" t="s">
        <v>33</v>
      </c>
      <c r="I1947" t="s">
        <v>58</v>
      </c>
      <c r="J1947" t="s">
        <v>35</v>
      </c>
      <c r="K1947" t="s">
        <v>36</v>
      </c>
      <c r="L1947" t="s">
        <v>37</v>
      </c>
      <c r="M1947">
        <v>0</v>
      </c>
      <c r="N1947">
        <v>1</v>
      </c>
      <c r="O1947" s="5">
        <v>50855</v>
      </c>
      <c r="P1947" s="5"/>
      <c r="Q1947">
        <f>34-12</f>
        <v>22</v>
      </c>
      <c r="R1947" t="s">
        <v>64</v>
      </c>
      <c r="Z1947" t="s">
        <v>102</v>
      </c>
      <c r="AB1947" t="s">
        <v>86</v>
      </c>
      <c r="AC1947" t="s">
        <v>87</v>
      </c>
      <c r="AD1947" t="s">
        <v>257</v>
      </c>
    </row>
    <row r="1948" spans="1:30" x14ac:dyDescent="0.35">
      <c r="A1948" s="4">
        <v>42572</v>
      </c>
      <c r="B1948" t="s">
        <v>30</v>
      </c>
      <c r="C1948">
        <v>402</v>
      </c>
      <c r="D1948">
        <v>6</v>
      </c>
      <c r="E1948">
        <v>1</v>
      </c>
      <c r="F1948" t="s">
        <v>42</v>
      </c>
      <c r="G1948" t="s">
        <v>32</v>
      </c>
      <c r="H1948" t="s">
        <v>33</v>
      </c>
      <c r="I1948" t="s">
        <v>58</v>
      </c>
      <c r="J1948" t="s">
        <v>35</v>
      </c>
      <c r="K1948" t="s">
        <v>36</v>
      </c>
      <c r="L1948" t="s">
        <v>45</v>
      </c>
      <c r="M1948">
        <v>0</v>
      </c>
      <c r="N1948">
        <v>1</v>
      </c>
      <c r="O1948" s="5">
        <v>50856</v>
      </c>
      <c r="P1948" s="5"/>
      <c r="Q1948">
        <f>44-15</f>
        <v>29</v>
      </c>
      <c r="R1948" t="s">
        <v>77</v>
      </c>
      <c r="S1948" t="s">
        <v>39</v>
      </c>
      <c r="Z1948" t="s">
        <v>102</v>
      </c>
      <c r="AA1948" t="s">
        <v>258</v>
      </c>
      <c r="AB1948" t="s">
        <v>86</v>
      </c>
      <c r="AC1948" t="s">
        <v>87</v>
      </c>
    </row>
    <row r="1949" spans="1:30" x14ac:dyDescent="0.35">
      <c r="A1949" s="4">
        <v>42572</v>
      </c>
      <c r="B1949" t="s">
        <v>30</v>
      </c>
      <c r="C1949">
        <v>201</v>
      </c>
      <c r="D1949">
        <v>5</v>
      </c>
      <c r="E1949">
        <v>2</v>
      </c>
      <c r="F1949" t="s">
        <v>31</v>
      </c>
      <c r="G1949" t="s">
        <v>32</v>
      </c>
      <c r="H1949" t="s">
        <v>33</v>
      </c>
      <c r="I1949" t="s">
        <v>65</v>
      </c>
      <c r="J1949" t="s">
        <v>35</v>
      </c>
      <c r="K1949" t="s">
        <v>36</v>
      </c>
      <c r="L1949" t="s">
        <v>45</v>
      </c>
      <c r="M1949">
        <v>0</v>
      </c>
      <c r="N1949">
        <v>1</v>
      </c>
      <c r="O1949" s="5">
        <v>50426</v>
      </c>
      <c r="P1949" s="5"/>
      <c r="Q1949">
        <f>224-44</f>
        <v>180</v>
      </c>
      <c r="R1949" t="s">
        <v>145</v>
      </c>
      <c r="S1949" t="s">
        <v>102</v>
      </c>
      <c r="T1949">
        <v>42</v>
      </c>
      <c r="Z1949" t="s">
        <v>39</v>
      </c>
      <c r="AB1949" t="s">
        <v>86</v>
      </c>
      <c r="AC1949" t="s">
        <v>41</v>
      </c>
    </row>
    <row r="1950" spans="1:30" x14ac:dyDescent="0.35">
      <c r="A1950" s="4">
        <v>42572</v>
      </c>
      <c r="B1950" t="s">
        <v>30</v>
      </c>
      <c r="C1950">
        <v>203</v>
      </c>
      <c r="D1950">
        <v>4</v>
      </c>
      <c r="E1950">
        <v>2</v>
      </c>
      <c r="F1950" t="s">
        <v>31</v>
      </c>
      <c r="G1950" t="s">
        <v>32</v>
      </c>
      <c r="H1950" t="s">
        <v>33</v>
      </c>
      <c r="I1950" t="s">
        <v>65</v>
      </c>
      <c r="J1950" t="s">
        <v>44</v>
      </c>
      <c r="K1950" t="s">
        <v>36</v>
      </c>
      <c r="L1950" t="s">
        <v>37</v>
      </c>
      <c r="M1950">
        <v>0</v>
      </c>
      <c r="N1950">
        <v>0</v>
      </c>
      <c r="O1950" s="5">
        <v>50660</v>
      </c>
      <c r="P1950" s="5"/>
      <c r="Q1950">
        <f>211-50</f>
        <v>161</v>
      </c>
      <c r="R1950" t="s">
        <v>38</v>
      </c>
      <c r="T1950">
        <v>43</v>
      </c>
      <c r="W1950">
        <v>25.9</v>
      </c>
      <c r="X1950">
        <v>42</v>
      </c>
      <c r="Z1950" t="s">
        <v>39</v>
      </c>
      <c r="AB1950" t="s">
        <v>86</v>
      </c>
      <c r="AC1950" t="s">
        <v>41</v>
      </c>
    </row>
    <row r="1951" spans="1:30" x14ac:dyDescent="0.35">
      <c r="A1951" s="4">
        <v>42572</v>
      </c>
      <c r="B1951" t="s">
        <v>30</v>
      </c>
      <c r="C1951">
        <v>203</v>
      </c>
      <c r="D1951">
        <v>7</v>
      </c>
      <c r="E1951">
        <v>2</v>
      </c>
      <c r="F1951" t="s">
        <v>31</v>
      </c>
      <c r="G1951" t="s">
        <v>32</v>
      </c>
      <c r="H1951" t="s">
        <v>33</v>
      </c>
      <c r="I1951" t="s">
        <v>65</v>
      </c>
      <c r="J1951" t="s">
        <v>35</v>
      </c>
      <c r="K1951" t="s">
        <v>36</v>
      </c>
      <c r="L1951" t="s">
        <v>37</v>
      </c>
      <c r="M1951">
        <v>0</v>
      </c>
      <c r="N1951">
        <v>1</v>
      </c>
      <c r="O1951" s="5">
        <v>50835</v>
      </c>
      <c r="P1951" s="5"/>
      <c r="Q1951">
        <f>234-48</f>
        <v>186</v>
      </c>
      <c r="R1951" t="s">
        <v>38</v>
      </c>
      <c r="T1951">
        <v>44</v>
      </c>
      <c r="W1951">
        <v>26.2</v>
      </c>
      <c r="X1951">
        <v>47.3</v>
      </c>
      <c r="Z1951" t="s">
        <v>39</v>
      </c>
      <c r="AB1951" t="s">
        <v>86</v>
      </c>
      <c r="AC1951" t="s">
        <v>41</v>
      </c>
    </row>
    <row r="1952" spans="1:30" x14ac:dyDescent="0.35">
      <c r="A1952" s="4">
        <v>42572</v>
      </c>
      <c r="B1952" t="s">
        <v>30</v>
      </c>
      <c r="C1952">
        <v>402</v>
      </c>
      <c r="D1952">
        <v>6</v>
      </c>
      <c r="E1952">
        <v>2</v>
      </c>
      <c r="F1952" t="s">
        <v>42</v>
      </c>
      <c r="G1952" t="s">
        <v>32</v>
      </c>
      <c r="H1952" t="s">
        <v>33</v>
      </c>
      <c r="I1952" t="s">
        <v>65</v>
      </c>
      <c r="J1952" t="s">
        <v>123</v>
      </c>
      <c r="O1952" s="5"/>
      <c r="P1952" s="5"/>
      <c r="AB1952" t="s">
        <v>86</v>
      </c>
      <c r="AC1952" t="s">
        <v>87</v>
      </c>
      <c r="AD1952" t="s">
        <v>254</v>
      </c>
    </row>
    <row r="1953" spans="1:16" x14ac:dyDescent="0.35">
      <c r="A1953" s="4">
        <v>42572</v>
      </c>
      <c r="B1953" t="s">
        <v>30</v>
      </c>
      <c r="C1953">
        <v>402</v>
      </c>
      <c r="D1953">
        <v>4</v>
      </c>
      <c r="E1953">
        <v>1</v>
      </c>
      <c r="F1953" t="s">
        <v>42</v>
      </c>
      <c r="G1953" t="s">
        <v>32</v>
      </c>
      <c r="H1953" t="s">
        <v>33</v>
      </c>
      <c r="I1953" t="s">
        <v>55</v>
      </c>
      <c r="J1953" t="s">
        <v>66</v>
      </c>
      <c r="O1953" s="5"/>
      <c r="P1953" s="5"/>
    </row>
    <row r="1954" spans="1:16" x14ac:dyDescent="0.35">
      <c r="A1954" s="4">
        <v>42572</v>
      </c>
      <c r="B1954" t="s">
        <v>30</v>
      </c>
      <c r="C1954">
        <v>402</v>
      </c>
      <c r="D1954">
        <v>10</v>
      </c>
      <c r="E1954">
        <v>1</v>
      </c>
      <c r="F1954" t="s">
        <v>42</v>
      </c>
      <c r="G1954" t="s">
        <v>32</v>
      </c>
      <c r="H1954" t="s">
        <v>33</v>
      </c>
      <c r="I1954" t="s">
        <v>55</v>
      </c>
      <c r="J1954" t="s">
        <v>66</v>
      </c>
      <c r="O1954" s="5"/>
      <c r="P1954" s="5"/>
    </row>
    <row r="1955" spans="1:16" x14ac:dyDescent="0.35">
      <c r="A1955" s="4">
        <v>42572</v>
      </c>
      <c r="B1955" t="s">
        <v>30</v>
      </c>
      <c r="C1955">
        <v>203</v>
      </c>
      <c r="D1955">
        <v>1</v>
      </c>
      <c r="E1955">
        <v>2</v>
      </c>
      <c r="F1955" t="s">
        <v>31</v>
      </c>
      <c r="G1955" t="s">
        <v>32</v>
      </c>
      <c r="H1955" t="s">
        <v>33</v>
      </c>
      <c r="I1955" t="s">
        <v>84</v>
      </c>
      <c r="O1955" s="5"/>
      <c r="P1955" s="5"/>
    </row>
    <row r="1956" spans="1:16" x14ac:dyDescent="0.35">
      <c r="A1956" s="4">
        <v>42572</v>
      </c>
      <c r="B1956" t="s">
        <v>30</v>
      </c>
      <c r="C1956">
        <v>202</v>
      </c>
      <c r="D1956">
        <v>10</v>
      </c>
      <c r="E1956">
        <v>2</v>
      </c>
      <c r="F1956" t="s">
        <v>31</v>
      </c>
      <c r="G1956" t="s">
        <v>32</v>
      </c>
      <c r="H1956" t="s">
        <v>33</v>
      </c>
      <c r="I1956" t="s">
        <v>84</v>
      </c>
      <c r="O1956" s="5"/>
      <c r="P1956" s="5"/>
    </row>
    <row r="1957" spans="1:16" x14ac:dyDescent="0.35">
      <c r="A1957" s="4">
        <v>42572</v>
      </c>
      <c r="B1957" t="s">
        <v>30</v>
      </c>
      <c r="C1957">
        <v>113</v>
      </c>
      <c r="D1957">
        <v>1</v>
      </c>
      <c r="E1957">
        <v>2</v>
      </c>
      <c r="F1957" t="s">
        <v>42</v>
      </c>
      <c r="G1957" t="s">
        <v>32</v>
      </c>
      <c r="H1957" t="s">
        <v>33</v>
      </c>
      <c r="I1957" t="s">
        <v>84</v>
      </c>
      <c r="O1957" s="5"/>
      <c r="P1957" s="5"/>
    </row>
    <row r="1958" spans="1:16" x14ac:dyDescent="0.35">
      <c r="A1958" s="4">
        <v>42572</v>
      </c>
      <c r="B1958" t="s">
        <v>30</v>
      </c>
      <c r="C1958">
        <v>201</v>
      </c>
      <c r="D1958">
        <v>1</v>
      </c>
      <c r="E1958">
        <v>2</v>
      </c>
      <c r="F1958" t="s">
        <v>31</v>
      </c>
      <c r="G1958" t="s">
        <v>32</v>
      </c>
      <c r="H1958" t="s">
        <v>33</v>
      </c>
      <c r="I1958" t="s">
        <v>59</v>
      </c>
      <c r="O1958" s="5"/>
      <c r="P1958" s="5"/>
    </row>
    <row r="1959" spans="1:16" x14ac:dyDescent="0.35">
      <c r="A1959" s="4">
        <v>42572</v>
      </c>
      <c r="B1959" t="s">
        <v>30</v>
      </c>
      <c r="C1959">
        <v>201</v>
      </c>
      <c r="D1959">
        <v>3</v>
      </c>
      <c r="E1959">
        <v>1</v>
      </c>
      <c r="F1959" t="s">
        <v>31</v>
      </c>
      <c r="G1959" t="s">
        <v>32</v>
      </c>
      <c r="H1959" t="s">
        <v>33</v>
      </c>
      <c r="I1959" t="s">
        <v>59</v>
      </c>
      <c r="O1959" s="5"/>
      <c r="P1959" s="5"/>
    </row>
    <row r="1960" spans="1:16" x14ac:dyDescent="0.35">
      <c r="A1960" s="4">
        <v>42572</v>
      </c>
      <c r="B1960" t="s">
        <v>30</v>
      </c>
      <c r="C1960">
        <v>201</v>
      </c>
      <c r="D1960">
        <v>5</v>
      </c>
      <c r="E1960">
        <v>1</v>
      </c>
      <c r="F1960" t="s">
        <v>31</v>
      </c>
      <c r="G1960" t="s">
        <v>32</v>
      </c>
      <c r="H1960" t="s">
        <v>33</v>
      </c>
      <c r="I1960" t="s">
        <v>59</v>
      </c>
      <c r="O1960" s="5"/>
      <c r="P1960" s="5"/>
    </row>
    <row r="1961" spans="1:16" x14ac:dyDescent="0.35">
      <c r="A1961" s="4">
        <v>42572</v>
      </c>
      <c r="B1961" t="s">
        <v>30</v>
      </c>
      <c r="C1961">
        <v>201</v>
      </c>
      <c r="D1961">
        <v>6</v>
      </c>
      <c r="E1961">
        <v>1</v>
      </c>
      <c r="F1961" t="s">
        <v>31</v>
      </c>
      <c r="G1961" t="s">
        <v>32</v>
      </c>
      <c r="H1961" t="s">
        <v>33</v>
      </c>
      <c r="I1961" t="s">
        <v>59</v>
      </c>
      <c r="O1961" s="5"/>
      <c r="P1961" s="5"/>
    </row>
    <row r="1962" spans="1:16" x14ac:dyDescent="0.35">
      <c r="A1962" s="4">
        <v>42572</v>
      </c>
      <c r="B1962" t="s">
        <v>30</v>
      </c>
      <c r="C1962">
        <v>201</v>
      </c>
      <c r="D1962">
        <v>6</v>
      </c>
      <c r="E1962">
        <v>2</v>
      </c>
      <c r="F1962" t="s">
        <v>31</v>
      </c>
      <c r="G1962" t="s">
        <v>32</v>
      </c>
      <c r="H1962" t="s">
        <v>33</v>
      </c>
      <c r="I1962" t="s">
        <v>59</v>
      </c>
      <c r="O1962" s="5"/>
      <c r="P1962" s="5"/>
    </row>
    <row r="1963" spans="1:16" x14ac:dyDescent="0.35">
      <c r="A1963" s="4">
        <v>42572</v>
      </c>
      <c r="B1963" t="s">
        <v>30</v>
      </c>
      <c r="C1963">
        <v>203</v>
      </c>
      <c r="D1963">
        <v>1</v>
      </c>
      <c r="E1963">
        <v>1</v>
      </c>
      <c r="F1963" t="s">
        <v>31</v>
      </c>
      <c r="G1963" t="s">
        <v>32</v>
      </c>
      <c r="H1963" t="s">
        <v>33</v>
      </c>
      <c r="I1963" t="s">
        <v>59</v>
      </c>
      <c r="O1963" s="5"/>
      <c r="P1963" s="5"/>
    </row>
    <row r="1964" spans="1:16" x14ac:dyDescent="0.35">
      <c r="A1964" s="4">
        <v>42572</v>
      </c>
      <c r="B1964" t="s">
        <v>30</v>
      </c>
      <c r="C1964">
        <v>203</v>
      </c>
      <c r="D1964">
        <v>6</v>
      </c>
      <c r="E1964">
        <v>2</v>
      </c>
      <c r="F1964" t="s">
        <v>31</v>
      </c>
      <c r="G1964" t="s">
        <v>32</v>
      </c>
      <c r="H1964" t="s">
        <v>33</v>
      </c>
      <c r="I1964" t="s">
        <v>59</v>
      </c>
      <c r="O1964" s="5"/>
      <c r="P1964" s="5"/>
    </row>
    <row r="1965" spans="1:16" x14ac:dyDescent="0.35">
      <c r="A1965" s="4">
        <v>42572</v>
      </c>
      <c r="B1965" t="s">
        <v>30</v>
      </c>
      <c r="C1965">
        <v>203</v>
      </c>
      <c r="D1965">
        <v>9</v>
      </c>
      <c r="E1965">
        <v>2</v>
      </c>
      <c r="F1965" t="s">
        <v>31</v>
      </c>
      <c r="G1965" t="s">
        <v>32</v>
      </c>
      <c r="H1965" t="s">
        <v>33</v>
      </c>
      <c r="I1965" t="s">
        <v>59</v>
      </c>
      <c r="O1965" s="5"/>
      <c r="P1965" s="5"/>
    </row>
    <row r="1966" spans="1:16" x14ac:dyDescent="0.35">
      <c r="A1966" s="4">
        <v>42572</v>
      </c>
      <c r="B1966" t="s">
        <v>30</v>
      </c>
      <c r="C1966">
        <v>202</v>
      </c>
      <c r="D1966">
        <v>1</v>
      </c>
      <c r="E1966">
        <v>1</v>
      </c>
      <c r="F1966" t="s">
        <v>31</v>
      </c>
      <c r="G1966" t="s">
        <v>32</v>
      </c>
      <c r="H1966" t="s">
        <v>33</v>
      </c>
      <c r="I1966" t="s">
        <v>59</v>
      </c>
      <c r="O1966" s="5"/>
      <c r="P1966" s="5"/>
    </row>
    <row r="1967" spans="1:16" x14ac:dyDescent="0.35">
      <c r="A1967" s="4">
        <v>42572</v>
      </c>
      <c r="B1967" t="s">
        <v>30</v>
      </c>
      <c r="C1967">
        <v>202</v>
      </c>
      <c r="D1967">
        <v>2</v>
      </c>
      <c r="E1967">
        <v>1</v>
      </c>
      <c r="F1967" t="s">
        <v>31</v>
      </c>
      <c r="G1967" t="s">
        <v>32</v>
      </c>
      <c r="H1967" t="s">
        <v>33</v>
      </c>
      <c r="I1967" t="s">
        <v>59</v>
      </c>
      <c r="O1967" s="5"/>
      <c r="P1967" s="5"/>
    </row>
    <row r="1968" spans="1:16" x14ac:dyDescent="0.35">
      <c r="A1968" s="4">
        <v>42572</v>
      </c>
      <c r="B1968" t="s">
        <v>30</v>
      </c>
      <c r="C1968">
        <v>202</v>
      </c>
      <c r="D1968">
        <v>2</v>
      </c>
      <c r="E1968">
        <v>2</v>
      </c>
      <c r="F1968" t="s">
        <v>31</v>
      </c>
      <c r="G1968" t="s">
        <v>32</v>
      </c>
      <c r="H1968" t="s">
        <v>33</v>
      </c>
      <c r="I1968" t="s">
        <v>59</v>
      </c>
      <c r="O1968" s="5"/>
      <c r="P1968" s="5"/>
    </row>
    <row r="1969" spans="1:16" x14ac:dyDescent="0.35">
      <c r="A1969" s="4">
        <v>42572</v>
      </c>
      <c r="B1969" t="s">
        <v>30</v>
      </c>
      <c r="C1969">
        <v>202</v>
      </c>
      <c r="D1969">
        <v>3</v>
      </c>
      <c r="E1969">
        <v>1</v>
      </c>
      <c r="F1969" t="s">
        <v>31</v>
      </c>
      <c r="G1969" t="s">
        <v>32</v>
      </c>
      <c r="H1969" t="s">
        <v>33</v>
      </c>
      <c r="I1969" t="s">
        <v>59</v>
      </c>
      <c r="O1969" s="5"/>
      <c r="P1969" s="5"/>
    </row>
    <row r="1970" spans="1:16" x14ac:dyDescent="0.35">
      <c r="A1970" s="4">
        <v>42572</v>
      </c>
      <c r="B1970" t="s">
        <v>30</v>
      </c>
      <c r="C1970">
        <v>202</v>
      </c>
      <c r="D1970">
        <v>3</v>
      </c>
      <c r="E1970">
        <v>2</v>
      </c>
      <c r="F1970" t="s">
        <v>31</v>
      </c>
      <c r="G1970" t="s">
        <v>32</v>
      </c>
      <c r="H1970" t="s">
        <v>33</v>
      </c>
      <c r="I1970" t="s">
        <v>59</v>
      </c>
      <c r="O1970" s="5"/>
      <c r="P1970" s="5"/>
    </row>
    <row r="1971" spans="1:16" x14ac:dyDescent="0.35">
      <c r="A1971" s="4">
        <v>42572</v>
      </c>
      <c r="B1971" t="s">
        <v>30</v>
      </c>
      <c r="C1971">
        <v>202</v>
      </c>
      <c r="D1971">
        <v>6</v>
      </c>
      <c r="E1971">
        <v>1</v>
      </c>
      <c r="F1971" t="s">
        <v>31</v>
      </c>
      <c r="G1971" t="s">
        <v>32</v>
      </c>
      <c r="H1971" t="s">
        <v>33</v>
      </c>
      <c r="I1971" t="s">
        <v>59</v>
      </c>
      <c r="O1971" s="5"/>
      <c r="P1971" s="5"/>
    </row>
    <row r="1972" spans="1:16" x14ac:dyDescent="0.35">
      <c r="A1972" s="4">
        <v>42572</v>
      </c>
      <c r="B1972" t="s">
        <v>30</v>
      </c>
      <c r="C1972">
        <v>202</v>
      </c>
      <c r="D1972">
        <v>7</v>
      </c>
      <c r="E1972">
        <v>1</v>
      </c>
      <c r="F1972" t="s">
        <v>31</v>
      </c>
      <c r="G1972" t="s">
        <v>32</v>
      </c>
      <c r="H1972" t="s">
        <v>33</v>
      </c>
      <c r="I1972" t="s">
        <v>59</v>
      </c>
      <c r="O1972" s="5"/>
      <c r="P1972" s="5"/>
    </row>
    <row r="1973" spans="1:16" x14ac:dyDescent="0.35">
      <c r="A1973" s="4">
        <v>42572</v>
      </c>
      <c r="B1973" t="s">
        <v>30</v>
      </c>
      <c r="C1973">
        <v>202</v>
      </c>
      <c r="D1973">
        <v>7</v>
      </c>
      <c r="E1973">
        <v>2</v>
      </c>
      <c r="F1973" t="s">
        <v>31</v>
      </c>
      <c r="G1973" t="s">
        <v>32</v>
      </c>
      <c r="H1973" t="s">
        <v>33</v>
      </c>
      <c r="I1973" t="s">
        <v>59</v>
      </c>
      <c r="O1973" s="5"/>
      <c r="P1973" s="5"/>
    </row>
    <row r="1974" spans="1:16" x14ac:dyDescent="0.35">
      <c r="A1974" s="4">
        <v>42572</v>
      </c>
      <c r="B1974" t="s">
        <v>30</v>
      </c>
      <c r="C1974">
        <v>202</v>
      </c>
      <c r="D1974">
        <v>8</v>
      </c>
      <c r="E1974">
        <v>1</v>
      </c>
      <c r="F1974" t="s">
        <v>31</v>
      </c>
      <c r="G1974" t="s">
        <v>32</v>
      </c>
      <c r="H1974" t="s">
        <v>33</v>
      </c>
      <c r="I1974" t="s">
        <v>59</v>
      </c>
      <c r="O1974" s="5"/>
      <c r="P1974" s="5"/>
    </row>
    <row r="1975" spans="1:16" x14ac:dyDescent="0.35">
      <c r="A1975" s="4">
        <v>42572</v>
      </c>
      <c r="B1975" t="s">
        <v>30</v>
      </c>
      <c r="C1975">
        <v>202</v>
      </c>
      <c r="D1975">
        <v>9</v>
      </c>
      <c r="E1975">
        <v>1</v>
      </c>
      <c r="F1975" t="s">
        <v>31</v>
      </c>
      <c r="G1975" t="s">
        <v>32</v>
      </c>
      <c r="H1975" t="s">
        <v>33</v>
      </c>
      <c r="I1975" t="s">
        <v>59</v>
      </c>
      <c r="O1975" s="5"/>
      <c r="P1975" s="5"/>
    </row>
    <row r="1976" spans="1:16" x14ac:dyDescent="0.35">
      <c r="A1976" s="4">
        <v>42572</v>
      </c>
      <c r="B1976" t="s">
        <v>30</v>
      </c>
      <c r="C1976">
        <v>202</v>
      </c>
      <c r="D1976">
        <v>9</v>
      </c>
      <c r="E1976">
        <v>2</v>
      </c>
      <c r="F1976" t="s">
        <v>31</v>
      </c>
      <c r="G1976" t="s">
        <v>32</v>
      </c>
      <c r="H1976" t="s">
        <v>33</v>
      </c>
      <c r="I1976" t="s">
        <v>59</v>
      </c>
      <c r="O1976" s="5"/>
      <c r="P1976" s="5"/>
    </row>
    <row r="1977" spans="1:16" x14ac:dyDescent="0.35">
      <c r="A1977" s="4">
        <v>42572</v>
      </c>
      <c r="B1977" t="s">
        <v>30</v>
      </c>
      <c r="C1977">
        <v>202</v>
      </c>
      <c r="D1977">
        <v>10</v>
      </c>
      <c r="E1977">
        <v>1</v>
      </c>
      <c r="F1977" t="s">
        <v>31</v>
      </c>
      <c r="G1977" t="s">
        <v>32</v>
      </c>
      <c r="H1977" t="s">
        <v>33</v>
      </c>
      <c r="I1977" t="s">
        <v>59</v>
      </c>
      <c r="O1977" s="5"/>
      <c r="P1977" s="5"/>
    </row>
    <row r="1978" spans="1:16" x14ac:dyDescent="0.35">
      <c r="A1978" s="4">
        <v>42572</v>
      </c>
      <c r="B1978" t="s">
        <v>30</v>
      </c>
      <c r="C1978">
        <v>304</v>
      </c>
      <c r="D1978">
        <v>10</v>
      </c>
      <c r="E1978">
        <v>1</v>
      </c>
      <c r="F1978" t="s">
        <v>31</v>
      </c>
      <c r="G1978" t="s">
        <v>32</v>
      </c>
      <c r="H1978" t="s">
        <v>33</v>
      </c>
      <c r="I1978" t="s">
        <v>59</v>
      </c>
      <c r="O1978" s="5"/>
      <c r="P1978" s="5"/>
    </row>
    <row r="1979" spans="1:16" x14ac:dyDescent="0.35">
      <c r="A1979" s="4">
        <v>42572</v>
      </c>
      <c r="B1979" t="s">
        <v>30</v>
      </c>
      <c r="C1979">
        <v>304</v>
      </c>
      <c r="D1979">
        <v>9</v>
      </c>
      <c r="E1979">
        <v>1</v>
      </c>
      <c r="F1979" t="s">
        <v>31</v>
      </c>
      <c r="G1979" t="s">
        <v>32</v>
      </c>
      <c r="H1979" t="s">
        <v>33</v>
      </c>
      <c r="I1979" t="s">
        <v>59</v>
      </c>
      <c r="O1979" s="5"/>
      <c r="P1979" s="5"/>
    </row>
    <row r="1980" spans="1:16" x14ac:dyDescent="0.35">
      <c r="A1980" s="4">
        <v>42572</v>
      </c>
      <c r="B1980" t="s">
        <v>30</v>
      </c>
      <c r="C1980">
        <v>304</v>
      </c>
      <c r="D1980">
        <v>8</v>
      </c>
      <c r="E1980">
        <v>1</v>
      </c>
      <c r="F1980" t="s">
        <v>31</v>
      </c>
      <c r="G1980" t="s">
        <v>32</v>
      </c>
      <c r="H1980" t="s">
        <v>33</v>
      </c>
      <c r="I1980" t="s">
        <v>59</v>
      </c>
      <c r="O1980" s="5"/>
      <c r="P1980" s="5"/>
    </row>
    <row r="1981" spans="1:16" x14ac:dyDescent="0.35">
      <c r="A1981" s="4">
        <v>42572</v>
      </c>
      <c r="B1981" t="s">
        <v>30</v>
      </c>
      <c r="C1981">
        <v>304</v>
      </c>
      <c r="D1981">
        <v>8</v>
      </c>
      <c r="E1981">
        <v>2</v>
      </c>
      <c r="F1981" t="s">
        <v>31</v>
      </c>
      <c r="G1981" t="s">
        <v>32</v>
      </c>
      <c r="H1981" t="s">
        <v>33</v>
      </c>
      <c r="I1981" t="s">
        <v>59</v>
      </c>
      <c r="O1981" s="5"/>
      <c r="P1981" s="5"/>
    </row>
    <row r="1982" spans="1:16" x14ac:dyDescent="0.35">
      <c r="A1982" s="4">
        <v>42572</v>
      </c>
      <c r="B1982" t="s">
        <v>30</v>
      </c>
      <c r="C1982">
        <v>304</v>
      </c>
      <c r="D1982">
        <v>7</v>
      </c>
      <c r="E1982">
        <v>1</v>
      </c>
      <c r="F1982" t="s">
        <v>31</v>
      </c>
      <c r="G1982" t="s">
        <v>32</v>
      </c>
      <c r="H1982" t="s">
        <v>33</v>
      </c>
      <c r="I1982" t="s">
        <v>59</v>
      </c>
      <c r="O1982" s="5"/>
      <c r="P1982" s="5"/>
    </row>
    <row r="1983" spans="1:16" x14ac:dyDescent="0.35">
      <c r="A1983" s="4">
        <v>42572</v>
      </c>
      <c r="B1983" t="s">
        <v>30</v>
      </c>
      <c r="C1983">
        <v>304</v>
      </c>
      <c r="D1983">
        <v>6</v>
      </c>
      <c r="E1983">
        <v>1</v>
      </c>
      <c r="F1983" t="s">
        <v>31</v>
      </c>
      <c r="G1983" t="s">
        <v>32</v>
      </c>
      <c r="H1983" t="s">
        <v>33</v>
      </c>
      <c r="I1983" t="s">
        <v>59</v>
      </c>
      <c r="O1983" s="5"/>
      <c r="P1983" s="5"/>
    </row>
    <row r="1984" spans="1:16" x14ac:dyDescent="0.35">
      <c r="A1984" s="4">
        <v>42572</v>
      </c>
      <c r="B1984" t="s">
        <v>30</v>
      </c>
      <c r="C1984">
        <v>304</v>
      </c>
      <c r="D1984">
        <v>5</v>
      </c>
      <c r="E1984">
        <v>1</v>
      </c>
      <c r="F1984" t="s">
        <v>31</v>
      </c>
      <c r="G1984" t="s">
        <v>32</v>
      </c>
      <c r="H1984" t="s">
        <v>33</v>
      </c>
      <c r="I1984" t="s">
        <v>59</v>
      </c>
      <c r="O1984" s="5"/>
      <c r="P1984" s="5"/>
    </row>
    <row r="1985" spans="1:16" x14ac:dyDescent="0.35">
      <c r="A1985" s="4">
        <v>42572</v>
      </c>
      <c r="B1985" t="s">
        <v>30</v>
      </c>
      <c r="C1985">
        <v>111</v>
      </c>
      <c r="D1985">
        <v>5</v>
      </c>
      <c r="E1985">
        <v>1</v>
      </c>
      <c r="F1985" t="s">
        <v>42</v>
      </c>
      <c r="G1985" t="s">
        <v>32</v>
      </c>
      <c r="H1985" t="s">
        <v>33</v>
      </c>
      <c r="I1985" t="s">
        <v>59</v>
      </c>
      <c r="O1985" s="5"/>
      <c r="P1985" s="5"/>
    </row>
    <row r="1986" spans="1:16" x14ac:dyDescent="0.35">
      <c r="A1986" s="4">
        <v>42572</v>
      </c>
      <c r="B1986" t="s">
        <v>30</v>
      </c>
      <c r="C1986">
        <v>111</v>
      </c>
      <c r="D1986">
        <v>4</v>
      </c>
      <c r="E1986">
        <v>1</v>
      </c>
      <c r="F1986" t="s">
        <v>42</v>
      </c>
      <c r="G1986" t="s">
        <v>32</v>
      </c>
      <c r="H1986" t="s">
        <v>33</v>
      </c>
      <c r="I1986" t="s">
        <v>59</v>
      </c>
      <c r="O1986" s="5"/>
      <c r="P1986" s="5"/>
    </row>
    <row r="1987" spans="1:16" x14ac:dyDescent="0.35">
      <c r="A1987" s="4">
        <v>42572</v>
      </c>
      <c r="B1987" t="s">
        <v>30</v>
      </c>
      <c r="C1987">
        <v>111</v>
      </c>
      <c r="D1987">
        <v>1</v>
      </c>
      <c r="E1987">
        <v>1</v>
      </c>
      <c r="F1987" t="s">
        <v>42</v>
      </c>
      <c r="G1987" t="s">
        <v>32</v>
      </c>
      <c r="H1987" t="s">
        <v>33</v>
      </c>
      <c r="I1987" t="s">
        <v>59</v>
      </c>
      <c r="O1987" s="5"/>
      <c r="P1987" s="5"/>
    </row>
    <row r="1988" spans="1:16" x14ac:dyDescent="0.35">
      <c r="A1988" s="4">
        <v>42572</v>
      </c>
      <c r="B1988" t="s">
        <v>30</v>
      </c>
      <c r="C1988">
        <v>111</v>
      </c>
      <c r="D1988">
        <v>8</v>
      </c>
      <c r="E1988">
        <v>1</v>
      </c>
      <c r="F1988" t="s">
        <v>42</v>
      </c>
      <c r="G1988" t="s">
        <v>32</v>
      </c>
      <c r="H1988" t="s">
        <v>33</v>
      </c>
      <c r="I1988" t="s">
        <v>59</v>
      </c>
      <c r="O1988" s="5"/>
      <c r="P1988" s="5"/>
    </row>
    <row r="1989" spans="1:16" x14ac:dyDescent="0.35">
      <c r="A1989" s="4">
        <v>42572</v>
      </c>
      <c r="B1989" t="s">
        <v>30</v>
      </c>
      <c r="C1989">
        <v>111</v>
      </c>
      <c r="D1989">
        <v>9</v>
      </c>
      <c r="E1989">
        <v>1</v>
      </c>
      <c r="F1989" t="s">
        <v>42</v>
      </c>
      <c r="G1989" t="s">
        <v>32</v>
      </c>
      <c r="H1989" t="s">
        <v>33</v>
      </c>
      <c r="I1989" t="s">
        <v>59</v>
      </c>
      <c r="O1989" s="5"/>
      <c r="P1989" s="5"/>
    </row>
    <row r="1990" spans="1:16" x14ac:dyDescent="0.35">
      <c r="A1990" s="4">
        <v>42572</v>
      </c>
      <c r="B1990" t="s">
        <v>30</v>
      </c>
      <c r="C1990">
        <v>111</v>
      </c>
      <c r="D1990">
        <v>10</v>
      </c>
      <c r="E1990">
        <v>1</v>
      </c>
      <c r="F1990" t="s">
        <v>42</v>
      </c>
      <c r="G1990" t="s">
        <v>32</v>
      </c>
      <c r="H1990" t="s">
        <v>33</v>
      </c>
      <c r="I1990" t="s">
        <v>59</v>
      </c>
      <c r="O1990" s="5"/>
      <c r="P1990" s="5"/>
    </row>
    <row r="1991" spans="1:16" x14ac:dyDescent="0.35">
      <c r="A1991" s="4">
        <v>42572</v>
      </c>
      <c r="B1991" t="s">
        <v>30</v>
      </c>
      <c r="C1991">
        <v>112</v>
      </c>
      <c r="D1991">
        <v>3</v>
      </c>
      <c r="E1991">
        <v>1</v>
      </c>
      <c r="F1991" t="s">
        <v>42</v>
      </c>
      <c r="G1991" t="s">
        <v>32</v>
      </c>
      <c r="H1991" t="s">
        <v>33</v>
      </c>
      <c r="I1991" t="s">
        <v>59</v>
      </c>
      <c r="O1991" s="5"/>
      <c r="P1991" s="5"/>
    </row>
    <row r="1992" spans="1:16" x14ac:dyDescent="0.35">
      <c r="A1992" s="4">
        <v>42572</v>
      </c>
      <c r="B1992" t="s">
        <v>30</v>
      </c>
      <c r="C1992">
        <v>112</v>
      </c>
      <c r="D1992">
        <v>5</v>
      </c>
      <c r="E1992">
        <v>1</v>
      </c>
      <c r="F1992" t="s">
        <v>42</v>
      </c>
      <c r="G1992" t="s">
        <v>32</v>
      </c>
      <c r="H1992" t="s">
        <v>33</v>
      </c>
      <c r="I1992" t="s">
        <v>59</v>
      </c>
      <c r="O1992" s="5"/>
      <c r="P1992" s="5"/>
    </row>
    <row r="1993" spans="1:16" x14ac:dyDescent="0.35">
      <c r="A1993" s="4">
        <v>42572</v>
      </c>
      <c r="B1993" t="s">
        <v>30</v>
      </c>
      <c r="C1993">
        <v>112</v>
      </c>
      <c r="D1993">
        <v>7</v>
      </c>
      <c r="E1993">
        <v>1</v>
      </c>
      <c r="F1993" t="s">
        <v>42</v>
      </c>
      <c r="G1993" t="s">
        <v>32</v>
      </c>
      <c r="H1993" t="s">
        <v>33</v>
      </c>
      <c r="I1993" t="s">
        <v>59</v>
      </c>
      <c r="O1993" s="5"/>
      <c r="P1993" s="5"/>
    </row>
    <row r="1994" spans="1:16" x14ac:dyDescent="0.35">
      <c r="A1994" s="4">
        <v>42572</v>
      </c>
      <c r="B1994" t="s">
        <v>30</v>
      </c>
      <c r="C1994">
        <v>112</v>
      </c>
      <c r="D1994">
        <v>8</v>
      </c>
      <c r="E1994">
        <v>1</v>
      </c>
      <c r="F1994" t="s">
        <v>42</v>
      </c>
      <c r="G1994" t="s">
        <v>32</v>
      </c>
      <c r="H1994" t="s">
        <v>33</v>
      </c>
      <c r="I1994" t="s">
        <v>59</v>
      </c>
      <c r="O1994" s="5"/>
      <c r="P1994" s="5"/>
    </row>
    <row r="1995" spans="1:16" x14ac:dyDescent="0.35">
      <c r="A1995" s="4">
        <v>42572</v>
      </c>
      <c r="B1995" t="s">
        <v>30</v>
      </c>
      <c r="C1995">
        <v>112</v>
      </c>
      <c r="D1995">
        <v>8</v>
      </c>
      <c r="E1995">
        <v>2</v>
      </c>
      <c r="F1995" t="s">
        <v>42</v>
      </c>
      <c r="G1995" t="s">
        <v>32</v>
      </c>
      <c r="H1995" t="s">
        <v>33</v>
      </c>
      <c r="I1995" t="s">
        <v>59</v>
      </c>
      <c r="O1995" s="5"/>
      <c r="P1995" s="5"/>
    </row>
    <row r="1996" spans="1:16" x14ac:dyDescent="0.35">
      <c r="A1996" s="4">
        <v>42572</v>
      </c>
      <c r="B1996" t="s">
        <v>30</v>
      </c>
      <c r="C1996">
        <v>112</v>
      </c>
      <c r="D1996">
        <v>10</v>
      </c>
      <c r="E1996">
        <v>2</v>
      </c>
      <c r="F1996" t="s">
        <v>42</v>
      </c>
      <c r="G1996" t="s">
        <v>32</v>
      </c>
      <c r="H1996" t="s">
        <v>33</v>
      </c>
      <c r="I1996" t="s">
        <v>59</v>
      </c>
      <c r="O1996" s="5"/>
      <c r="P1996" s="5"/>
    </row>
    <row r="1997" spans="1:16" x14ac:dyDescent="0.35">
      <c r="A1997" s="4">
        <v>42572</v>
      </c>
      <c r="B1997" t="s">
        <v>30</v>
      </c>
      <c r="C1997">
        <v>113</v>
      </c>
      <c r="D1997">
        <v>2</v>
      </c>
      <c r="E1997">
        <v>1</v>
      </c>
      <c r="F1997" t="s">
        <v>42</v>
      </c>
      <c r="G1997" t="s">
        <v>32</v>
      </c>
      <c r="H1997" t="s">
        <v>33</v>
      </c>
      <c r="I1997" t="s">
        <v>59</v>
      </c>
      <c r="O1997" s="5"/>
      <c r="P1997" s="5"/>
    </row>
    <row r="1998" spans="1:16" x14ac:dyDescent="0.35">
      <c r="A1998" s="4">
        <v>42572</v>
      </c>
      <c r="B1998" t="s">
        <v>30</v>
      </c>
      <c r="C1998">
        <v>113</v>
      </c>
      <c r="D1998">
        <v>2</v>
      </c>
      <c r="E1998">
        <v>2</v>
      </c>
      <c r="F1998" t="s">
        <v>42</v>
      </c>
      <c r="G1998" t="s">
        <v>32</v>
      </c>
      <c r="H1998" t="s">
        <v>33</v>
      </c>
      <c r="I1998" t="s">
        <v>59</v>
      </c>
      <c r="O1998" s="5"/>
      <c r="P1998" s="5"/>
    </row>
    <row r="1999" spans="1:16" x14ac:dyDescent="0.35">
      <c r="A1999" s="4">
        <v>42572</v>
      </c>
      <c r="B1999" t="s">
        <v>30</v>
      </c>
      <c r="C1999">
        <v>113</v>
      </c>
      <c r="D1999">
        <v>6</v>
      </c>
      <c r="E1999">
        <v>1</v>
      </c>
      <c r="F1999" t="s">
        <v>42</v>
      </c>
      <c r="G1999" t="s">
        <v>32</v>
      </c>
      <c r="H1999" t="s">
        <v>33</v>
      </c>
      <c r="I1999" t="s">
        <v>59</v>
      </c>
      <c r="O1999" s="5"/>
      <c r="P1999" s="5"/>
    </row>
    <row r="2000" spans="1:16" x14ac:dyDescent="0.35">
      <c r="A2000" s="4">
        <v>42572</v>
      </c>
      <c r="B2000" t="s">
        <v>30</v>
      </c>
      <c r="C2000">
        <v>113</v>
      </c>
      <c r="D2000">
        <v>8</v>
      </c>
      <c r="E2000">
        <v>1</v>
      </c>
      <c r="F2000" t="s">
        <v>42</v>
      </c>
      <c r="G2000" t="s">
        <v>32</v>
      </c>
      <c r="H2000" t="s">
        <v>33</v>
      </c>
      <c r="I2000" t="s">
        <v>59</v>
      </c>
      <c r="O2000" s="5"/>
      <c r="P2000" s="5"/>
    </row>
    <row r="2001" spans="1:30" x14ac:dyDescent="0.35">
      <c r="A2001" s="4">
        <v>42572</v>
      </c>
      <c r="B2001" t="s">
        <v>30</v>
      </c>
      <c r="C2001">
        <v>113</v>
      </c>
      <c r="D2001">
        <v>9</v>
      </c>
      <c r="E2001">
        <v>1</v>
      </c>
      <c r="F2001" t="s">
        <v>42</v>
      </c>
      <c r="G2001" t="s">
        <v>32</v>
      </c>
      <c r="H2001" t="s">
        <v>33</v>
      </c>
      <c r="I2001" t="s">
        <v>59</v>
      </c>
      <c r="O2001" s="5"/>
      <c r="P2001" s="5"/>
    </row>
    <row r="2002" spans="1:30" x14ac:dyDescent="0.35">
      <c r="A2002" s="4">
        <v>42572</v>
      </c>
      <c r="B2002" t="s">
        <v>30</v>
      </c>
      <c r="C2002">
        <v>402</v>
      </c>
      <c r="D2002">
        <v>3</v>
      </c>
      <c r="E2002">
        <v>1</v>
      </c>
      <c r="F2002" t="s">
        <v>42</v>
      </c>
      <c r="G2002" t="s">
        <v>32</v>
      </c>
      <c r="H2002" t="s">
        <v>33</v>
      </c>
      <c r="I2002" t="s">
        <v>59</v>
      </c>
      <c r="O2002" s="5"/>
      <c r="P2002" s="5"/>
    </row>
    <row r="2003" spans="1:30" x14ac:dyDescent="0.35">
      <c r="A2003" s="4">
        <v>42572</v>
      </c>
      <c r="B2003" t="s">
        <v>30</v>
      </c>
      <c r="C2003">
        <v>402</v>
      </c>
      <c r="D2003">
        <v>3</v>
      </c>
      <c r="E2003">
        <v>2</v>
      </c>
      <c r="F2003" t="s">
        <v>42</v>
      </c>
      <c r="G2003" t="s">
        <v>32</v>
      </c>
      <c r="H2003" t="s">
        <v>33</v>
      </c>
      <c r="I2003" t="s">
        <v>59</v>
      </c>
      <c r="O2003" s="5"/>
      <c r="P2003" s="5"/>
    </row>
    <row r="2004" spans="1:30" x14ac:dyDescent="0.35">
      <c r="A2004" s="4">
        <v>42572</v>
      </c>
      <c r="B2004" t="s">
        <v>30</v>
      </c>
      <c r="C2004">
        <v>402</v>
      </c>
      <c r="D2004">
        <v>7</v>
      </c>
      <c r="E2004">
        <v>1</v>
      </c>
      <c r="F2004" t="s">
        <v>42</v>
      </c>
      <c r="G2004" t="s">
        <v>32</v>
      </c>
      <c r="H2004" t="s">
        <v>33</v>
      </c>
      <c r="I2004" t="s">
        <v>59</v>
      </c>
      <c r="O2004" s="5"/>
      <c r="P2004" s="5"/>
    </row>
    <row r="2005" spans="1:30" x14ac:dyDescent="0.35">
      <c r="A2005" s="4">
        <v>42572</v>
      </c>
      <c r="B2005" t="s">
        <v>30</v>
      </c>
      <c r="C2005">
        <v>112</v>
      </c>
      <c r="D2005">
        <v>9</v>
      </c>
      <c r="E2005">
        <v>1</v>
      </c>
      <c r="F2005" t="s">
        <v>42</v>
      </c>
      <c r="G2005" t="s">
        <v>32</v>
      </c>
      <c r="H2005" t="s">
        <v>33</v>
      </c>
      <c r="I2005" t="s">
        <v>94</v>
      </c>
      <c r="J2005" t="s">
        <v>44</v>
      </c>
      <c r="K2005" t="s">
        <v>36</v>
      </c>
      <c r="L2005" t="s">
        <v>37</v>
      </c>
      <c r="M2005">
        <v>0</v>
      </c>
      <c r="N2005">
        <v>0</v>
      </c>
      <c r="O2005" s="5">
        <v>50495</v>
      </c>
      <c r="P2005" s="5" t="s">
        <v>168</v>
      </c>
      <c r="Q2005">
        <f>32-11.5</f>
        <v>20.5</v>
      </c>
      <c r="R2005" t="s">
        <v>38</v>
      </c>
      <c r="T2005">
        <v>29</v>
      </c>
      <c r="X2005">
        <v>25.5</v>
      </c>
      <c r="Z2005" t="s">
        <v>39</v>
      </c>
      <c r="AB2005" t="s">
        <v>86</v>
      </c>
      <c r="AC2005" t="s">
        <v>87</v>
      </c>
    </row>
    <row r="2006" spans="1:30" x14ac:dyDescent="0.35">
      <c r="A2006" s="4">
        <v>42572</v>
      </c>
      <c r="B2006" t="s">
        <v>30</v>
      </c>
      <c r="C2006">
        <v>112</v>
      </c>
      <c r="D2006">
        <v>4</v>
      </c>
      <c r="E2006">
        <v>1</v>
      </c>
      <c r="F2006" t="s">
        <v>42</v>
      </c>
      <c r="G2006" t="s">
        <v>32</v>
      </c>
      <c r="H2006" t="s">
        <v>33</v>
      </c>
      <c r="I2006" t="s">
        <v>94</v>
      </c>
      <c r="J2006" t="s">
        <v>35</v>
      </c>
      <c r="K2006" t="s">
        <v>36</v>
      </c>
      <c r="L2006" t="s">
        <v>45</v>
      </c>
      <c r="M2006">
        <v>0</v>
      </c>
      <c r="N2006">
        <v>1</v>
      </c>
      <c r="O2006" s="5">
        <v>50817</v>
      </c>
      <c r="P2006" s="5"/>
      <c r="Q2006">
        <f>35-19.5</f>
        <v>15.5</v>
      </c>
      <c r="R2006" t="s">
        <v>77</v>
      </c>
      <c r="S2006" t="s">
        <v>39</v>
      </c>
      <c r="T2006">
        <v>28</v>
      </c>
      <c r="W2006">
        <v>13.4</v>
      </c>
      <c r="X2006">
        <v>25.7</v>
      </c>
      <c r="Z2006" t="s">
        <v>39</v>
      </c>
      <c r="AB2006" t="s">
        <v>86</v>
      </c>
      <c r="AC2006" t="s">
        <v>87</v>
      </c>
    </row>
    <row r="2007" spans="1:30" x14ac:dyDescent="0.35">
      <c r="A2007" s="4">
        <v>42572</v>
      </c>
      <c r="B2007" t="s">
        <v>30</v>
      </c>
      <c r="C2007">
        <v>203</v>
      </c>
      <c r="D2007">
        <v>5</v>
      </c>
      <c r="E2007">
        <v>2</v>
      </c>
      <c r="F2007" t="s">
        <v>31</v>
      </c>
      <c r="G2007" t="s">
        <v>32</v>
      </c>
      <c r="H2007" t="s">
        <v>33</v>
      </c>
      <c r="I2007" t="s">
        <v>94</v>
      </c>
      <c r="J2007" t="s">
        <v>35</v>
      </c>
      <c r="K2007" t="s">
        <v>36</v>
      </c>
      <c r="L2007" t="s">
        <v>45</v>
      </c>
      <c r="M2007">
        <v>0</v>
      </c>
      <c r="N2007">
        <v>1</v>
      </c>
      <c r="O2007" s="5">
        <v>50837</v>
      </c>
      <c r="P2007" s="5"/>
      <c r="Q2007">
        <f>34-9.5</f>
        <v>24.5</v>
      </c>
      <c r="R2007" t="s">
        <v>145</v>
      </c>
      <c r="S2007" t="s">
        <v>102</v>
      </c>
      <c r="T2007">
        <v>30</v>
      </c>
      <c r="Z2007" t="s">
        <v>39</v>
      </c>
      <c r="AB2007" t="s">
        <v>86</v>
      </c>
      <c r="AC2007" t="s">
        <v>41</v>
      </c>
    </row>
    <row r="2008" spans="1:30" x14ac:dyDescent="0.35">
      <c r="A2008" s="4">
        <v>42572</v>
      </c>
      <c r="B2008" t="s">
        <v>30</v>
      </c>
      <c r="C2008">
        <v>203</v>
      </c>
      <c r="D2008">
        <v>4</v>
      </c>
      <c r="E2008">
        <v>1</v>
      </c>
      <c r="F2008" t="s">
        <v>31</v>
      </c>
      <c r="G2008" t="s">
        <v>32</v>
      </c>
      <c r="H2008" t="s">
        <v>33</v>
      </c>
      <c r="I2008" t="s">
        <v>94</v>
      </c>
      <c r="J2008" t="s">
        <v>44</v>
      </c>
      <c r="K2008" t="s">
        <v>36</v>
      </c>
      <c r="L2008" t="s">
        <v>45</v>
      </c>
      <c r="M2008">
        <v>0</v>
      </c>
      <c r="N2008">
        <v>0</v>
      </c>
      <c r="O2008" s="5"/>
      <c r="P2008" s="5">
        <v>50656</v>
      </c>
      <c r="Q2008">
        <f>30-10.5</f>
        <v>19.5</v>
      </c>
      <c r="R2008" t="s">
        <v>74</v>
      </c>
      <c r="S2008" t="s">
        <v>102</v>
      </c>
      <c r="T2008">
        <v>29</v>
      </c>
      <c r="W2008">
        <v>12.9</v>
      </c>
      <c r="X2008">
        <v>26.4</v>
      </c>
      <c r="Z2008" t="s">
        <v>39</v>
      </c>
      <c r="AB2008" t="s">
        <v>86</v>
      </c>
      <c r="AC2008" t="s">
        <v>41</v>
      </c>
    </row>
    <row r="2009" spans="1:30" x14ac:dyDescent="0.35">
      <c r="A2009" s="4">
        <v>42572</v>
      </c>
      <c r="B2009" t="s">
        <v>30</v>
      </c>
      <c r="C2009">
        <v>203</v>
      </c>
      <c r="D2009">
        <v>5</v>
      </c>
      <c r="E2009">
        <v>1</v>
      </c>
      <c r="F2009" t="s">
        <v>31</v>
      </c>
      <c r="G2009" t="s">
        <v>32</v>
      </c>
      <c r="H2009" t="s">
        <v>33</v>
      </c>
      <c r="I2009" t="s">
        <v>94</v>
      </c>
      <c r="J2009" t="s">
        <v>35</v>
      </c>
      <c r="K2009" t="s">
        <v>36</v>
      </c>
      <c r="L2009" t="s">
        <v>45</v>
      </c>
      <c r="M2009">
        <v>0</v>
      </c>
      <c r="N2009">
        <v>1</v>
      </c>
      <c r="O2009" s="5"/>
      <c r="P2009" s="5">
        <v>50838</v>
      </c>
      <c r="Q2009">
        <f>32-9.5</f>
        <v>22.5</v>
      </c>
      <c r="R2009" t="s">
        <v>145</v>
      </c>
      <c r="S2009" t="s">
        <v>102</v>
      </c>
      <c r="T2009">
        <v>28</v>
      </c>
      <c r="W2009">
        <v>12.8</v>
      </c>
      <c r="X2009">
        <v>25.4</v>
      </c>
      <c r="Z2009" t="s">
        <v>39</v>
      </c>
      <c r="AB2009" t="s">
        <v>86</v>
      </c>
      <c r="AC2009" t="s">
        <v>41</v>
      </c>
      <c r="AD2009" t="s">
        <v>259</v>
      </c>
    </row>
    <row r="2010" spans="1:30" x14ac:dyDescent="0.35">
      <c r="A2010" s="4">
        <v>42572</v>
      </c>
      <c r="B2010" t="s">
        <v>30</v>
      </c>
      <c r="C2010">
        <v>112</v>
      </c>
      <c r="D2010">
        <v>2</v>
      </c>
      <c r="E2010">
        <v>2</v>
      </c>
      <c r="F2010" t="s">
        <v>42</v>
      </c>
      <c r="G2010" t="s">
        <v>32</v>
      </c>
      <c r="H2010" t="s">
        <v>33</v>
      </c>
      <c r="I2010" t="s">
        <v>94</v>
      </c>
      <c r="J2010" t="s">
        <v>44</v>
      </c>
      <c r="K2010" t="s">
        <v>36</v>
      </c>
      <c r="L2010" t="s">
        <v>45</v>
      </c>
      <c r="M2010">
        <v>0</v>
      </c>
      <c r="N2010">
        <v>0</v>
      </c>
      <c r="O2010" s="5"/>
      <c r="P2010" s="5">
        <v>50802</v>
      </c>
      <c r="Q2010">
        <f>33.5-9.5</f>
        <v>24</v>
      </c>
      <c r="R2010" t="s">
        <v>74</v>
      </c>
      <c r="S2010" t="s">
        <v>102</v>
      </c>
      <c r="T2010">
        <v>28</v>
      </c>
      <c r="W2010">
        <v>13</v>
      </c>
      <c r="X2010">
        <v>27.5</v>
      </c>
      <c r="Z2010" t="s">
        <v>39</v>
      </c>
      <c r="AB2010" t="s">
        <v>86</v>
      </c>
      <c r="AC2010" t="s">
        <v>87</v>
      </c>
    </row>
    <row r="2011" spans="1:30" x14ac:dyDescent="0.35">
      <c r="A2011" s="4">
        <v>42574</v>
      </c>
      <c r="B2011" t="s">
        <v>30</v>
      </c>
      <c r="C2011">
        <v>701</v>
      </c>
      <c r="D2011">
        <v>6</v>
      </c>
      <c r="E2011">
        <v>1</v>
      </c>
      <c r="F2011" t="s">
        <v>42</v>
      </c>
      <c r="G2011" t="s">
        <v>32</v>
      </c>
      <c r="H2011" t="s">
        <v>33</v>
      </c>
      <c r="I2011" t="s">
        <v>43</v>
      </c>
      <c r="J2011" t="s">
        <v>44</v>
      </c>
      <c r="K2011" t="s">
        <v>36</v>
      </c>
      <c r="L2011" t="s">
        <v>37</v>
      </c>
      <c r="M2011">
        <v>0</v>
      </c>
      <c r="N2011">
        <v>0</v>
      </c>
      <c r="O2011" s="5">
        <v>50370</v>
      </c>
      <c r="P2011" s="5">
        <v>50369</v>
      </c>
      <c r="Q2011">
        <v>20</v>
      </c>
      <c r="R2011" t="s">
        <v>64</v>
      </c>
      <c r="T2011">
        <v>18</v>
      </c>
      <c r="U2011">
        <v>76</v>
      </c>
      <c r="V2011">
        <v>19</v>
      </c>
      <c r="W2011">
        <v>13</v>
      </c>
      <c r="X2011">
        <v>27.7</v>
      </c>
      <c r="Z2011" t="s">
        <v>102</v>
      </c>
      <c r="AB2011" t="s">
        <v>230</v>
      </c>
      <c r="AC2011" t="s">
        <v>41</v>
      </c>
    </row>
    <row r="2012" spans="1:30" x14ac:dyDescent="0.35">
      <c r="A2012" s="4">
        <v>42574</v>
      </c>
      <c r="B2012" t="s">
        <v>30</v>
      </c>
      <c r="C2012">
        <v>901</v>
      </c>
      <c r="D2012">
        <v>2</v>
      </c>
      <c r="E2012">
        <v>2</v>
      </c>
      <c r="F2012" t="s">
        <v>42</v>
      </c>
      <c r="G2012" t="s">
        <v>32</v>
      </c>
      <c r="H2012" t="s">
        <v>33</v>
      </c>
      <c r="I2012" t="s">
        <v>43</v>
      </c>
      <c r="J2012" t="s">
        <v>44</v>
      </c>
      <c r="K2012" t="s">
        <v>36</v>
      </c>
      <c r="L2012" t="s">
        <v>45</v>
      </c>
      <c r="M2012">
        <v>0</v>
      </c>
      <c r="N2012">
        <v>0</v>
      </c>
      <c r="O2012" s="5">
        <v>50382</v>
      </c>
      <c r="P2012" s="5">
        <v>50291</v>
      </c>
      <c r="Q2012">
        <f>35-13</f>
        <v>22</v>
      </c>
      <c r="R2012" t="s">
        <v>46</v>
      </c>
      <c r="S2012" t="s">
        <v>39</v>
      </c>
      <c r="T2012">
        <v>18</v>
      </c>
      <c r="U2012">
        <v>90.5</v>
      </c>
      <c r="V2012">
        <v>15.5</v>
      </c>
      <c r="W2012">
        <v>13</v>
      </c>
      <c r="X2012">
        <v>29.1</v>
      </c>
      <c r="Z2012" t="s">
        <v>39</v>
      </c>
      <c r="AB2012" t="s">
        <v>230</v>
      </c>
      <c r="AC2012" t="s">
        <v>41</v>
      </c>
    </row>
    <row r="2013" spans="1:30" x14ac:dyDescent="0.35">
      <c r="A2013" s="4">
        <v>42574</v>
      </c>
      <c r="B2013" t="s">
        <v>30</v>
      </c>
      <c r="C2013">
        <v>503</v>
      </c>
      <c r="D2013">
        <v>8</v>
      </c>
      <c r="E2013">
        <v>1</v>
      </c>
      <c r="F2013" t="s">
        <v>31</v>
      </c>
      <c r="G2013" t="s">
        <v>32</v>
      </c>
      <c r="H2013" t="s">
        <v>33</v>
      </c>
      <c r="I2013" t="s">
        <v>43</v>
      </c>
      <c r="J2013" t="s">
        <v>44</v>
      </c>
      <c r="K2013" t="s">
        <v>88</v>
      </c>
      <c r="L2013" t="s">
        <v>37</v>
      </c>
      <c r="M2013">
        <v>0</v>
      </c>
      <c r="N2013">
        <v>0</v>
      </c>
      <c r="O2013" s="5">
        <v>50440</v>
      </c>
      <c r="P2013" s="5">
        <v>50441</v>
      </c>
      <c r="Q2013">
        <f>23.5-10</f>
        <v>13.5</v>
      </c>
      <c r="R2013" t="s">
        <v>64</v>
      </c>
      <c r="T2013">
        <v>19</v>
      </c>
      <c r="U2013">
        <v>75</v>
      </c>
      <c r="V2013">
        <v>13</v>
      </c>
      <c r="W2013">
        <v>12.8</v>
      </c>
      <c r="X2013">
        <v>25.6</v>
      </c>
      <c r="Z2013" t="s">
        <v>39</v>
      </c>
      <c r="AB2013" t="s">
        <v>87</v>
      </c>
      <c r="AC2013" t="s">
        <v>86</v>
      </c>
    </row>
    <row r="2014" spans="1:30" x14ac:dyDescent="0.35">
      <c r="A2014" s="4">
        <v>42574</v>
      </c>
      <c r="B2014" t="s">
        <v>30</v>
      </c>
      <c r="C2014">
        <v>701</v>
      </c>
      <c r="D2014">
        <v>2</v>
      </c>
      <c r="E2014">
        <v>2</v>
      </c>
      <c r="F2014" t="s">
        <v>42</v>
      </c>
      <c r="G2014" t="s">
        <v>32</v>
      </c>
      <c r="H2014" t="s">
        <v>33</v>
      </c>
      <c r="I2014" t="s">
        <v>43</v>
      </c>
      <c r="J2014" t="s">
        <v>44</v>
      </c>
      <c r="K2014" t="s">
        <v>36</v>
      </c>
      <c r="L2014" t="s">
        <v>45</v>
      </c>
      <c r="M2014">
        <v>0</v>
      </c>
      <c r="N2014">
        <v>0</v>
      </c>
      <c r="O2014" s="5">
        <v>50459</v>
      </c>
      <c r="P2014" s="5">
        <v>50458</v>
      </c>
      <c r="Q2014">
        <f>30-12</f>
        <v>18</v>
      </c>
      <c r="R2014" t="s">
        <v>46</v>
      </c>
      <c r="S2014" t="s">
        <v>39</v>
      </c>
      <c r="T2014">
        <v>18.5</v>
      </c>
      <c r="U2014">
        <v>80.5</v>
      </c>
      <c r="V2014">
        <v>18</v>
      </c>
      <c r="W2014">
        <v>12.6</v>
      </c>
      <c r="X2014">
        <v>27.8</v>
      </c>
      <c r="Z2014" t="s">
        <v>102</v>
      </c>
      <c r="AB2014" t="s">
        <v>230</v>
      </c>
      <c r="AC2014" t="s">
        <v>41</v>
      </c>
      <c r="AD2014" t="s">
        <v>260</v>
      </c>
    </row>
    <row r="2015" spans="1:30" x14ac:dyDescent="0.35">
      <c r="A2015" s="4">
        <v>42574</v>
      </c>
      <c r="B2015" t="s">
        <v>30</v>
      </c>
      <c r="C2015">
        <v>701</v>
      </c>
      <c r="D2015">
        <v>3</v>
      </c>
      <c r="E2015">
        <v>2</v>
      </c>
      <c r="F2015" t="s">
        <v>42</v>
      </c>
      <c r="G2015" t="s">
        <v>32</v>
      </c>
      <c r="H2015" t="s">
        <v>33</v>
      </c>
      <c r="I2015" t="s">
        <v>43</v>
      </c>
      <c r="J2015" t="s">
        <v>44</v>
      </c>
      <c r="K2015" t="s">
        <v>113</v>
      </c>
      <c r="L2015" t="s">
        <v>37</v>
      </c>
      <c r="M2015">
        <v>0</v>
      </c>
      <c r="N2015">
        <v>0</v>
      </c>
      <c r="O2015" s="5">
        <v>50506</v>
      </c>
      <c r="P2015" s="5">
        <v>50505</v>
      </c>
      <c r="Q2015">
        <f>29.5-13</f>
        <v>16.5</v>
      </c>
      <c r="R2015" t="s">
        <v>64</v>
      </c>
      <c r="T2015">
        <v>18</v>
      </c>
      <c r="U2015">
        <v>91</v>
      </c>
      <c r="V2015">
        <v>18</v>
      </c>
      <c r="W2015">
        <v>12.5</v>
      </c>
      <c r="X2015">
        <v>25.3</v>
      </c>
      <c r="Z2015" t="s">
        <v>102</v>
      </c>
      <c r="AB2015" t="s">
        <v>230</v>
      </c>
      <c r="AC2015" t="s">
        <v>41</v>
      </c>
    </row>
    <row r="2016" spans="1:30" x14ac:dyDescent="0.35">
      <c r="A2016" s="4">
        <v>42574</v>
      </c>
      <c r="B2016" t="s">
        <v>30</v>
      </c>
      <c r="C2016">
        <v>303</v>
      </c>
      <c r="D2016">
        <v>9</v>
      </c>
      <c r="E2016">
        <v>2</v>
      </c>
      <c r="F2016" t="s">
        <v>31</v>
      </c>
      <c r="G2016" t="s">
        <v>32</v>
      </c>
      <c r="H2016" t="s">
        <v>33</v>
      </c>
      <c r="I2016" t="s">
        <v>43</v>
      </c>
      <c r="J2016" t="s">
        <v>44</v>
      </c>
      <c r="K2016" t="s">
        <v>113</v>
      </c>
      <c r="L2016" t="s">
        <v>37</v>
      </c>
      <c r="M2016">
        <v>0</v>
      </c>
      <c r="N2016">
        <v>0</v>
      </c>
      <c r="O2016" s="5">
        <v>50590</v>
      </c>
      <c r="P2016" s="5">
        <v>50589</v>
      </c>
      <c r="Q2016">
        <f>30-11.5</f>
        <v>18.5</v>
      </c>
      <c r="R2016" t="s">
        <v>38</v>
      </c>
      <c r="T2016">
        <v>18</v>
      </c>
      <c r="U2016">
        <v>83</v>
      </c>
      <c r="V2016">
        <v>15</v>
      </c>
      <c r="W2016">
        <v>12.9</v>
      </c>
      <c r="X2016">
        <v>26.9</v>
      </c>
      <c r="Z2016" t="s">
        <v>102</v>
      </c>
      <c r="AA2016" t="s">
        <v>201</v>
      </c>
      <c r="AB2016" t="s">
        <v>87</v>
      </c>
      <c r="AC2016" t="s">
        <v>86</v>
      </c>
      <c r="AD2016" t="s">
        <v>207</v>
      </c>
    </row>
    <row r="2017" spans="1:29" x14ac:dyDescent="0.35">
      <c r="A2017" s="4">
        <v>42574</v>
      </c>
      <c r="B2017" t="s">
        <v>30</v>
      </c>
      <c r="C2017">
        <v>701</v>
      </c>
      <c r="D2017">
        <v>9</v>
      </c>
      <c r="E2017">
        <v>2</v>
      </c>
      <c r="F2017" t="s">
        <v>42</v>
      </c>
      <c r="G2017" t="s">
        <v>32</v>
      </c>
      <c r="H2017" t="s">
        <v>33</v>
      </c>
      <c r="I2017" t="s">
        <v>43</v>
      </c>
      <c r="J2017" t="s">
        <v>44</v>
      </c>
      <c r="K2017" t="s">
        <v>88</v>
      </c>
      <c r="L2017" t="s">
        <v>45</v>
      </c>
      <c r="M2017">
        <v>0</v>
      </c>
      <c r="N2017">
        <v>0</v>
      </c>
      <c r="O2017" s="5">
        <v>50610</v>
      </c>
      <c r="P2017" s="5">
        <v>50609</v>
      </c>
      <c r="Q2017">
        <f>28-13.5</f>
        <v>14.5</v>
      </c>
      <c r="R2017" t="s">
        <v>46</v>
      </c>
      <c r="S2017" t="s">
        <v>39</v>
      </c>
      <c r="T2017">
        <v>17</v>
      </c>
      <c r="U2017">
        <v>69</v>
      </c>
      <c r="V2017">
        <v>17</v>
      </c>
      <c r="W2017">
        <v>12.6</v>
      </c>
      <c r="X2017">
        <v>24.9</v>
      </c>
      <c r="Z2017" t="s">
        <v>39</v>
      </c>
      <c r="AB2017" t="s">
        <v>230</v>
      </c>
      <c r="AC2017" t="s">
        <v>41</v>
      </c>
    </row>
    <row r="2018" spans="1:29" x14ac:dyDescent="0.35">
      <c r="A2018" s="4">
        <v>42574</v>
      </c>
      <c r="B2018" t="s">
        <v>30</v>
      </c>
      <c r="C2018">
        <v>801</v>
      </c>
      <c r="D2018">
        <v>5</v>
      </c>
      <c r="E2018">
        <v>2</v>
      </c>
      <c r="F2018" t="s">
        <v>42</v>
      </c>
      <c r="G2018" t="s">
        <v>32</v>
      </c>
      <c r="H2018" t="s">
        <v>33</v>
      </c>
      <c r="I2018" t="s">
        <v>43</v>
      </c>
      <c r="J2018" t="s">
        <v>44</v>
      </c>
      <c r="K2018" t="s">
        <v>113</v>
      </c>
      <c r="L2018" t="s">
        <v>45</v>
      </c>
      <c r="M2018">
        <v>0</v>
      </c>
      <c r="N2018">
        <v>0</v>
      </c>
      <c r="O2018" s="5">
        <v>50614</v>
      </c>
      <c r="P2018" s="5">
        <v>50613</v>
      </c>
      <c r="Q2018">
        <v>21</v>
      </c>
      <c r="R2018" t="s">
        <v>77</v>
      </c>
      <c r="S2018" t="s">
        <v>39</v>
      </c>
      <c r="T2018">
        <v>18</v>
      </c>
      <c r="U2018">
        <v>85</v>
      </c>
      <c r="V2018">
        <v>17</v>
      </c>
      <c r="W2018">
        <v>12.9</v>
      </c>
      <c r="X2018">
        <v>26.8</v>
      </c>
      <c r="Z2018" t="s">
        <v>39</v>
      </c>
      <c r="AB2018" t="s">
        <v>230</v>
      </c>
      <c r="AC2018" t="s">
        <v>41</v>
      </c>
    </row>
    <row r="2019" spans="1:29" x14ac:dyDescent="0.35">
      <c r="A2019" s="4">
        <v>42574</v>
      </c>
      <c r="B2019" t="s">
        <v>30</v>
      </c>
      <c r="C2019">
        <v>901</v>
      </c>
      <c r="D2019">
        <v>8</v>
      </c>
      <c r="E2019">
        <v>1</v>
      </c>
      <c r="F2019" t="s">
        <v>42</v>
      </c>
      <c r="G2019" t="s">
        <v>32</v>
      </c>
      <c r="H2019" t="s">
        <v>33</v>
      </c>
      <c r="I2019" t="s">
        <v>43</v>
      </c>
      <c r="J2019" t="s">
        <v>44</v>
      </c>
      <c r="K2019" t="s">
        <v>36</v>
      </c>
      <c r="L2019" t="s">
        <v>45</v>
      </c>
      <c r="M2019">
        <v>0</v>
      </c>
      <c r="N2019">
        <v>0</v>
      </c>
      <c r="O2019" s="5">
        <v>50617</v>
      </c>
      <c r="P2019" s="5">
        <v>50616</v>
      </c>
      <c r="Q2019">
        <f>31.5-11</f>
        <v>20.5</v>
      </c>
      <c r="R2019" t="s">
        <v>46</v>
      </c>
      <c r="S2019" t="s">
        <v>39</v>
      </c>
      <c r="T2019">
        <v>20</v>
      </c>
      <c r="U2019">
        <v>93</v>
      </c>
      <c r="V2019">
        <v>15</v>
      </c>
      <c r="W2019">
        <v>13.2</v>
      </c>
      <c r="X2019">
        <v>29.5</v>
      </c>
      <c r="Z2019" t="s">
        <v>39</v>
      </c>
      <c r="AB2019" t="s">
        <v>230</v>
      </c>
      <c r="AC2019" t="s">
        <v>41</v>
      </c>
    </row>
    <row r="2020" spans="1:29" x14ac:dyDescent="0.35">
      <c r="A2020" s="4">
        <v>42574</v>
      </c>
      <c r="B2020" t="s">
        <v>30</v>
      </c>
      <c r="C2020">
        <v>801</v>
      </c>
      <c r="D2020">
        <v>5</v>
      </c>
      <c r="E2020">
        <v>1</v>
      </c>
      <c r="F2020" t="s">
        <v>42</v>
      </c>
      <c r="G2020" t="s">
        <v>32</v>
      </c>
      <c r="H2020" t="s">
        <v>33</v>
      </c>
      <c r="I2020" t="s">
        <v>43</v>
      </c>
      <c r="J2020" t="s">
        <v>44</v>
      </c>
      <c r="K2020" t="s">
        <v>36</v>
      </c>
      <c r="L2020" t="s">
        <v>37</v>
      </c>
      <c r="M2020">
        <v>0</v>
      </c>
      <c r="N2020">
        <v>0</v>
      </c>
      <c r="O2020" s="5">
        <v>50677</v>
      </c>
      <c r="P2020" s="5">
        <v>50676</v>
      </c>
      <c r="Q2020">
        <v>24</v>
      </c>
      <c r="R2020" t="s">
        <v>38</v>
      </c>
      <c r="T2020">
        <v>18.5</v>
      </c>
      <c r="U2020">
        <v>87.5</v>
      </c>
      <c r="V2020">
        <v>17</v>
      </c>
      <c r="W2020">
        <v>13.6</v>
      </c>
      <c r="X2020">
        <v>30.2</v>
      </c>
      <c r="Z2020" t="s">
        <v>102</v>
      </c>
      <c r="AB2020" t="s">
        <v>230</v>
      </c>
      <c r="AC2020" t="s">
        <v>41</v>
      </c>
    </row>
    <row r="2021" spans="1:29" x14ac:dyDescent="0.35">
      <c r="A2021" s="4">
        <v>42574</v>
      </c>
      <c r="B2021" t="s">
        <v>30</v>
      </c>
      <c r="C2021">
        <v>703</v>
      </c>
      <c r="D2021">
        <v>7</v>
      </c>
      <c r="E2021">
        <v>2</v>
      </c>
      <c r="F2021" t="s">
        <v>42</v>
      </c>
      <c r="G2021" t="s">
        <v>32</v>
      </c>
      <c r="H2021" t="s">
        <v>33</v>
      </c>
      <c r="I2021" t="s">
        <v>43</v>
      </c>
      <c r="J2021" t="s">
        <v>44</v>
      </c>
      <c r="K2021" t="s">
        <v>88</v>
      </c>
      <c r="L2021" t="s">
        <v>45</v>
      </c>
      <c r="M2021">
        <v>0</v>
      </c>
      <c r="N2021">
        <v>0</v>
      </c>
      <c r="O2021" s="5">
        <v>50690</v>
      </c>
      <c r="P2021" s="5">
        <v>50689</v>
      </c>
      <c r="Q2021">
        <f>28-14</f>
        <v>14</v>
      </c>
      <c r="R2021" t="s">
        <v>46</v>
      </c>
      <c r="S2021" t="s">
        <v>39</v>
      </c>
      <c r="T2021">
        <v>19</v>
      </c>
      <c r="U2021">
        <v>77.5</v>
      </c>
      <c r="V2021">
        <v>15</v>
      </c>
      <c r="Z2021" t="s">
        <v>102</v>
      </c>
      <c r="AB2021" t="s">
        <v>230</v>
      </c>
      <c r="AC2021" t="s">
        <v>41</v>
      </c>
    </row>
    <row r="2022" spans="1:29" x14ac:dyDescent="0.35">
      <c r="A2022" s="4">
        <v>42574</v>
      </c>
      <c r="B2022" t="s">
        <v>30</v>
      </c>
      <c r="C2022">
        <v>703</v>
      </c>
      <c r="D2022">
        <v>1</v>
      </c>
      <c r="E2022">
        <v>2</v>
      </c>
      <c r="F2022" t="s">
        <v>42</v>
      </c>
      <c r="G2022" t="s">
        <v>32</v>
      </c>
      <c r="H2022" t="s">
        <v>33</v>
      </c>
      <c r="I2022" t="s">
        <v>43</v>
      </c>
      <c r="J2022" t="s">
        <v>44</v>
      </c>
      <c r="K2022" t="s">
        <v>113</v>
      </c>
      <c r="L2022" t="s">
        <v>37</v>
      </c>
      <c r="M2022">
        <v>0</v>
      </c>
      <c r="N2022">
        <v>0</v>
      </c>
      <c r="O2022" s="5">
        <v>50692</v>
      </c>
      <c r="P2022" s="5">
        <v>50691</v>
      </c>
      <c r="Q2022">
        <f>23-9.5</f>
        <v>13.5</v>
      </c>
      <c r="R2022" t="s">
        <v>64</v>
      </c>
      <c r="T2022">
        <v>19</v>
      </c>
      <c r="U2022">
        <v>80</v>
      </c>
      <c r="V2022">
        <v>17</v>
      </c>
      <c r="W2022">
        <v>12.7</v>
      </c>
      <c r="X2022">
        <v>26.8</v>
      </c>
      <c r="Z2022" t="s">
        <v>39</v>
      </c>
      <c r="AB2022" t="s">
        <v>230</v>
      </c>
      <c r="AC2022" t="s">
        <v>41</v>
      </c>
    </row>
    <row r="2023" spans="1:29" x14ac:dyDescent="0.35">
      <c r="A2023" s="4">
        <v>42574</v>
      </c>
      <c r="B2023" t="s">
        <v>30</v>
      </c>
      <c r="C2023">
        <v>703</v>
      </c>
      <c r="D2023">
        <v>8</v>
      </c>
      <c r="E2023">
        <v>2</v>
      </c>
      <c r="F2023" t="s">
        <v>42</v>
      </c>
      <c r="G2023" t="s">
        <v>32</v>
      </c>
      <c r="H2023" t="s">
        <v>33</v>
      </c>
      <c r="I2023" t="s">
        <v>43</v>
      </c>
      <c r="J2023" t="s">
        <v>44</v>
      </c>
      <c r="K2023" t="s">
        <v>88</v>
      </c>
      <c r="L2023" t="s">
        <v>45</v>
      </c>
      <c r="M2023">
        <v>0</v>
      </c>
      <c r="N2023">
        <v>0</v>
      </c>
      <c r="O2023" s="5">
        <v>50700</v>
      </c>
      <c r="P2023" s="5">
        <v>50699</v>
      </c>
      <c r="Q2023">
        <f>28-15</f>
        <v>13</v>
      </c>
      <c r="R2023" t="s">
        <v>38</v>
      </c>
      <c r="T2023">
        <v>19</v>
      </c>
      <c r="U2023">
        <v>68</v>
      </c>
      <c r="V2023">
        <v>16</v>
      </c>
      <c r="W2023">
        <v>12.4</v>
      </c>
      <c r="X2023">
        <v>27.4</v>
      </c>
      <c r="Z2023" t="s">
        <v>39</v>
      </c>
      <c r="AB2023" t="s">
        <v>261</v>
      </c>
      <c r="AC2023" t="s">
        <v>41</v>
      </c>
    </row>
    <row r="2024" spans="1:29" x14ac:dyDescent="0.35">
      <c r="A2024" s="4">
        <v>42574</v>
      </c>
      <c r="B2024" t="s">
        <v>30</v>
      </c>
      <c r="C2024">
        <v>503</v>
      </c>
      <c r="D2024">
        <v>7</v>
      </c>
      <c r="E2024">
        <v>2</v>
      </c>
      <c r="F2024" t="s">
        <v>31</v>
      </c>
      <c r="G2024" t="s">
        <v>32</v>
      </c>
      <c r="H2024" t="s">
        <v>33</v>
      </c>
      <c r="I2024" t="s">
        <v>43</v>
      </c>
      <c r="J2024" t="s">
        <v>44</v>
      </c>
      <c r="K2024" t="s">
        <v>88</v>
      </c>
      <c r="L2024" t="s">
        <v>45</v>
      </c>
      <c r="M2024">
        <v>0</v>
      </c>
      <c r="N2024">
        <v>0</v>
      </c>
      <c r="O2024" s="5">
        <v>50742</v>
      </c>
      <c r="P2024" s="5">
        <v>50741</v>
      </c>
      <c r="Q2024">
        <f>24-10.5</f>
        <v>13.5</v>
      </c>
      <c r="R2024" t="s">
        <v>64</v>
      </c>
      <c r="T2024">
        <v>19</v>
      </c>
      <c r="U2024">
        <v>88</v>
      </c>
      <c r="V2024">
        <v>16</v>
      </c>
      <c r="W2024">
        <v>12.6</v>
      </c>
      <c r="X2024">
        <v>26.5</v>
      </c>
      <c r="Z2024" t="s">
        <v>102</v>
      </c>
      <c r="AB2024" t="s">
        <v>87</v>
      </c>
      <c r="AC2024" t="s">
        <v>86</v>
      </c>
    </row>
    <row r="2025" spans="1:29" x14ac:dyDescent="0.35">
      <c r="A2025" s="4">
        <v>42574</v>
      </c>
      <c r="B2025" t="s">
        <v>30</v>
      </c>
      <c r="C2025">
        <v>901</v>
      </c>
      <c r="D2025">
        <v>3</v>
      </c>
      <c r="E2025">
        <v>2</v>
      </c>
      <c r="F2025" t="s">
        <v>42</v>
      </c>
      <c r="G2025" t="s">
        <v>32</v>
      </c>
      <c r="H2025" t="s">
        <v>33</v>
      </c>
      <c r="I2025" t="s">
        <v>43</v>
      </c>
      <c r="J2025" t="s">
        <v>44</v>
      </c>
      <c r="K2025" t="s">
        <v>113</v>
      </c>
      <c r="L2025" t="s">
        <v>37</v>
      </c>
      <c r="M2025">
        <v>0</v>
      </c>
      <c r="N2025">
        <v>0</v>
      </c>
      <c r="O2025" s="5">
        <v>50766</v>
      </c>
      <c r="P2025" s="5">
        <v>50675</v>
      </c>
      <c r="Q2025">
        <f>31-13</f>
        <v>18</v>
      </c>
      <c r="R2025" t="s">
        <v>38</v>
      </c>
      <c r="T2025">
        <v>19</v>
      </c>
      <c r="U2025">
        <v>86</v>
      </c>
      <c r="V2025">
        <v>17</v>
      </c>
      <c r="W2025">
        <v>12.9</v>
      </c>
      <c r="X2025">
        <v>28</v>
      </c>
      <c r="Z2025" t="s">
        <v>39</v>
      </c>
      <c r="AB2025" t="s">
        <v>230</v>
      </c>
      <c r="AC2025" t="s">
        <v>41</v>
      </c>
    </row>
    <row r="2026" spans="1:29" x14ac:dyDescent="0.35">
      <c r="A2026" s="4">
        <v>42574</v>
      </c>
      <c r="B2026" t="s">
        <v>30</v>
      </c>
      <c r="C2026">
        <v>801</v>
      </c>
      <c r="D2026">
        <v>6</v>
      </c>
      <c r="E2026">
        <v>2</v>
      </c>
      <c r="F2026" t="s">
        <v>42</v>
      </c>
      <c r="G2026" t="s">
        <v>32</v>
      </c>
      <c r="H2026" t="s">
        <v>33</v>
      </c>
      <c r="I2026" t="s">
        <v>43</v>
      </c>
      <c r="J2026" t="s">
        <v>35</v>
      </c>
      <c r="K2026" t="s">
        <v>113</v>
      </c>
      <c r="L2026" t="s">
        <v>45</v>
      </c>
      <c r="M2026">
        <v>0</v>
      </c>
      <c r="N2026">
        <v>0</v>
      </c>
      <c r="O2026" s="5">
        <v>50860</v>
      </c>
      <c r="P2026" s="5">
        <v>50859</v>
      </c>
      <c r="Q2026">
        <f>36.5-10.5</f>
        <v>26</v>
      </c>
      <c r="R2026" t="s">
        <v>149</v>
      </c>
      <c r="S2026" t="s">
        <v>102</v>
      </c>
      <c r="T2026">
        <v>18</v>
      </c>
      <c r="U2026">
        <v>95.5</v>
      </c>
      <c r="V2026">
        <v>17</v>
      </c>
      <c r="W2026">
        <v>12.9</v>
      </c>
      <c r="X2026">
        <v>28.7</v>
      </c>
      <c r="Z2026" t="s">
        <v>39</v>
      </c>
      <c r="AB2026" t="s">
        <v>230</v>
      </c>
      <c r="AC2026" t="s">
        <v>41</v>
      </c>
    </row>
    <row r="2027" spans="1:29" x14ac:dyDescent="0.35">
      <c r="A2027" s="4">
        <v>42574</v>
      </c>
      <c r="B2027" t="s">
        <v>30</v>
      </c>
      <c r="C2027">
        <v>803</v>
      </c>
      <c r="D2027">
        <v>10</v>
      </c>
      <c r="E2027">
        <v>2</v>
      </c>
      <c r="F2027" t="s">
        <v>42</v>
      </c>
      <c r="G2027" t="s">
        <v>32</v>
      </c>
      <c r="H2027" t="s">
        <v>33</v>
      </c>
      <c r="I2027" t="s">
        <v>43</v>
      </c>
      <c r="J2027" t="s">
        <v>35</v>
      </c>
      <c r="K2027" t="s">
        <v>36</v>
      </c>
      <c r="L2027" t="s">
        <v>45</v>
      </c>
      <c r="M2027">
        <v>0</v>
      </c>
      <c r="N2027">
        <v>1</v>
      </c>
      <c r="O2027" s="5">
        <v>50862</v>
      </c>
      <c r="P2027" s="5">
        <v>50681</v>
      </c>
      <c r="Q2027">
        <f>31.5-12</f>
        <v>19.5</v>
      </c>
      <c r="R2027" t="s">
        <v>46</v>
      </c>
      <c r="S2027" t="s">
        <v>39</v>
      </c>
      <c r="T2027">
        <v>19</v>
      </c>
      <c r="U2027">
        <v>95</v>
      </c>
      <c r="V2027">
        <v>17.5</v>
      </c>
      <c r="W2027">
        <v>13.1</v>
      </c>
      <c r="X2027">
        <v>27</v>
      </c>
      <c r="Z2027" t="s">
        <v>39</v>
      </c>
      <c r="AB2027" t="s">
        <v>230</v>
      </c>
      <c r="AC2027" t="s">
        <v>41</v>
      </c>
    </row>
    <row r="2028" spans="1:29" x14ac:dyDescent="0.35">
      <c r="A2028" s="4">
        <v>42574</v>
      </c>
      <c r="B2028" t="s">
        <v>30</v>
      </c>
      <c r="C2028">
        <v>803</v>
      </c>
      <c r="D2028">
        <v>7</v>
      </c>
      <c r="E2028">
        <v>2</v>
      </c>
      <c r="F2028" t="s">
        <v>42</v>
      </c>
      <c r="G2028" t="s">
        <v>32</v>
      </c>
      <c r="H2028" t="s">
        <v>33</v>
      </c>
      <c r="I2028" t="s">
        <v>43</v>
      </c>
      <c r="J2028" t="s">
        <v>35</v>
      </c>
      <c r="K2028" t="s">
        <v>113</v>
      </c>
      <c r="L2028" t="s">
        <v>37</v>
      </c>
      <c r="M2028">
        <v>0</v>
      </c>
      <c r="N2028">
        <v>1</v>
      </c>
      <c r="O2028" s="5">
        <v>50864</v>
      </c>
      <c r="P2028" s="5">
        <v>50863</v>
      </c>
      <c r="Q2028">
        <f>33.5-15.5</f>
        <v>18</v>
      </c>
      <c r="R2028" t="s">
        <v>38</v>
      </c>
      <c r="T2028">
        <v>18</v>
      </c>
      <c r="U2028">
        <v>82</v>
      </c>
      <c r="V2028">
        <v>16</v>
      </c>
      <c r="W2028">
        <v>13.1</v>
      </c>
      <c r="X2028">
        <v>28.7</v>
      </c>
      <c r="Z2028" t="s">
        <v>39</v>
      </c>
      <c r="AB2028" t="s">
        <v>230</v>
      </c>
      <c r="AC2028" t="s">
        <v>41</v>
      </c>
    </row>
    <row r="2029" spans="1:29" x14ac:dyDescent="0.35">
      <c r="A2029" s="4">
        <v>42574</v>
      </c>
      <c r="B2029" t="s">
        <v>30</v>
      </c>
      <c r="C2029">
        <v>801</v>
      </c>
      <c r="D2029">
        <v>5</v>
      </c>
      <c r="E2029">
        <v>2</v>
      </c>
      <c r="F2029" t="s">
        <v>42</v>
      </c>
      <c r="G2029" t="s">
        <v>32</v>
      </c>
      <c r="H2029" t="s">
        <v>33</v>
      </c>
      <c r="I2029" t="s">
        <v>34</v>
      </c>
      <c r="J2029" t="s">
        <v>44</v>
      </c>
      <c r="K2029" t="s">
        <v>36</v>
      </c>
      <c r="L2029" t="s">
        <v>37</v>
      </c>
      <c r="M2029">
        <v>0</v>
      </c>
      <c r="N2029">
        <v>0</v>
      </c>
      <c r="O2029" s="5">
        <v>50391</v>
      </c>
      <c r="P2029" s="5"/>
      <c r="Q2029">
        <f>205-108</f>
        <v>97</v>
      </c>
      <c r="R2029" t="s">
        <v>64</v>
      </c>
      <c r="T2029">
        <v>34</v>
      </c>
      <c r="W2029">
        <v>22.6</v>
      </c>
      <c r="X2029">
        <v>43.4</v>
      </c>
      <c r="Y2029" t="s">
        <v>262</v>
      </c>
      <c r="Z2029" t="s">
        <v>39</v>
      </c>
      <c r="AB2029" t="s">
        <v>230</v>
      </c>
      <c r="AC2029" t="s">
        <v>41</v>
      </c>
    </row>
    <row r="2030" spans="1:29" x14ac:dyDescent="0.35">
      <c r="A2030" s="4">
        <v>42574</v>
      </c>
      <c r="B2030" t="s">
        <v>30</v>
      </c>
      <c r="C2030">
        <v>803</v>
      </c>
      <c r="D2030">
        <v>6</v>
      </c>
      <c r="E2030">
        <v>1</v>
      </c>
      <c r="F2030" t="s">
        <v>42</v>
      </c>
      <c r="G2030" t="s">
        <v>32</v>
      </c>
      <c r="H2030" t="s">
        <v>33</v>
      </c>
      <c r="I2030" t="s">
        <v>34</v>
      </c>
      <c r="J2030" t="s">
        <v>44</v>
      </c>
      <c r="K2030" t="s">
        <v>88</v>
      </c>
      <c r="L2030" t="s">
        <v>37</v>
      </c>
      <c r="M2030">
        <v>0</v>
      </c>
      <c r="N2030">
        <v>0</v>
      </c>
      <c r="O2030" s="5">
        <v>50463</v>
      </c>
      <c r="P2030" s="5"/>
      <c r="Q2030">
        <f>190-107</f>
        <v>83</v>
      </c>
      <c r="R2030" t="s">
        <v>64</v>
      </c>
      <c r="T2030">
        <v>32</v>
      </c>
      <c r="W2030">
        <v>21.2</v>
      </c>
      <c r="X2030">
        <v>40.799999999999997</v>
      </c>
      <c r="Z2030" t="s">
        <v>39</v>
      </c>
      <c r="AB2030" t="s">
        <v>230</v>
      </c>
      <c r="AC2030" t="s">
        <v>41</v>
      </c>
    </row>
    <row r="2031" spans="1:29" x14ac:dyDescent="0.35">
      <c r="A2031" s="4">
        <v>42574</v>
      </c>
      <c r="B2031" t="s">
        <v>30</v>
      </c>
      <c r="C2031">
        <v>801</v>
      </c>
      <c r="D2031">
        <v>8</v>
      </c>
      <c r="E2031">
        <v>2</v>
      </c>
      <c r="F2031" t="s">
        <v>42</v>
      </c>
      <c r="G2031" t="s">
        <v>32</v>
      </c>
      <c r="H2031" t="s">
        <v>33</v>
      </c>
      <c r="I2031" t="s">
        <v>34</v>
      </c>
      <c r="J2031" t="s">
        <v>44</v>
      </c>
      <c r="K2031" t="s">
        <v>36</v>
      </c>
      <c r="L2031" t="s">
        <v>37</v>
      </c>
      <c r="M2031">
        <v>0</v>
      </c>
      <c r="N2031">
        <v>0</v>
      </c>
      <c r="O2031" s="5">
        <v>50695</v>
      </c>
      <c r="P2031" s="5"/>
      <c r="Q2031">
        <f>195-105</f>
        <v>90</v>
      </c>
      <c r="R2031" t="s">
        <v>64</v>
      </c>
      <c r="T2031">
        <v>31</v>
      </c>
      <c r="W2031">
        <v>22.7</v>
      </c>
      <c r="X2031">
        <v>41.3</v>
      </c>
      <c r="Z2031" t="s">
        <v>39</v>
      </c>
      <c r="AB2031" t="s">
        <v>230</v>
      </c>
      <c r="AC2031" t="s">
        <v>41</v>
      </c>
    </row>
    <row r="2032" spans="1:29" x14ac:dyDescent="0.35">
      <c r="A2032" s="4">
        <v>42574</v>
      </c>
      <c r="B2032" t="s">
        <v>30</v>
      </c>
      <c r="C2032">
        <v>801</v>
      </c>
      <c r="D2032">
        <v>7</v>
      </c>
      <c r="E2032">
        <v>2</v>
      </c>
      <c r="F2032" t="s">
        <v>42</v>
      </c>
      <c r="G2032" t="s">
        <v>32</v>
      </c>
      <c r="H2032" t="s">
        <v>33</v>
      </c>
      <c r="I2032" t="s">
        <v>34</v>
      </c>
      <c r="J2032" t="s">
        <v>44</v>
      </c>
      <c r="K2032" t="s">
        <v>36</v>
      </c>
      <c r="L2032" t="s">
        <v>37</v>
      </c>
      <c r="M2032">
        <v>0</v>
      </c>
      <c r="N2032">
        <v>0</v>
      </c>
      <c r="O2032" s="5"/>
      <c r="P2032" s="5">
        <v>50382</v>
      </c>
      <c r="Q2032">
        <v>100</v>
      </c>
      <c r="R2032" t="s">
        <v>64</v>
      </c>
      <c r="T2032">
        <v>31</v>
      </c>
      <c r="W2032">
        <v>23.6</v>
      </c>
      <c r="X2032">
        <v>46.5</v>
      </c>
      <c r="Z2032" t="s">
        <v>39</v>
      </c>
      <c r="AB2032" t="s">
        <v>230</v>
      </c>
      <c r="AC2032" t="s">
        <v>41</v>
      </c>
    </row>
    <row r="2033" spans="1:30" x14ac:dyDescent="0.35">
      <c r="A2033" s="4">
        <v>42574</v>
      </c>
      <c r="B2033" t="s">
        <v>30</v>
      </c>
      <c r="C2033">
        <v>803</v>
      </c>
      <c r="D2033">
        <v>7</v>
      </c>
      <c r="E2033">
        <v>1</v>
      </c>
      <c r="F2033" t="s">
        <v>42</v>
      </c>
      <c r="G2033" t="s">
        <v>32</v>
      </c>
      <c r="H2033" t="s">
        <v>33</v>
      </c>
      <c r="I2033" t="s">
        <v>34</v>
      </c>
      <c r="J2033" t="s">
        <v>122</v>
      </c>
      <c r="O2033" s="5"/>
      <c r="P2033" s="5"/>
    </row>
    <row r="2034" spans="1:30" x14ac:dyDescent="0.35">
      <c r="A2034" s="4">
        <v>42574</v>
      </c>
      <c r="B2034" t="s">
        <v>30</v>
      </c>
      <c r="C2034">
        <v>303</v>
      </c>
      <c r="D2034">
        <v>5</v>
      </c>
      <c r="E2034">
        <v>2</v>
      </c>
      <c r="F2034" t="s">
        <v>31</v>
      </c>
      <c r="G2034" t="s">
        <v>32</v>
      </c>
      <c r="H2034" t="s">
        <v>33</v>
      </c>
      <c r="I2034" t="s">
        <v>58</v>
      </c>
      <c r="J2034" t="s">
        <v>35</v>
      </c>
      <c r="K2034" t="s">
        <v>36</v>
      </c>
      <c r="L2034" t="s">
        <v>37</v>
      </c>
      <c r="M2034">
        <v>0</v>
      </c>
      <c r="N2034">
        <v>1</v>
      </c>
      <c r="O2034" s="5">
        <v>50344</v>
      </c>
      <c r="P2034" s="5"/>
      <c r="Q2034">
        <f>33-10.5</f>
        <v>22.5</v>
      </c>
      <c r="R2034" t="s">
        <v>38</v>
      </c>
      <c r="T2034">
        <v>19</v>
      </c>
      <c r="W2034">
        <v>12.8</v>
      </c>
      <c r="X2034">
        <v>26.6</v>
      </c>
      <c r="Z2034" t="s">
        <v>102</v>
      </c>
      <c r="AA2034" t="s">
        <v>263</v>
      </c>
      <c r="AB2034" t="s">
        <v>87</v>
      </c>
      <c r="AC2034" t="s">
        <v>86</v>
      </c>
      <c r="AD2034" t="s">
        <v>264</v>
      </c>
    </row>
    <row r="2035" spans="1:30" x14ac:dyDescent="0.35">
      <c r="A2035" s="4">
        <v>42574</v>
      </c>
      <c r="B2035" t="s">
        <v>30</v>
      </c>
      <c r="C2035">
        <v>303</v>
      </c>
      <c r="D2035">
        <v>6</v>
      </c>
      <c r="E2035">
        <v>1</v>
      </c>
      <c r="F2035" t="s">
        <v>31</v>
      </c>
      <c r="G2035" t="s">
        <v>32</v>
      </c>
      <c r="H2035" t="s">
        <v>33</v>
      </c>
      <c r="I2035" t="s">
        <v>58</v>
      </c>
      <c r="J2035" t="s">
        <v>44</v>
      </c>
      <c r="K2035" t="s">
        <v>36</v>
      </c>
      <c r="L2035" t="s">
        <v>37</v>
      </c>
      <c r="M2035">
        <v>0</v>
      </c>
      <c r="N2035">
        <v>0</v>
      </c>
      <c r="O2035" s="5">
        <v>50439</v>
      </c>
      <c r="P2035" s="5"/>
      <c r="Q2035">
        <f>32.5-10.5</f>
        <v>22</v>
      </c>
      <c r="R2035" t="s">
        <v>38</v>
      </c>
      <c r="T2035">
        <v>19</v>
      </c>
      <c r="W2035">
        <v>12.9</v>
      </c>
      <c r="X2035">
        <v>27.4</v>
      </c>
      <c r="Z2035" t="s">
        <v>102</v>
      </c>
      <c r="AA2035" t="s">
        <v>201</v>
      </c>
      <c r="AB2035" t="s">
        <v>87</v>
      </c>
      <c r="AC2035" t="s">
        <v>86</v>
      </c>
    </row>
    <row r="2036" spans="1:30" x14ac:dyDescent="0.35">
      <c r="A2036" s="4">
        <v>42574</v>
      </c>
      <c r="B2036" t="s">
        <v>30</v>
      </c>
      <c r="C2036">
        <v>703</v>
      </c>
      <c r="D2036">
        <v>6</v>
      </c>
      <c r="E2036">
        <v>2</v>
      </c>
      <c r="F2036" t="s">
        <v>42</v>
      </c>
      <c r="G2036" t="s">
        <v>32</v>
      </c>
      <c r="H2036" t="s">
        <v>33</v>
      </c>
      <c r="I2036" t="s">
        <v>58</v>
      </c>
      <c r="J2036" t="s">
        <v>44</v>
      </c>
      <c r="K2036" t="s">
        <v>36</v>
      </c>
      <c r="L2036" t="s">
        <v>45</v>
      </c>
      <c r="M2036">
        <v>0</v>
      </c>
      <c r="N2036">
        <v>0</v>
      </c>
      <c r="O2036" s="5">
        <v>50508</v>
      </c>
      <c r="P2036" s="5"/>
      <c r="Q2036">
        <f>35.5-13</f>
        <v>22.5</v>
      </c>
      <c r="R2036" t="s">
        <v>265</v>
      </c>
      <c r="S2036" t="s">
        <v>39</v>
      </c>
      <c r="T2036">
        <v>16</v>
      </c>
      <c r="W2036">
        <v>12.4</v>
      </c>
      <c r="X2036">
        <v>24.6</v>
      </c>
      <c r="Z2036" t="s">
        <v>102</v>
      </c>
      <c r="AB2036" t="s">
        <v>230</v>
      </c>
      <c r="AC2036" t="s">
        <v>41</v>
      </c>
    </row>
    <row r="2037" spans="1:30" x14ac:dyDescent="0.35">
      <c r="A2037" s="4">
        <v>42574</v>
      </c>
      <c r="B2037" t="s">
        <v>30</v>
      </c>
      <c r="C2037">
        <v>503</v>
      </c>
      <c r="D2037">
        <v>1</v>
      </c>
      <c r="E2037">
        <v>1</v>
      </c>
      <c r="F2037" t="s">
        <v>31</v>
      </c>
      <c r="G2037" t="s">
        <v>32</v>
      </c>
      <c r="H2037" t="s">
        <v>33</v>
      </c>
      <c r="I2037" t="s">
        <v>58</v>
      </c>
      <c r="J2037" t="s">
        <v>44</v>
      </c>
      <c r="K2037" t="s">
        <v>36</v>
      </c>
      <c r="L2037" t="s">
        <v>37</v>
      </c>
      <c r="M2037">
        <v>0</v>
      </c>
      <c r="N2037">
        <v>0</v>
      </c>
      <c r="O2037" s="5">
        <v>50579</v>
      </c>
      <c r="P2037" s="5"/>
      <c r="Q2037">
        <f>37.5-10</f>
        <v>27.5</v>
      </c>
      <c r="R2037" t="s">
        <v>38</v>
      </c>
      <c r="T2037">
        <v>17</v>
      </c>
      <c r="W2037">
        <v>12.9</v>
      </c>
      <c r="X2037">
        <v>27</v>
      </c>
      <c r="Z2037" t="s">
        <v>102</v>
      </c>
      <c r="AA2037" t="s">
        <v>266</v>
      </c>
      <c r="AB2037" t="s">
        <v>87</v>
      </c>
      <c r="AC2037" t="s">
        <v>86</v>
      </c>
    </row>
    <row r="2038" spans="1:30" x14ac:dyDescent="0.35">
      <c r="A2038" s="4">
        <v>42574</v>
      </c>
      <c r="B2038" t="s">
        <v>30</v>
      </c>
      <c r="C2038">
        <v>703</v>
      </c>
      <c r="D2038">
        <v>1</v>
      </c>
      <c r="E2038">
        <v>1</v>
      </c>
      <c r="F2038" t="s">
        <v>42</v>
      </c>
      <c r="G2038" t="s">
        <v>32</v>
      </c>
      <c r="H2038" t="s">
        <v>33</v>
      </c>
      <c r="I2038" t="s">
        <v>58</v>
      </c>
      <c r="J2038" t="s">
        <v>66</v>
      </c>
      <c r="M2038">
        <v>0</v>
      </c>
      <c r="N2038">
        <v>0</v>
      </c>
      <c r="O2038" s="5">
        <v>50618</v>
      </c>
      <c r="P2038" s="5"/>
      <c r="Z2038" t="s">
        <v>102</v>
      </c>
      <c r="AB2038" t="s">
        <v>230</v>
      </c>
      <c r="AC2038" t="s">
        <v>41</v>
      </c>
    </row>
    <row r="2039" spans="1:30" x14ac:dyDescent="0.35">
      <c r="A2039" s="4">
        <v>42574</v>
      </c>
      <c r="B2039" t="s">
        <v>30</v>
      </c>
      <c r="C2039">
        <v>701</v>
      </c>
      <c r="D2039">
        <v>1</v>
      </c>
      <c r="E2039">
        <v>2</v>
      </c>
      <c r="F2039" t="s">
        <v>42</v>
      </c>
      <c r="G2039" t="s">
        <v>32</v>
      </c>
      <c r="H2039" t="s">
        <v>33</v>
      </c>
      <c r="I2039" t="s">
        <v>58</v>
      </c>
      <c r="J2039" t="s">
        <v>44</v>
      </c>
      <c r="K2039" t="s">
        <v>36</v>
      </c>
      <c r="L2039" t="s">
        <v>45</v>
      </c>
      <c r="M2039">
        <v>0</v>
      </c>
      <c r="N2039">
        <v>0</v>
      </c>
      <c r="O2039" s="5">
        <v>50688</v>
      </c>
      <c r="P2039" s="5"/>
      <c r="R2039" t="s">
        <v>74</v>
      </c>
      <c r="S2039" t="s">
        <v>102</v>
      </c>
      <c r="T2039">
        <v>16</v>
      </c>
      <c r="W2039">
        <v>12.65</v>
      </c>
      <c r="X2039">
        <v>26.2</v>
      </c>
      <c r="Z2039" t="s">
        <v>102</v>
      </c>
      <c r="AA2039" t="s">
        <v>267</v>
      </c>
      <c r="AB2039" t="s">
        <v>230</v>
      </c>
      <c r="AC2039" t="s">
        <v>41</v>
      </c>
      <c r="AD2039" t="s">
        <v>268</v>
      </c>
    </row>
    <row r="2040" spans="1:30" x14ac:dyDescent="0.35">
      <c r="A2040" s="4">
        <v>42574</v>
      </c>
      <c r="B2040" t="s">
        <v>30</v>
      </c>
      <c r="C2040">
        <v>303</v>
      </c>
      <c r="D2040">
        <v>7</v>
      </c>
      <c r="E2040">
        <v>1</v>
      </c>
      <c r="F2040" t="s">
        <v>31</v>
      </c>
      <c r="G2040" t="s">
        <v>32</v>
      </c>
      <c r="H2040" t="s">
        <v>33</v>
      </c>
      <c r="I2040" t="s">
        <v>58</v>
      </c>
      <c r="J2040" t="s">
        <v>44</v>
      </c>
      <c r="K2040" t="s">
        <v>36</v>
      </c>
      <c r="L2040" t="s">
        <v>45</v>
      </c>
      <c r="M2040">
        <v>0</v>
      </c>
      <c r="N2040">
        <v>0</v>
      </c>
      <c r="O2040" s="5">
        <v>50738</v>
      </c>
      <c r="P2040" s="5"/>
      <c r="Q2040">
        <f>31.5-10.5</f>
        <v>21</v>
      </c>
      <c r="R2040" t="s">
        <v>38</v>
      </c>
      <c r="T2040">
        <v>17</v>
      </c>
      <c r="W2040">
        <v>12.7</v>
      </c>
      <c r="X2040">
        <v>27.2</v>
      </c>
      <c r="Z2040" t="s">
        <v>102</v>
      </c>
      <c r="AA2040" t="s">
        <v>201</v>
      </c>
      <c r="AB2040" t="s">
        <v>87</v>
      </c>
      <c r="AC2040" t="s">
        <v>86</v>
      </c>
    </row>
    <row r="2041" spans="1:30" x14ac:dyDescent="0.35">
      <c r="A2041" s="4">
        <v>42574</v>
      </c>
      <c r="B2041" t="s">
        <v>30</v>
      </c>
      <c r="C2041">
        <v>801</v>
      </c>
      <c r="D2041">
        <v>4</v>
      </c>
      <c r="E2041">
        <v>1</v>
      </c>
      <c r="F2041" t="s">
        <v>42</v>
      </c>
      <c r="G2041" t="s">
        <v>32</v>
      </c>
      <c r="H2041" t="s">
        <v>33</v>
      </c>
      <c r="I2041" t="s">
        <v>58</v>
      </c>
      <c r="J2041" t="s">
        <v>44</v>
      </c>
      <c r="K2041" t="s">
        <v>36</v>
      </c>
      <c r="L2041" t="s">
        <v>45</v>
      </c>
      <c r="M2041">
        <v>0</v>
      </c>
      <c r="N2041">
        <v>0</v>
      </c>
      <c r="O2041" s="5">
        <v>50756</v>
      </c>
      <c r="P2041" s="5"/>
      <c r="Q2041">
        <v>31</v>
      </c>
      <c r="R2041" t="s">
        <v>149</v>
      </c>
      <c r="S2041" t="s">
        <v>102</v>
      </c>
      <c r="T2041">
        <v>18</v>
      </c>
      <c r="W2041">
        <v>13.5</v>
      </c>
      <c r="X2041">
        <v>22.7</v>
      </c>
      <c r="Z2041" t="s">
        <v>39</v>
      </c>
      <c r="AB2041" t="s">
        <v>230</v>
      </c>
      <c r="AC2041" t="s">
        <v>41</v>
      </c>
    </row>
    <row r="2042" spans="1:30" x14ac:dyDescent="0.35">
      <c r="A2042" s="4">
        <v>42574</v>
      </c>
      <c r="B2042" t="s">
        <v>30</v>
      </c>
      <c r="C2042">
        <v>701</v>
      </c>
      <c r="D2042">
        <v>7</v>
      </c>
      <c r="E2042">
        <v>2</v>
      </c>
      <c r="F2042" t="s">
        <v>42</v>
      </c>
      <c r="G2042" t="s">
        <v>32</v>
      </c>
      <c r="H2042" t="s">
        <v>33</v>
      </c>
      <c r="I2042" t="s">
        <v>58</v>
      </c>
      <c r="J2042" t="s">
        <v>44</v>
      </c>
      <c r="K2042" t="s">
        <v>36</v>
      </c>
      <c r="L2042" t="s">
        <v>45</v>
      </c>
      <c r="M2042">
        <v>0</v>
      </c>
      <c r="N2042">
        <v>0</v>
      </c>
      <c r="O2042" s="5">
        <v>50759</v>
      </c>
      <c r="P2042" s="5"/>
      <c r="Q2042">
        <f>39-13</f>
        <v>26</v>
      </c>
      <c r="R2042" t="s">
        <v>38</v>
      </c>
      <c r="T2042">
        <v>16.5</v>
      </c>
      <c r="W2042">
        <v>13.6</v>
      </c>
      <c r="X2042">
        <v>26.9</v>
      </c>
      <c r="Z2042" t="s">
        <v>102</v>
      </c>
      <c r="AA2042" t="s">
        <v>269</v>
      </c>
      <c r="AB2042" t="s">
        <v>230</v>
      </c>
      <c r="AC2042" t="s">
        <v>41</v>
      </c>
    </row>
    <row r="2043" spans="1:30" x14ac:dyDescent="0.35">
      <c r="A2043" s="4">
        <v>42574</v>
      </c>
      <c r="B2043" t="s">
        <v>30</v>
      </c>
      <c r="C2043">
        <v>703</v>
      </c>
      <c r="D2043">
        <v>4</v>
      </c>
      <c r="E2043">
        <v>2</v>
      </c>
      <c r="F2043" t="s">
        <v>42</v>
      </c>
      <c r="G2043" t="s">
        <v>32</v>
      </c>
      <c r="H2043" t="s">
        <v>33</v>
      </c>
      <c r="I2043" t="s">
        <v>58</v>
      </c>
      <c r="J2043" t="s">
        <v>44</v>
      </c>
      <c r="K2043" t="s">
        <v>88</v>
      </c>
      <c r="L2043" t="s">
        <v>37</v>
      </c>
      <c r="M2043">
        <v>0</v>
      </c>
      <c r="N2043">
        <v>0</v>
      </c>
      <c r="O2043" s="5">
        <v>50764</v>
      </c>
      <c r="P2043" s="5"/>
      <c r="Q2043">
        <f>31.5-14</f>
        <v>17.5</v>
      </c>
      <c r="R2043" t="s">
        <v>64</v>
      </c>
      <c r="T2043">
        <v>15</v>
      </c>
      <c r="W2043">
        <v>12.5</v>
      </c>
      <c r="X2043">
        <v>26.7</v>
      </c>
      <c r="Z2043" t="s">
        <v>102</v>
      </c>
      <c r="AB2043" t="s">
        <v>230</v>
      </c>
      <c r="AC2043" t="s">
        <v>41</v>
      </c>
    </row>
    <row r="2044" spans="1:30" x14ac:dyDescent="0.35">
      <c r="A2044" s="4">
        <v>42574</v>
      </c>
      <c r="B2044" t="s">
        <v>30</v>
      </c>
      <c r="C2044">
        <v>703</v>
      </c>
      <c r="D2044">
        <v>6</v>
      </c>
      <c r="E2044">
        <v>1</v>
      </c>
      <c r="F2044" t="s">
        <v>42</v>
      </c>
      <c r="G2044" t="s">
        <v>32</v>
      </c>
      <c r="H2044" t="s">
        <v>33</v>
      </c>
      <c r="I2044" t="s">
        <v>58</v>
      </c>
      <c r="J2044" t="s">
        <v>35</v>
      </c>
      <c r="K2044" t="s">
        <v>36</v>
      </c>
      <c r="L2044" t="s">
        <v>37</v>
      </c>
      <c r="M2044">
        <v>0</v>
      </c>
      <c r="N2044">
        <v>1</v>
      </c>
      <c r="O2044" s="5">
        <v>50857</v>
      </c>
      <c r="P2044" s="5"/>
      <c r="Q2044">
        <f>35-13.5</f>
        <v>21.5</v>
      </c>
      <c r="R2044" t="s">
        <v>64</v>
      </c>
      <c r="T2044">
        <v>17</v>
      </c>
      <c r="W2044">
        <v>12.5</v>
      </c>
      <c r="X2044">
        <v>26.3</v>
      </c>
      <c r="Z2044" t="s">
        <v>102</v>
      </c>
      <c r="AB2044" t="s">
        <v>230</v>
      </c>
      <c r="AC2044" t="s">
        <v>41</v>
      </c>
    </row>
    <row r="2045" spans="1:30" x14ac:dyDescent="0.35">
      <c r="A2045" s="4">
        <v>42574</v>
      </c>
      <c r="B2045" t="s">
        <v>30</v>
      </c>
      <c r="C2045">
        <v>401</v>
      </c>
      <c r="D2045">
        <v>5</v>
      </c>
      <c r="E2045">
        <v>2</v>
      </c>
      <c r="F2045" t="s">
        <v>31</v>
      </c>
      <c r="G2045" t="s">
        <v>32</v>
      </c>
      <c r="H2045" t="s">
        <v>33</v>
      </c>
      <c r="I2045" t="s">
        <v>65</v>
      </c>
      <c r="J2045" t="s">
        <v>44</v>
      </c>
      <c r="K2045" t="s">
        <v>36</v>
      </c>
      <c r="L2045" t="s">
        <v>37</v>
      </c>
      <c r="M2045">
        <v>0</v>
      </c>
      <c r="N2045">
        <v>0</v>
      </c>
      <c r="O2045" s="5">
        <v>2622</v>
      </c>
      <c r="P2045" s="5">
        <v>2621</v>
      </c>
      <c r="Q2045">
        <f>230-49</f>
        <v>181</v>
      </c>
      <c r="R2045" t="s">
        <v>38</v>
      </c>
      <c r="T2045">
        <v>41</v>
      </c>
      <c r="W2045">
        <v>12.7</v>
      </c>
      <c r="X2045">
        <v>44.1</v>
      </c>
      <c r="Y2045" t="s">
        <v>270</v>
      </c>
      <c r="Z2045" t="s">
        <v>102</v>
      </c>
      <c r="AA2045" t="s">
        <v>271</v>
      </c>
      <c r="AB2045" t="s">
        <v>87</v>
      </c>
      <c r="AC2045" t="s">
        <v>86</v>
      </c>
    </row>
    <row r="2046" spans="1:30" x14ac:dyDescent="0.35">
      <c r="A2046" s="4">
        <v>42574</v>
      </c>
      <c r="B2046" t="s">
        <v>30</v>
      </c>
      <c r="C2046">
        <v>501</v>
      </c>
      <c r="D2046">
        <v>2</v>
      </c>
      <c r="E2046">
        <v>1</v>
      </c>
      <c r="F2046" t="s">
        <v>31</v>
      </c>
      <c r="G2046" t="s">
        <v>32</v>
      </c>
      <c r="H2046" t="s">
        <v>33</v>
      </c>
      <c r="I2046" t="s">
        <v>55</v>
      </c>
      <c r="J2046" t="s">
        <v>66</v>
      </c>
      <c r="O2046" s="5"/>
      <c r="P2046" s="5"/>
    </row>
    <row r="2047" spans="1:30" x14ac:dyDescent="0.35">
      <c r="A2047" s="4">
        <v>42574</v>
      </c>
      <c r="B2047" t="s">
        <v>30</v>
      </c>
      <c r="C2047">
        <v>503</v>
      </c>
      <c r="D2047">
        <v>5</v>
      </c>
      <c r="E2047">
        <v>1</v>
      </c>
      <c r="F2047" t="s">
        <v>31</v>
      </c>
      <c r="G2047" t="s">
        <v>32</v>
      </c>
      <c r="H2047" t="s">
        <v>33</v>
      </c>
      <c r="I2047" t="s">
        <v>55</v>
      </c>
      <c r="J2047" t="s">
        <v>123</v>
      </c>
      <c r="O2047" s="5"/>
      <c r="P2047" s="5"/>
    </row>
    <row r="2048" spans="1:30" x14ac:dyDescent="0.35">
      <c r="A2048" s="4">
        <v>42574</v>
      </c>
      <c r="B2048" t="s">
        <v>30</v>
      </c>
      <c r="C2048">
        <v>503</v>
      </c>
      <c r="D2048">
        <v>5</v>
      </c>
      <c r="E2048">
        <v>2</v>
      </c>
      <c r="F2048" t="s">
        <v>31</v>
      </c>
      <c r="G2048" t="s">
        <v>32</v>
      </c>
      <c r="H2048" t="s">
        <v>33</v>
      </c>
      <c r="I2048" t="s">
        <v>55</v>
      </c>
      <c r="J2048" t="s">
        <v>123</v>
      </c>
      <c r="O2048" s="5"/>
      <c r="P2048" s="5"/>
    </row>
    <row r="2049" spans="1:29" x14ac:dyDescent="0.35">
      <c r="A2049" s="4">
        <v>42574</v>
      </c>
      <c r="B2049" t="s">
        <v>30</v>
      </c>
      <c r="C2049">
        <v>303</v>
      </c>
      <c r="D2049">
        <v>4</v>
      </c>
      <c r="E2049">
        <v>2</v>
      </c>
      <c r="F2049" t="s">
        <v>31</v>
      </c>
      <c r="G2049" t="s">
        <v>32</v>
      </c>
      <c r="H2049" t="s">
        <v>33</v>
      </c>
      <c r="I2049" t="s">
        <v>55</v>
      </c>
      <c r="J2049" t="s">
        <v>66</v>
      </c>
      <c r="O2049" s="5"/>
      <c r="P2049" s="5"/>
    </row>
    <row r="2050" spans="1:29" x14ac:dyDescent="0.35">
      <c r="A2050" s="4">
        <v>42574</v>
      </c>
      <c r="B2050" t="s">
        <v>30</v>
      </c>
      <c r="C2050">
        <v>303</v>
      </c>
      <c r="D2050">
        <v>7</v>
      </c>
      <c r="E2050">
        <v>2</v>
      </c>
      <c r="F2050" t="s">
        <v>31</v>
      </c>
      <c r="G2050" t="s">
        <v>32</v>
      </c>
      <c r="H2050" t="s">
        <v>33</v>
      </c>
      <c r="I2050" t="s">
        <v>55</v>
      </c>
      <c r="J2050" t="s">
        <v>66</v>
      </c>
      <c r="O2050" s="5"/>
      <c r="P2050" s="5"/>
    </row>
    <row r="2051" spans="1:29" x14ac:dyDescent="0.35">
      <c r="A2051" s="4">
        <v>42574</v>
      </c>
      <c r="B2051" t="s">
        <v>30</v>
      </c>
      <c r="C2051">
        <v>303</v>
      </c>
      <c r="D2051">
        <v>10</v>
      </c>
      <c r="E2051">
        <v>1</v>
      </c>
      <c r="F2051" t="s">
        <v>31</v>
      </c>
      <c r="G2051" t="s">
        <v>32</v>
      </c>
      <c r="H2051" t="s">
        <v>33</v>
      </c>
      <c r="I2051" t="s">
        <v>55</v>
      </c>
      <c r="J2051" t="s">
        <v>66</v>
      </c>
      <c r="O2051" s="5"/>
      <c r="P2051" s="5"/>
    </row>
    <row r="2052" spans="1:29" x14ac:dyDescent="0.35">
      <c r="A2052" s="4">
        <v>42574</v>
      </c>
      <c r="B2052" t="s">
        <v>30</v>
      </c>
      <c r="C2052">
        <v>401</v>
      </c>
      <c r="D2052">
        <v>6</v>
      </c>
      <c r="E2052">
        <v>1</v>
      </c>
      <c r="F2052" t="s">
        <v>31</v>
      </c>
      <c r="G2052" t="s">
        <v>32</v>
      </c>
      <c r="H2052" t="s">
        <v>33</v>
      </c>
      <c r="I2052" t="s">
        <v>55</v>
      </c>
      <c r="J2052" t="s">
        <v>66</v>
      </c>
      <c r="O2052" s="5"/>
      <c r="P2052" s="5"/>
    </row>
    <row r="2053" spans="1:29" x14ac:dyDescent="0.35">
      <c r="A2053" s="4">
        <v>42574</v>
      </c>
      <c r="B2053" t="s">
        <v>30</v>
      </c>
      <c r="C2053">
        <v>703</v>
      </c>
      <c r="D2053">
        <v>9</v>
      </c>
      <c r="E2053">
        <v>2</v>
      </c>
      <c r="F2053" t="s">
        <v>42</v>
      </c>
      <c r="G2053" t="s">
        <v>32</v>
      </c>
      <c r="H2053" t="s">
        <v>33</v>
      </c>
      <c r="I2053" t="s">
        <v>55</v>
      </c>
      <c r="J2053" t="s">
        <v>66</v>
      </c>
      <c r="O2053" s="5"/>
      <c r="P2053" s="5"/>
    </row>
    <row r="2054" spans="1:29" x14ac:dyDescent="0.35">
      <c r="A2054" s="4">
        <v>42574</v>
      </c>
      <c r="B2054" t="s">
        <v>30</v>
      </c>
      <c r="C2054">
        <v>701</v>
      </c>
      <c r="D2054">
        <v>4</v>
      </c>
      <c r="E2054">
        <v>2</v>
      </c>
      <c r="F2054" t="s">
        <v>42</v>
      </c>
      <c r="G2054" t="s">
        <v>32</v>
      </c>
      <c r="H2054" t="s">
        <v>33</v>
      </c>
      <c r="I2054" t="s">
        <v>55</v>
      </c>
      <c r="J2054" t="s">
        <v>66</v>
      </c>
      <c r="O2054" s="5"/>
      <c r="P2054" s="5"/>
    </row>
    <row r="2055" spans="1:29" x14ac:dyDescent="0.35">
      <c r="A2055" s="4">
        <v>42574</v>
      </c>
      <c r="B2055" t="s">
        <v>30</v>
      </c>
      <c r="C2055">
        <v>701</v>
      </c>
      <c r="D2055">
        <v>5</v>
      </c>
      <c r="E2055">
        <v>2</v>
      </c>
      <c r="F2055" t="s">
        <v>42</v>
      </c>
      <c r="G2055" t="s">
        <v>32</v>
      </c>
      <c r="H2055" t="s">
        <v>33</v>
      </c>
      <c r="I2055" t="s">
        <v>55</v>
      </c>
      <c r="J2055" t="s">
        <v>66</v>
      </c>
      <c r="O2055" s="5"/>
      <c r="P2055" s="5"/>
    </row>
    <row r="2056" spans="1:29" x14ac:dyDescent="0.35">
      <c r="A2056" s="4">
        <v>42574</v>
      </c>
      <c r="B2056" t="s">
        <v>30</v>
      </c>
      <c r="C2056">
        <v>801</v>
      </c>
      <c r="D2056">
        <v>7</v>
      </c>
      <c r="E2056">
        <v>1</v>
      </c>
      <c r="F2056" t="s">
        <v>42</v>
      </c>
      <c r="G2056" t="s">
        <v>32</v>
      </c>
      <c r="H2056" t="s">
        <v>33</v>
      </c>
      <c r="I2056" t="s">
        <v>55</v>
      </c>
      <c r="J2056" t="s">
        <v>66</v>
      </c>
      <c r="O2056" s="5"/>
      <c r="P2056" s="5"/>
      <c r="AB2056" t="s">
        <v>230</v>
      </c>
      <c r="AC2056" t="s">
        <v>41</v>
      </c>
    </row>
    <row r="2057" spans="1:29" x14ac:dyDescent="0.35">
      <c r="A2057" s="4">
        <v>42574</v>
      </c>
      <c r="B2057" t="s">
        <v>30</v>
      </c>
      <c r="C2057">
        <v>501</v>
      </c>
      <c r="D2057">
        <v>6</v>
      </c>
      <c r="E2057">
        <v>2</v>
      </c>
      <c r="F2057" t="s">
        <v>31</v>
      </c>
      <c r="G2057" t="s">
        <v>32</v>
      </c>
      <c r="H2057" t="s">
        <v>33</v>
      </c>
      <c r="I2057" t="s">
        <v>84</v>
      </c>
      <c r="O2057" s="5"/>
      <c r="P2057" s="5"/>
    </row>
    <row r="2058" spans="1:29" x14ac:dyDescent="0.35">
      <c r="A2058" s="4">
        <v>42574</v>
      </c>
      <c r="B2058" t="s">
        <v>30</v>
      </c>
      <c r="C2058">
        <v>501</v>
      </c>
      <c r="D2058">
        <v>7</v>
      </c>
      <c r="E2058">
        <v>1</v>
      </c>
      <c r="F2058" t="s">
        <v>31</v>
      </c>
      <c r="G2058" t="s">
        <v>32</v>
      </c>
      <c r="H2058" t="s">
        <v>33</v>
      </c>
      <c r="I2058" t="s">
        <v>84</v>
      </c>
      <c r="O2058" s="5"/>
      <c r="P2058" s="5"/>
    </row>
    <row r="2059" spans="1:29" x14ac:dyDescent="0.35">
      <c r="A2059" s="4">
        <v>42574</v>
      </c>
      <c r="B2059" t="s">
        <v>30</v>
      </c>
      <c r="C2059">
        <v>501</v>
      </c>
      <c r="D2059">
        <v>8</v>
      </c>
      <c r="E2059">
        <v>1</v>
      </c>
      <c r="F2059" t="s">
        <v>31</v>
      </c>
      <c r="G2059" t="s">
        <v>32</v>
      </c>
      <c r="H2059" t="s">
        <v>33</v>
      </c>
      <c r="I2059" t="s">
        <v>84</v>
      </c>
      <c r="O2059" s="5"/>
      <c r="P2059" s="5"/>
    </row>
    <row r="2060" spans="1:29" x14ac:dyDescent="0.35">
      <c r="A2060" s="4">
        <v>42574</v>
      </c>
      <c r="B2060" t="s">
        <v>30</v>
      </c>
      <c r="C2060">
        <v>501</v>
      </c>
      <c r="D2060">
        <v>9</v>
      </c>
      <c r="E2060">
        <v>1</v>
      </c>
      <c r="F2060" t="s">
        <v>31</v>
      </c>
      <c r="G2060" t="s">
        <v>32</v>
      </c>
      <c r="H2060" t="s">
        <v>33</v>
      </c>
      <c r="I2060" t="s">
        <v>84</v>
      </c>
      <c r="O2060" s="5"/>
      <c r="P2060" s="5"/>
    </row>
    <row r="2061" spans="1:29" x14ac:dyDescent="0.35">
      <c r="A2061" s="4">
        <v>42574</v>
      </c>
      <c r="B2061" t="s">
        <v>30</v>
      </c>
      <c r="C2061">
        <v>501</v>
      </c>
      <c r="D2061">
        <v>1</v>
      </c>
      <c r="E2061">
        <v>1</v>
      </c>
      <c r="F2061" t="s">
        <v>31</v>
      </c>
      <c r="G2061" t="s">
        <v>32</v>
      </c>
      <c r="H2061" t="s">
        <v>33</v>
      </c>
      <c r="I2061" t="s">
        <v>59</v>
      </c>
      <c r="O2061" s="5"/>
      <c r="P2061" s="5"/>
    </row>
    <row r="2062" spans="1:29" x14ac:dyDescent="0.35">
      <c r="A2062" s="4">
        <v>42574</v>
      </c>
      <c r="B2062" t="s">
        <v>30</v>
      </c>
      <c r="C2062">
        <v>501</v>
      </c>
      <c r="D2062">
        <v>1</v>
      </c>
      <c r="E2062">
        <v>2</v>
      </c>
      <c r="F2062" t="s">
        <v>31</v>
      </c>
      <c r="G2062" t="s">
        <v>32</v>
      </c>
      <c r="H2062" t="s">
        <v>33</v>
      </c>
      <c r="I2062" t="s">
        <v>59</v>
      </c>
      <c r="O2062" s="5"/>
      <c r="P2062" s="5"/>
    </row>
    <row r="2063" spans="1:29" x14ac:dyDescent="0.35">
      <c r="A2063" s="4">
        <v>42574</v>
      </c>
      <c r="B2063" t="s">
        <v>30</v>
      </c>
      <c r="C2063">
        <v>501</v>
      </c>
      <c r="D2063">
        <v>5</v>
      </c>
      <c r="E2063">
        <v>1</v>
      </c>
      <c r="F2063" t="s">
        <v>31</v>
      </c>
      <c r="G2063" t="s">
        <v>32</v>
      </c>
      <c r="H2063" t="s">
        <v>33</v>
      </c>
      <c r="I2063" t="s">
        <v>59</v>
      </c>
      <c r="O2063" s="5"/>
      <c r="P2063" s="5"/>
    </row>
    <row r="2064" spans="1:29" x14ac:dyDescent="0.35">
      <c r="A2064" s="4">
        <v>42574</v>
      </c>
      <c r="B2064" t="s">
        <v>30</v>
      </c>
      <c r="C2064">
        <v>501</v>
      </c>
      <c r="D2064">
        <v>5</v>
      </c>
      <c r="E2064">
        <v>2</v>
      </c>
      <c r="F2064" t="s">
        <v>31</v>
      </c>
      <c r="G2064" t="s">
        <v>32</v>
      </c>
      <c r="H2064" t="s">
        <v>33</v>
      </c>
      <c r="I2064" t="s">
        <v>59</v>
      </c>
      <c r="O2064" s="5"/>
      <c r="P2064" s="5"/>
    </row>
    <row r="2065" spans="1:16" x14ac:dyDescent="0.35">
      <c r="A2065" s="4">
        <v>42574</v>
      </c>
      <c r="B2065" t="s">
        <v>30</v>
      </c>
      <c r="C2065">
        <v>501</v>
      </c>
      <c r="D2065">
        <v>6</v>
      </c>
      <c r="E2065">
        <v>1</v>
      </c>
      <c r="F2065" t="s">
        <v>31</v>
      </c>
      <c r="G2065" t="s">
        <v>32</v>
      </c>
      <c r="H2065" t="s">
        <v>33</v>
      </c>
      <c r="I2065" t="s">
        <v>59</v>
      </c>
      <c r="O2065" s="5"/>
      <c r="P2065" s="5"/>
    </row>
    <row r="2066" spans="1:16" x14ac:dyDescent="0.35">
      <c r="A2066" s="4">
        <v>42574</v>
      </c>
      <c r="B2066" t="s">
        <v>30</v>
      </c>
      <c r="C2066">
        <v>501</v>
      </c>
      <c r="D2066">
        <v>7</v>
      </c>
      <c r="E2066">
        <v>2</v>
      </c>
      <c r="F2066" t="s">
        <v>31</v>
      </c>
      <c r="G2066" t="s">
        <v>32</v>
      </c>
      <c r="H2066" t="s">
        <v>33</v>
      </c>
      <c r="I2066" t="s">
        <v>59</v>
      </c>
      <c r="O2066" s="5"/>
      <c r="P2066" s="5"/>
    </row>
    <row r="2067" spans="1:16" x14ac:dyDescent="0.35">
      <c r="A2067" s="4">
        <v>42574</v>
      </c>
      <c r="B2067" t="s">
        <v>30</v>
      </c>
      <c r="C2067">
        <v>501</v>
      </c>
      <c r="D2067">
        <v>9</v>
      </c>
      <c r="E2067">
        <v>2</v>
      </c>
      <c r="F2067" t="s">
        <v>31</v>
      </c>
      <c r="G2067" t="s">
        <v>32</v>
      </c>
      <c r="H2067" t="s">
        <v>33</v>
      </c>
      <c r="I2067" t="s">
        <v>59</v>
      </c>
      <c r="O2067" s="5"/>
      <c r="P2067" s="5"/>
    </row>
    <row r="2068" spans="1:16" x14ac:dyDescent="0.35">
      <c r="A2068" s="4">
        <v>42574</v>
      </c>
      <c r="B2068" t="s">
        <v>30</v>
      </c>
      <c r="C2068">
        <v>501</v>
      </c>
      <c r="D2068">
        <v>10</v>
      </c>
      <c r="E2068">
        <v>1</v>
      </c>
      <c r="F2068" t="s">
        <v>31</v>
      </c>
      <c r="G2068" t="s">
        <v>32</v>
      </c>
      <c r="H2068" t="s">
        <v>33</v>
      </c>
      <c r="I2068" t="s">
        <v>59</v>
      </c>
      <c r="O2068" s="5"/>
      <c r="P2068" s="5"/>
    </row>
    <row r="2069" spans="1:16" x14ac:dyDescent="0.35">
      <c r="A2069" s="4">
        <v>42574</v>
      </c>
      <c r="B2069" t="s">
        <v>30</v>
      </c>
      <c r="C2069">
        <v>501</v>
      </c>
      <c r="D2069">
        <v>10</v>
      </c>
      <c r="E2069">
        <v>2</v>
      </c>
      <c r="F2069" t="s">
        <v>31</v>
      </c>
      <c r="G2069" t="s">
        <v>32</v>
      </c>
      <c r="H2069" t="s">
        <v>33</v>
      </c>
      <c r="I2069" t="s">
        <v>59</v>
      </c>
      <c r="O2069" s="5"/>
      <c r="P2069" s="5"/>
    </row>
    <row r="2070" spans="1:16" x14ac:dyDescent="0.35">
      <c r="A2070" s="4">
        <v>42574</v>
      </c>
      <c r="B2070" t="s">
        <v>30</v>
      </c>
      <c r="C2070">
        <v>503</v>
      </c>
      <c r="D2070">
        <v>2</v>
      </c>
      <c r="E2070">
        <v>1</v>
      </c>
      <c r="F2070" t="s">
        <v>31</v>
      </c>
      <c r="G2070" t="s">
        <v>32</v>
      </c>
      <c r="H2070" t="s">
        <v>33</v>
      </c>
      <c r="I2070" t="s">
        <v>59</v>
      </c>
      <c r="O2070" s="5"/>
      <c r="P2070" s="5"/>
    </row>
    <row r="2071" spans="1:16" x14ac:dyDescent="0.35">
      <c r="A2071" s="4">
        <v>42574</v>
      </c>
      <c r="B2071" t="s">
        <v>30</v>
      </c>
      <c r="C2071">
        <v>503</v>
      </c>
      <c r="D2071">
        <v>2</v>
      </c>
      <c r="E2071">
        <v>2</v>
      </c>
      <c r="F2071" t="s">
        <v>31</v>
      </c>
      <c r="G2071" t="s">
        <v>32</v>
      </c>
      <c r="H2071" t="s">
        <v>33</v>
      </c>
      <c r="I2071" t="s">
        <v>59</v>
      </c>
      <c r="O2071" s="5"/>
      <c r="P2071" s="5"/>
    </row>
    <row r="2072" spans="1:16" x14ac:dyDescent="0.35">
      <c r="A2072" s="4">
        <v>42574</v>
      </c>
      <c r="B2072" t="s">
        <v>30</v>
      </c>
      <c r="C2072">
        <v>503</v>
      </c>
      <c r="D2072">
        <v>4</v>
      </c>
      <c r="E2072">
        <v>1</v>
      </c>
      <c r="F2072" t="s">
        <v>31</v>
      </c>
      <c r="G2072" t="s">
        <v>32</v>
      </c>
      <c r="H2072" t="s">
        <v>33</v>
      </c>
      <c r="I2072" t="s">
        <v>59</v>
      </c>
      <c r="O2072" s="5"/>
      <c r="P2072" s="5"/>
    </row>
    <row r="2073" spans="1:16" x14ac:dyDescent="0.35">
      <c r="A2073" s="4">
        <v>42574</v>
      </c>
      <c r="B2073" t="s">
        <v>30</v>
      </c>
      <c r="C2073">
        <v>503</v>
      </c>
      <c r="D2073">
        <v>4</v>
      </c>
      <c r="E2073">
        <v>2</v>
      </c>
      <c r="F2073" t="s">
        <v>31</v>
      </c>
      <c r="G2073" t="s">
        <v>32</v>
      </c>
      <c r="H2073" t="s">
        <v>33</v>
      </c>
      <c r="I2073" t="s">
        <v>59</v>
      </c>
      <c r="O2073" s="5"/>
      <c r="P2073" s="5"/>
    </row>
    <row r="2074" spans="1:16" x14ac:dyDescent="0.35">
      <c r="A2074" s="4">
        <v>42574</v>
      </c>
      <c r="B2074" t="s">
        <v>30</v>
      </c>
      <c r="C2074">
        <v>503</v>
      </c>
      <c r="D2074">
        <v>6</v>
      </c>
      <c r="E2074">
        <v>1</v>
      </c>
      <c r="F2074" t="s">
        <v>31</v>
      </c>
      <c r="G2074" t="s">
        <v>32</v>
      </c>
      <c r="H2074" t="s">
        <v>33</v>
      </c>
      <c r="I2074" t="s">
        <v>59</v>
      </c>
      <c r="O2074" s="5"/>
      <c r="P2074" s="5"/>
    </row>
    <row r="2075" spans="1:16" x14ac:dyDescent="0.35">
      <c r="A2075" s="4">
        <v>42574</v>
      </c>
      <c r="B2075" t="s">
        <v>30</v>
      </c>
      <c r="C2075">
        <v>503</v>
      </c>
      <c r="D2075">
        <v>6</v>
      </c>
      <c r="E2075">
        <v>2</v>
      </c>
      <c r="F2075" t="s">
        <v>31</v>
      </c>
      <c r="G2075" t="s">
        <v>32</v>
      </c>
      <c r="H2075" t="s">
        <v>33</v>
      </c>
      <c r="I2075" t="s">
        <v>59</v>
      </c>
      <c r="O2075" s="5"/>
      <c r="P2075" s="5"/>
    </row>
    <row r="2076" spans="1:16" x14ac:dyDescent="0.35">
      <c r="A2076" s="4">
        <v>42574</v>
      </c>
      <c r="B2076" t="s">
        <v>30</v>
      </c>
      <c r="C2076">
        <v>503</v>
      </c>
      <c r="D2076">
        <v>7</v>
      </c>
      <c r="E2076">
        <v>1</v>
      </c>
      <c r="F2076" t="s">
        <v>31</v>
      </c>
      <c r="G2076" t="s">
        <v>32</v>
      </c>
      <c r="H2076" t="s">
        <v>33</v>
      </c>
      <c r="I2076" t="s">
        <v>59</v>
      </c>
      <c r="O2076" s="5"/>
      <c r="P2076" s="5"/>
    </row>
    <row r="2077" spans="1:16" x14ac:dyDescent="0.35">
      <c r="A2077" s="4">
        <v>42574</v>
      </c>
      <c r="B2077" t="s">
        <v>30</v>
      </c>
      <c r="C2077">
        <v>503</v>
      </c>
      <c r="D2077">
        <v>8</v>
      </c>
      <c r="E2077">
        <v>2</v>
      </c>
      <c r="F2077" t="s">
        <v>31</v>
      </c>
      <c r="G2077" t="s">
        <v>32</v>
      </c>
      <c r="H2077" t="s">
        <v>33</v>
      </c>
      <c r="I2077" t="s">
        <v>59</v>
      </c>
      <c r="O2077" s="5"/>
      <c r="P2077" s="5"/>
    </row>
    <row r="2078" spans="1:16" x14ac:dyDescent="0.35">
      <c r="A2078" s="4">
        <v>42574</v>
      </c>
      <c r="B2078" t="s">
        <v>30</v>
      </c>
      <c r="C2078">
        <v>503</v>
      </c>
      <c r="D2078">
        <v>9</v>
      </c>
      <c r="E2078">
        <v>1</v>
      </c>
      <c r="F2078" t="s">
        <v>31</v>
      </c>
      <c r="G2078" t="s">
        <v>32</v>
      </c>
      <c r="H2078" t="s">
        <v>33</v>
      </c>
      <c r="I2078" t="s">
        <v>59</v>
      </c>
      <c r="O2078" s="5"/>
      <c r="P2078" s="5"/>
    </row>
    <row r="2079" spans="1:16" x14ac:dyDescent="0.35">
      <c r="A2079" s="4">
        <v>42574</v>
      </c>
      <c r="B2079" t="s">
        <v>30</v>
      </c>
      <c r="C2079">
        <v>503</v>
      </c>
      <c r="D2079">
        <v>9</v>
      </c>
      <c r="E2079">
        <v>2</v>
      </c>
      <c r="F2079" t="s">
        <v>31</v>
      </c>
      <c r="G2079" t="s">
        <v>32</v>
      </c>
      <c r="H2079" t="s">
        <v>33</v>
      </c>
      <c r="I2079" t="s">
        <v>59</v>
      </c>
      <c r="O2079" s="5"/>
      <c r="P2079" s="5"/>
    </row>
    <row r="2080" spans="1:16" x14ac:dyDescent="0.35">
      <c r="A2080" s="4">
        <v>42574</v>
      </c>
      <c r="B2080" t="s">
        <v>30</v>
      </c>
      <c r="C2080">
        <v>503</v>
      </c>
      <c r="D2080">
        <v>10</v>
      </c>
      <c r="E2080">
        <v>1</v>
      </c>
      <c r="F2080" t="s">
        <v>31</v>
      </c>
      <c r="G2080" t="s">
        <v>32</v>
      </c>
      <c r="H2080" t="s">
        <v>33</v>
      </c>
      <c r="I2080" t="s">
        <v>59</v>
      </c>
      <c r="O2080" s="5"/>
      <c r="P2080" s="5"/>
    </row>
    <row r="2081" spans="1:16" x14ac:dyDescent="0.35">
      <c r="A2081" s="4">
        <v>42574</v>
      </c>
      <c r="B2081" t="s">
        <v>30</v>
      </c>
      <c r="C2081">
        <v>503</v>
      </c>
      <c r="D2081">
        <v>10</v>
      </c>
      <c r="E2081">
        <v>2</v>
      </c>
      <c r="F2081" t="s">
        <v>31</v>
      </c>
      <c r="G2081" t="s">
        <v>32</v>
      </c>
      <c r="H2081" t="s">
        <v>33</v>
      </c>
      <c r="I2081" t="s">
        <v>59</v>
      </c>
      <c r="O2081" s="5"/>
      <c r="P2081" s="5"/>
    </row>
    <row r="2082" spans="1:16" x14ac:dyDescent="0.35">
      <c r="A2082" s="4">
        <v>42574</v>
      </c>
      <c r="B2082" t="s">
        <v>30</v>
      </c>
      <c r="C2082">
        <v>303</v>
      </c>
      <c r="D2082">
        <v>1</v>
      </c>
      <c r="E2082">
        <v>1</v>
      </c>
      <c r="F2082" t="s">
        <v>31</v>
      </c>
      <c r="G2082" t="s">
        <v>32</v>
      </c>
      <c r="H2082" t="s">
        <v>33</v>
      </c>
      <c r="I2082" t="s">
        <v>59</v>
      </c>
      <c r="O2082" s="5"/>
      <c r="P2082" s="5"/>
    </row>
    <row r="2083" spans="1:16" x14ac:dyDescent="0.35">
      <c r="A2083" s="4">
        <v>42574</v>
      </c>
      <c r="B2083" t="s">
        <v>30</v>
      </c>
      <c r="C2083">
        <v>303</v>
      </c>
      <c r="D2083">
        <v>2</v>
      </c>
      <c r="E2083">
        <v>1</v>
      </c>
      <c r="F2083" t="s">
        <v>31</v>
      </c>
      <c r="G2083" t="s">
        <v>32</v>
      </c>
      <c r="H2083" t="s">
        <v>33</v>
      </c>
      <c r="I2083" t="s">
        <v>59</v>
      </c>
      <c r="O2083" s="5"/>
      <c r="P2083" s="5"/>
    </row>
    <row r="2084" spans="1:16" x14ac:dyDescent="0.35">
      <c r="A2084" s="4">
        <v>42574</v>
      </c>
      <c r="B2084" t="s">
        <v>30</v>
      </c>
      <c r="C2084">
        <v>303</v>
      </c>
      <c r="D2084">
        <v>4</v>
      </c>
      <c r="E2084">
        <v>1</v>
      </c>
      <c r="F2084" t="s">
        <v>31</v>
      </c>
      <c r="G2084" t="s">
        <v>32</v>
      </c>
      <c r="H2084" t="s">
        <v>33</v>
      </c>
      <c r="I2084" t="s">
        <v>59</v>
      </c>
      <c r="O2084" s="5"/>
      <c r="P2084" s="5"/>
    </row>
    <row r="2085" spans="1:16" x14ac:dyDescent="0.35">
      <c r="A2085" s="4">
        <v>42574</v>
      </c>
      <c r="B2085" t="s">
        <v>30</v>
      </c>
      <c r="C2085">
        <v>303</v>
      </c>
      <c r="D2085">
        <v>5</v>
      </c>
      <c r="E2085">
        <v>1</v>
      </c>
      <c r="F2085" t="s">
        <v>31</v>
      </c>
      <c r="G2085" t="s">
        <v>32</v>
      </c>
      <c r="H2085" t="s">
        <v>33</v>
      </c>
      <c r="I2085" t="s">
        <v>59</v>
      </c>
      <c r="O2085" s="5"/>
      <c r="P2085" s="5"/>
    </row>
    <row r="2086" spans="1:16" x14ac:dyDescent="0.35">
      <c r="A2086" s="4">
        <v>42574</v>
      </c>
      <c r="B2086" t="s">
        <v>30</v>
      </c>
      <c r="C2086">
        <v>303</v>
      </c>
      <c r="D2086">
        <v>8</v>
      </c>
      <c r="E2086">
        <v>1</v>
      </c>
      <c r="F2086" t="s">
        <v>31</v>
      </c>
      <c r="G2086" t="s">
        <v>32</v>
      </c>
      <c r="H2086" t="s">
        <v>33</v>
      </c>
      <c r="I2086" t="s">
        <v>59</v>
      </c>
      <c r="O2086" s="5"/>
      <c r="P2086" s="5"/>
    </row>
    <row r="2087" spans="1:16" x14ac:dyDescent="0.35">
      <c r="A2087" s="4">
        <v>42574</v>
      </c>
      <c r="B2087" t="s">
        <v>30</v>
      </c>
      <c r="C2087">
        <v>303</v>
      </c>
      <c r="D2087">
        <v>9</v>
      </c>
      <c r="E2087">
        <v>1</v>
      </c>
      <c r="F2087" t="s">
        <v>31</v>
      </c>
      <c r="G2087" t="s">
        <v>32</v>
      </c>
      <c r="H2087" t="s">
        <v>33</v>
      </c>
      <c r="I2087" t="s">
        <v>59</v>
      </c>
      <c r="O2087" s="5"/>
      <c r="P2087" s="5"/>
    </row>
    <row r="2088" spans="1:16" x14ac:dyDescent="0.35">
      <c r="A2088" s="4">
        <v>42574</v>
      </c>
      <c r="B2088" t="s">
        <v>30</v>
      </c>
      <c r="C2088">
        <v>401</v>
      </c>
      <c r="D2088">
        <v>1</v>
      </c>
      <c r="E2088">
        <v>1</v>
      </c>
      <c r="F2088" t="s">
        <v>31</v>
      </c>
      <c r="G2088" t="s">
        <v>32</v>
      </c>
      <c r="H2088" t="s">
        <v>33</v>
      </c>
      <c r="I2088" t="s">
        <v>59</v>
      </c>
      <c r="O2088" s="5"/>
      <c r="P2088" s="5"/>
    </row>
    <row r="2089" spans="1:16" x14ac:dyDescent="0.35">
      <c r="A2089" s="4">
        <v>42574</v>
      </c>
      <c r="B2089" t="s">
        <v>30</v>
      </c>
      <c r="C2089">
        <v>401</v>
      </c>
      <c r="D2089">
        <v>1</v>
      </c>
      <c r="E2089">
        <v>2</v>
      </c>
      <c r="F2089" t="s">
        <v>31</v>
      </c>
      <c r="G2089" t="s">
        <v>32</v>
      </c>
      <c r="H2089" t="s">
        <v>33</v>
      </c>
      <c r="I2089" t="s">
        <v>59</v>
      </c>
      <c r="O2089" s="5"/>
      <c r="P2089" s="5"/>
    </row>
    <row r="2090" spans="1:16" x14ac:dyDescent="0.35">
      <c r="A2090" s="4">
        <v>42574</v>
      </c>
      <c r="B2090" t="s">
        <v>30</v>
      </c>
      <c r="C2090">
        <v>401</v>
      </c>
      <c r="D2090">
        <v>2</v>
      </c>
      <c r="E2090">
        <v>1</v>
      </c>
      <c r="F2090" t="s">
        <v>31</v>
      </c>
      <c r="G2090" t="s">
        <v>32</v>
      </c>
      <c r="H2090" t="s">
        <v>33</v>
      </c>
      <c r="I2090" t="s">
        <v>59</v>
      </c>
      <c r="O2090" s="5"/>
      <c r="P2090" s="5"/>
    </row>
    <row r="2091" spans="1:16" x14ac:dyDescent="0.35">
      <c r="A2091" s="4">
        <v>42574</v>
      </c>
      <c r="B2091" t="s">
        <v>30</v>
      </c>
      <c r="C2091">
        <v>401</v>
      </c>
      <c r="D2091">
        <v>3</v>
      </c>
      <c r="E2091">
        <v>1</v>
      </c>
      <c r="F2091" t="s">
        <v>31</v>
      </c>
      <c r="G2091" t="s">
        <v>32</v>
      </c>
      <c r="H2091" t="s">
        <v>33</v>
      </c>
      <c r="I2091" t="s">
        <v>59</v>
      </c>
      <c r="O2091" s="5"/>
      <c r="P2091" s="5"/>
    </row>
    <row r="2092" spans="1:16" x14ac:dyDescent="0.35">
      <c r="A2092" s="4">
        <v>42574</v>
      </c>
      <c r="B2092" t="s">
        <v>30</v>
      </c>
      <c r="C2092">
        <v>401</v>
      </c>
      <c r="D2092">
        <v>5</v>
      </c>
      <c r="E2092">
        <v>1</v>
      </c>
      <c r="F2092" t="s">
        <v>31</v>
      </c>
      <c r="G2092" t="s">
        <v>32</v>
      </c>
      <c r="H2092" t="s">
        <v>33</v>
      </c>
      <c r="I2092" t="s">
        <v>59</v>
      </c>
      <c r="O2092" s="5"/>
      <c r="P2092" s="5"/>
    </row>
    <row r="2093" spans="1:16" x14ac:dyDescent="0.35">
      <c r="A2093" s="4">
        <v>42574</v>
      </c>
      <c r="B2093" t="s">
        <v>30</v>
      </c>
      <c r="C2093">
        <v>401</v>
      </c>
      <c r="D2093">
        <v>8</v>
      </c>
      <c r="E2093">
        <v>1</v>
      </c>
      <c r="F2093" t="s">
        <v>31</v>
      </c>
      <c r="G2093" t="s">
        <v>32</v>
      </c>
      <c r="H2093" t="s">
        <v>33</v>
      </c>
      <c r="I2093" t="s">
        <v>59</v>
      </c>
      <c r="O2093" s="5"/>
      <c r="P2093" s="5"/>
    </row>
    <row r="2094" spans="1:16" x14ac:dyDescent="0.35">
      <c r="A2094" s="4">
        <v>42574</v>
      </c>
      <c r="B2094" t="s">
        <v>30</v>
      </c>
      <c r="C2094">
        <v>703</v>
      </c>
      <c r="D2094">
        <v>2</v>
      </c>
      <c r="E2094">
        <v>1</v>
      </c>
      <c r="F2094" t="s">
        <v>42</v>
      </c>
      <c r="G2094" t="s">
        <v>32</v>
      </c>
      <c r="H2094" t="s">
        <v>33</v>
      </c>
      <c r="I2094" t="s">
        <v>59</v>
      </c>
      <c r="O2094" s="5"/>
      <c r="P2094" s="5"/>
    </row>
    <row r="2095" spans="1:16" x14ac:dyDescent="0.35">
      <c r="A2095" s="4">
        <v>42574</v>
      </c>
      <c r="B2095" t="s">
        <v>30</v>
      </c>
      <c r="C2095">
        <v>703</v>
      </c>
      <c r="D2095">
        <v>2</v>
      </c>
      <c r="E2095">
        <v>2</v>
      </c>
      <c r="F2095" t="s">
        <v>42</v>
      </c>
      <c r="G2095" t="s">
        <v>32</v>
      </c>
      <c r="H2095" t="s">
        <v>33</v>
      </c>
      <c r="I2095" t="s">
        <v>59</v>
      </c>
      <c r="O2095" s="5"/>
      <c r="P2095" s="5"/>
    </row>
    <row r="2096" spans="1:16" x14ac:dyDescent="0.35">
      <c r="A2096" s="4">
        <v>42574</v>
      </c>
      <c r="B2096" t="s">
        <v>30</v>
      </c>
      <c r="C2096">
        <v>703</v>
      </c>
      <c r="D2096">
        <v>3</v>
      </c>
      <c r="E2096">
        <v>1</v>
      </c>
      <c r="F2096" t="s">
        <v>42</v>
      </c>
      <c r="G2096" t="s">
        <v>32</v>
      </c>
      <c r="H2096" t="s">
        <v>33</v>
      </c>
      <c r="I2096" t="s">
        <v>59</v>
      </c>
      <c r="O2096" s="5"/>
      <c r="P2096" s="5"/>
    </row>
    <row r="2097" spans="1:16" x14ac:dyDescent="0.35">
      <c r="A2097" s="4">
        <v>42574</v>
      </c>
      <c r="B2097" t="s">
        <v>30</v>
      </c>
      <c r="C2097">
        <v>703</v>
      </c>
      <c r="D2097">
        <v>3</v>
      </c>
      <c r="E2097">
        <v>2</v>
      </c>
      <c r="F2097" t="s">
        <v>42</v>
      </c>
      <c r="G2097" t="s">
        <v>32</v>
      </c>
      <c r="H2097" t="s">
        <v>33</v>
      </c>
      <c r="I2097" t="s">
        <v>59</v>
      </c>
      <c r="O2097" s="5"/>
      <c r="P2097" s="5"/>
    </row>
    <row r="2098" spans="1:16" x14ac:dyDescent="0.35">
      <c r="A2098" s="4">
        <v>42574</v>
      </c>
      <c r="B2098" t="s">
        <v>30</v>
      </c>
      <c r="C2098">
        <v>703</v>
      </c>
      <c r="D2098">
        <v>4</v>
      </c>
      <c r="E2098">
        <v>1</v>
      </c>
      <c r="F2098" t="s">
        <v>42</v>
      </c>
      <c r="G2098" t="s">
        <v>32</v>
      </c>
      <c r="H2098" t="s">
        <v>33</v>
      </c>
      <c r="I2098" t="s">
        <v>59</v>
      </c>
      <c r="O2098" s="5"/>
      <c r="P2098" s="5"/>
    </row>
    <row r="2099" spans="1:16" x14ac:dyDescent="0.35">
      <c r="A2099" s="4">
        <v>42574</v>
      </c>
      <c r="B2099" t="s">
        <v>30</v>
      </c>
      <c r="C2099">
        <v>703</v>
      </c>
      <c r="D2099">
        <v>5</v>
      </c>
      <c r="E2099">
        <v>1</v>
      </c>
      <c r="F2099" t="s">
        <v>42</v>
      </c>
      <c r="G2099" t="s">
        <v>32</v>
      </c>
      <c r="H2099" t="s">
        <v>33</v>
      </c>
      <c r="I2099" t="s">
        <v>59</v>
      </c>
      <c r="O2099" s="5"/>
      <c r="P2099" s="5"/>
    </row>
    <row r="2100" spans="1:16" x14ac:dyDescent="0.35">
      <c r="A2100" s="4">
        <v>42574</v>
      </c>
      <c r="B2100" t="s">
        <v>30</v>
      </c>
      <c r="C2100">
        <v>703</v>
      </c>
      <c r="D2100">
        <v>5</v>
      </c>
      <c r="E2100">
        <v>2</v>
      </c>
      <c r="F2100" t="s">
        <v>42</v>
      </c>
      <c r="G2100" t="s">
        <v>32</v>
      </c>
      <c r="H2100" t="s">
        <v>33</v>
      </c>
      <c r="I2100" t="s">
        <v>59</v>
      </c>
      <c r="O2100" s="5"/>
      <c r="P2100" s="5"/>
    </row>
    <row r="2101" spans="1:16" x14ac:dyDescent="0.35">
      <c r="A2101" s="4">
        <v>42574</v>
      </c>
      <c r="B2101" t="s">
        <v>30</v>
      </c>
      <c r="C2101">
        <v>703</v>
      </c>
      <c r="D2101">
        <v>7</v>
      </c>
      <c r="E2101">
        <v>1</v>
      </c>
      <c r="F2101" t="s">
        <v>42</v>
      </c>
      <c r="G2101" t="s">
        <v>32</v>
      </c>
      <c r="H2101" t="s">
        <v>33</v>
      </c>
      <c r="I2101" t="s">
        <v>59</v>
      </c>
      <c r="O2101" s="5"/>
      <c r="P2101" s="5"/>
    </row>
    <row r="2102" spans="1:16" x14ac:dyDescent="0.35">
      <c r="A2102" s="4">
        <v>42574</v>
      </c>
      <c r="B2102" t="s">
        <v>30</v>
      </c>
      <c r="C2102">
        <v>703</v>
      </c>
      <c r="D2102">
        <v>8</v>
      </c>
      <c r="E2102">
        <v>1</v>
      </c>
      <c r="F2102" t="s">
        <v>42</v>
      </c>
      <c r="G2102" t="s">
        <v>32</v>
      </c>
      <c r="H2102" t="s">
        <v>33</v>
      </c>
      <c r="I2102" t="s">
        <v>59</v>
      </c>
      <c r="O2102" s="5"/>
      <c r="P2102" s="5"/>
    </row>
    <row r="2103" spans="1:16" x14ac:dyDescent="0.35">
      <c r="A2103" s="4">
        <v>42574</v>
      </c>
      <c r="B2103" t="s">
        <v>30</v>
      </c>
      <c r="C2103">
        <v>703</v>
      </c>
      <c r="D2103">
        <v>9</v>
      </c>
      <c r="E2103">
        <v>1</v>
      </c>
      <c r="F2103" t="s">
        <v>42</v>
      </c>
      <c r="G2103" t="s">
        <v>32</v>
      </c>
      <c r="H2103" t="s">
        <v>33</v>
      </c>
      <c r="I2103" t="s">
        <v>59</v>
      </c>
      <c r="O2103" s="5"/>
      <c r="P2103" s="5"/>
    </row>
    <row r="2104" spans="1:16" x14ac:dyDescent="0.35">
      <c r="A2104" s="4">
        <v>42574</v>
      </c>
      <c r="B2104" t="s">
        <v>30</v>
      </c>
      <c r="C2104">
        <v>703</v>
      </c>
      <c r="D2104">
        <v>10</v>
      </c>
      <c r="E2104">
        <v>1</v>
      </c>
      <c r="F2104" t="s">
        <v>42</v>
      </c>
      <c r="G2104" t="s">
        <v>32</v>
      </c>
      <c r="H2104" t="s">
        <v>33</v>
      </c>
      <c r="I2104" t="s">
        <v>59</v>
      </c>
      <c r="O2104" s="5"/>
      <c r="P2104" s="5"/>
    </row>
    <row r="2105" spans="1:16" x14ac:dyDescent="0.35">
      <c r="A2105" s="4">
        <v>42574</v>
      </c>
      <c r="B2105" t="s">
        <v>30</v>
      </c>
      <c r="C2105">
        <v>703</v>
      </c>
      <c r="D2105">
        <v>10</v>
      </c>
      <c r="E2105">
        <v>2</v>
      </c>
      <c r="F2105" t="s">
        <v>42</v>
      </c>
      <c r="G2105" t="s">
        <v>32</v>
      </c>
      <c r="H2105" t="s">
        <v>33</v>
      </c>
      <c r="I2105" t="s">
        <v>59</v>
      </c>
      <c r="O2105" s="5"/>
      <c r="P2105" s="5"/>
    </row>
    <row r="2106" spans="1:16" x14ac:dyDescent="0.35">
      <c r="A2106" s="4">
        <v>42574</v>
      </c>
      <c r="B2106" t="s">
        <v>30</v>
      </c>
      <c r="C2106">
        <v>701</v>
      </c>
      <c r="D2106">
        <v>1</v>
      </c>
      <c r="E2106">
        <v>1</v>
      </c>
      <c r="F2106" t="s">
        <v>42</v>
      </c>
      <c r="G2106" t="s">
        <v>32</v>
      </c>
      <c r="H2106" t="s">
        <v>33</v>
      </c>
      <c r="I2106" t="s">
        <v>59</v>
      </c>
      <c r="O2106" s="5"/>
      <c r="P2106" s="5"/>
    </row>
    <row r="2107" spans="1:16" x14ac:dyDescent="0.35">
      <c r="A2107" s="4">
        <v>42574</v>
      </c>
      <c r="B2107" t="s">
        <v>30</v>
      </c>
      <c r="C2107">
        <v>701</v>
      </c>
      <c r="D2107">
        <v>2</v>
      </c>
      <c r="E2107">
        <v>1</v>
      </c>
      <c r="F2107" t="s">
        <v>42</v>
      </c>
      <c r="G2107" t="s">
        <v>32</v>
      </c>
      <c r="H2107" t="s">
        <v>33</v>
      </c>
      <c r="I2107" t="s">
        <v>59</v>
      </c>
      <c r="O2107" s="5"/>
      <c r="P2107" s="5"/>
    </row>
    <row r="2108" spans="1:16" x14ac:dyDescent="0.35">
      <c r="A2108" s="4">
        <v>42574</v>
      </c>
      <c r="B2108" t="s">
        <v>30</v>
      </c>
      <c r="C2108">
        <v>701</v>
      </c>
      <c r="D2108">
        <v>3</v>
      </c>
      <c r="E2108">
        <v>1</v>
      </c>
      <c r="F2108" t="s">
        <v>42</v>
      </c>
      <c r="G2108" t="s">
        <v>32</v>
      </c>
      <c r="H2108" t="s">
        <v>33</v>
      </c>
      <c r="I2108" t="s">
        <v>59</v>
      </c>
      <c r="O2108" s="5"/>
      <c r="P2108" s="5"/>
    </row>
    <row r="2109" spans="1:16" x14ac:dyDescent="0.35">
      <c r="A2109" s="4">
        <v>42574</v>
      </c>
      <c r="B2109" t="s">
        <v>30</v>
      </c>
      <c r="C2109">
        <v>701</v>
      </c>
      <c r="D2109">
        <v>4</v>
      </c>
      <c r="E2109">
        <v>1</v>
      </c>
      <c r="F2109" t="s">
        <v>42</v>
      </c>
      <c r="G2109" t="s">
        <v>32</v>
      </c>
      <c r="H2109" t="s">
        <v>33</v>
      </c>
      <c r="I2109" t="s">
        <v>59</v>
      </c>
      <c r="O2109" s="5"/>
      <c r="P2109" s="5"/>
    </row>
    <row r="2110" spans="1:16" x14ac:dyDescent="0.35">
      <c r="A2110" s="4">
        <v>42574</v>
      </c>
      <c r="B2110" t="s">
        <v>30</v>
      </c>
      <c r="C2110">
        <v>701</v>
      </c>
      <c r="D2110">
        <v>5</v>
      </c>
      <c r="E2110">
        <v>1</v>
      </c>
      <c r="F2110" t="s">
        <v>42</v>
      </c>
      <c r="G2110" t="s">
        <v>32</v>
      </c>
      <c r="H2110" t="s">
        <v>33</v>
      </c>
      <c r="I2110" t="s">
        <v>59</v>
      </c>
      <c r="O2110" s="5"/>
      <c r="P2110" s="5"/>
    </row>
    <row r="2111" spans="1:16" x14ac:dyDescent="0.35">
      <c r="A2111" s="4">
        <v>42574</v>
      </c>
      <c r="B2111" t="s">
        <v>30</v>
      </c>
      <c r="C2111">
        <v>701</v>
      </c>
      <c r="D2111">
        <v>6</v>
      </c>
      <c r="E2111">
        <v>2</v>
      </c>
      <c r="F2111" t="s">
        <v>42</v>
      </c>
      <c r="G2111" t="s">
        <v>32</v>
      </c>
      <c r="H2111" t="s">
        <v>33</v>
      </c>
      <c r="I2111" t="s">
        <v>59</v>
      </c>
      <c r="O2111" s="5"/>
      <c r="P2111" s="5"/>
    </row>
    <row r="2112" spans="1:16" x14ac:dyDescent="0.35">
      <c r="A2112" s="4">
        <v>42574</v>
      </c>
      <c r="B2112" t="s">
        <v>30</v>
      </c>
      <c r="C2112">
        <v>701</v>
      </c>
      <c r="D2112">
        <v>7</v>
      </c>
      <c r="E2112">
        <v>1</v>
      </c>
      <c r="F2112" t="s">
        <v>42</v>
      </c>
      <c r="G2112" t="s">
        <v>32</v>
      </c>
      <c r="H2112" t="s">
        <v>33</v>
      </c>
      <c r="I2112" t="s">
        <v>59</v>
      </c>
      <c r="O2112" s="5"/>
      <c r="P2112" s="5"/>
    </row>
    <row r="2113" spans="1:16" x14ac:dyDescent="0.35">
      <c r="A2113" s="4">
        <v>42574</v>
      </c>
      <c r="B2113" t="s">
        <v>30</v>
      </c>
      <c r="C2113">
        <v>701</v>
      </c>
      <c r="D2113">
        <v>8</v>
      </c>
      <c r="E2113">
        <v>1</v>
      </c>
      <c r="F2113" t="s">
        <v>42</v>
      </c>
      <c r="G2113" t="s">
        <v>32</v>
      </c>
      <c r="H2113" t="s">
        <v>33</v>
      </c>
      <c r="I2113" t="s">
        <v>59</v>
      </c>
      <c r="O2113" s="5"/>
      <c r="P2113" s="5"/>
    </row>
    <row r="2114" spans="1:16" x14ac:dyDescent="0.35">
      <c r="A2114" s="4">
        <v>42574</v>
      </c>
      <c r="B2114" t="s">
        <v>30</v>
      </c>
      <c r="C2114">
        <v>701</v>
      </c>
      <c r="D2114">
        <v>8</v>
      </c>
      <c r="E2114">
        <v>2</v>
      </c>
      <c r="F2114" t="s">
        <v>42</v>
      </c>
      <c r="G2114" t="s">
        <v>32</v>
      </c>
      <c r="H2114" t="s">
        <v>33</v>
      </c>
      <c r="I2114" t="s">
        <v>59</v>
      </c>
      <c r="O2114" s="5"/>
      <c r="P2114" s="5"/>
    </row>
    <row r="2115" spans="1:16" x14ac:dyDescent="0.35">
      <c r="A2115" s="4">
        <v>42574</v>
      </c>
      <c r="B2115" t="s">
        <v>30</v>
      </c>
      <c r="C2115">
        <v>701</v>
      </c>
      <c r="D2115">
        <v>9</v>
      </c>
      <c r="E2115">
        <v>1</v>
      </c>
      <c r="F2115" t="s">
        <v>42</v>
      </c>
      <c r="G2115" t="s">
        <v>32</v>
      </c>
      <c r="H2115" t="s">
        <v>33</v>
      </c>
      <c r="I2115" t="s">
        <v>59</v>
      </c>
      <c r="O2115" s="5"/>
      <c r="P2115" s="5"/>
    </row>
    <row r="2116" spans="1:16" x14ac:dyDescent="0.35">
      <c r="A2116" s="4">
        <v>42574</v>
      </c>
      <c r="B2116" t="s">
        <v>30</v>
      </c>
      <c r="C2116">
        <v>701</v>
      </c>
      <c r="D2116">
        <v>10</v>
      </c>
      <c r="E2116">
        <v>1</v>
      </c>
      <c r="F2116" t="s">
        <v>42</v>
      </c>
      <c r="G2116" t="s">
        <v>32</v>
      </c>
      <c r="H2116" t="s">
        <v>33</v>
      </c>
      <c r="I2116" t="s">
        <v>59</v>
      </c>
      <c r="O2116" s="5"/>
      <c r="P2116" s="5"/>
    </row>
    <row r="2117" spans="1:16" x14ac:dyDescent="0.35">
      <c r="A2117" s="4">
        <v>42574</v>
      </c>
      <c r="B2117" t="s">
        <v>30</v>
      </c>
      <c r="C2117">
        <v>801</v>
      </c>
      <c r="D2117">
        <v>1</v>
      </c>
      <c r="E2117">
        <v>1</v>
      </c>
      <c r="F2117" t="s">
        <v>42</v>
      </c>
      <c r="G2117" t="s">
        <v>32</v>
      </c>
      <c r="H2117" t="s">
        <v>33</v>
      </c>
      <c r="I2117" t="s">
        <v>59</v>
      </c>
      <c r="O2117" s="5"/>
      <c r="P2117" s="5"/>
    </row>
    <row r="2118" spans="1:16" x14ac:dyDescent="0.35">
      <c r="A2118" s="4">
        <v>42574</v>
      </c>
      <c r="B2118" t="s">
        <v>30</v>
      </c>
      <c r="C2118">
        <v>801</v>
      </c>
      <c r="D2118">
        <v>3</v>
      </c>
      <c r="E2118">
        <v>1</v>
      </c>
      <c r="F2118" t="s">
        <v>42</v>
      </c>
      <c r="G2118" t="s">
        <v>32</v>
      </c>
      <c r="H2118" t="s">
        <v>33</v>
      </c>
      <c r="I2118" t="s">
        <v>59</v>
      </c>
      <c r="O2118" s="5"/>
      <c r="P2118" s="5"/>
    </row>
    <row r="2119" spans="1:16" x14ac:dyDescent="0.35">
      <c r="A2119" s="4">
        <v>42574</v>
      </c>
      <c r="B2119" t="s">
        <v>30</v>
      </c>
      <c r="C2119">
        <v>801</v>
      </c>
      <c r="D2119">
        <v>6</v>
      </c>
      <c r="E2119">
        <v>1</v>
      </c>
      <c r="F2119" t="s">
        <v>42</v>
      </c>
      <c r="G2119" t="s">
        <v>32</v>
      </c>
      <c r="H2119" t="s">
        <v>33</v>
      </c>
      <c r="I2119" t="s">
        <v>59</v>
      </c>
      <c r="O2119" s="5"/>
      <c r="P2119" s="5"/>
    </row>
    <row r="2120" spans="1:16" x14ac:dyDescent="0.35">
      <c r="A2120" s="4">
        <v>42574</v>
      </c>
      <c r="B2120" t="s">
        <v>30</v>
      </c>
      <c r="C2120">
        <v>801</v>
      </c>
      <c r="D2120">
        <v>8</v>
      </c>
      <c r="E2120">
        <v>1</v>
      </c>
      <c r="F2120" t="s">
        <v>42</v>
      </c>
      <c r="G2120" t="s">
        <v>32</v>
      </c>
      <c r="H2120" t="s">
        <v>33</v>
      </c>
      <c r="I2120" t="s">
        <v>59</v>
      </c>
      <c r="O2120" s="5"/>
      <c r="P2120" s="5"/>
    </row>
    <row r="2121" spans="1:16" x14ac:dyDescent="0.35">
      <c r="A2121" s="4">
        <v>42574</v>
      </c>
      <c r="B2121" t="s">
        <v>30</v>
      </c>
      <c r="C2121">
        <v>801</v>
      </c>
      <c r="D2121">
        <v>9</v>
      </c>
      <c r="E2121">
        <v>1</v>
      </c>
      <c r="F2121" t="s">
        <v>42</v>
      </c>
      <c r="G2121" t="s">
        <v>32</v>
      </c>
      <c r="H2121" t="s">
        <v>33</v>
      </c>
      <c r="I2121" t="s">
        <v>59</v>
      </c>
      <c r="O2121" s="5"/>
      <c r="P2121" s="5"/>
    </row>
    <row r="2122" spans="1:16" x14ac:dyDescent="0.35">
      <c r="A2122" s="4">
        <v>42574</v>
      </c>
      <c r="B2122" t="s">
        <v>30</v>
      </c>
      <c r="C2122">
        <v>801</v>
      </c>
      <c r="D2122">
        <v>9</v>
      </c>
      <c r="E2122">
        <v>2</v>
      </c>
      <c r="F2122" t="s">
        <v>42</v>
      </c>
      <c r="G2122" t="s">
        <v>32</v>
      </c>
      <c r="H2122" t="s">
        <v>33</v>
      </c>
      <c r="I2122" t="s">
        <v>59</v>
      </c>
      <c r="O2122" s="5"/>
      <c r="P2122" s="5"/>
    </row>
    <row r="2123" spans="1:16" x14ac:dyDescent="0.35">
      <c r="A2123" s="4">
        <v>42574</v>
      </c>
      <c r="B2123" t="s">
        <v>30</v>
      </c>
      <c r="C2123">
        <v>801</v>
      </c>
      <c r="D2123">
        <v>10</v>
      </c>
      <c r="E2123">
        <v>1</v>
      </c>
      <c r="F2123" t="s">
        <v>42</v>
      </c>
      <c r="G2123" t="s">
        <v>32</v>
      </c>
      <c r="H2123" t="s">
        <v>33</v>
      </c>
      <c r="I2123" t="s">
        <v>59</v>
      </c>
      <c r="O2123" s="5"/>
      <c r="P2123" s="5"/>
    </row>
    <row r="2124" spans="1:16" x14ac:dyDescent="0.35">
      <c r="A2124" s="4">
        <v>42574</v>
      </c>
      <c r="B2124" t="s">
        <v>30</v>
      </c>
      <c r="C2124">
        <v>801</v>
      </c>
      <c r="D2124">
        <v>10</v>
      </c>
      <c r="E2124">
        <v>2</v>
      </c>
      <c r="F2124" t="s">
        <v>42</v>
      </c>
      <c r="G2124" t="s">
        <v>32</v>
      </c>
      <c r="H2124" t="s">
        <v>33</v>
      </c>
      <c r="I2124" t="s">
        <v>59</v>
      </c>
      <c r="O2124" s="5"/>
      <c r="P2124" s="5"/>
    </row>
    <row r="2125" spans="1:16" x14ac:dyDescent="0.35">
      <c r="A2125" s="4">
        <v>42574</v>
      </c>
      <c r="B2125" t="s">
        <v>30</v>
      </c>
      <c r="C2125">
        <v>803</v>
      </c>
      <c r="D2125">
        <v>10</v>
      </c>
      <c r="E2125">
        <v>1</v>
      </c>
      <c r="F2125" t="s">
        <v>42</v>
      </c>
      <c r="G2125" t="s">
        <v>32</v>
      </c>
      <c r="H2125" t="s">
        <v>33</v>
      </c>
      <c r="I2125" t="s">
        <v>59</v>
      </c>
      <c r="O2125" s="5"/>
      <c r="P2125" s="5"/>
    </row>
    <row r="2126" spans="1:16" x14ac:dyDescent="0.35">
      <c r="A2126" s="4">
        <v>42574</v>
      </c>
      <c r="B2126" t="s">
        <v>30</v>
      </c>
      <c r="C2126">
        <v>803</v>
      </c>
      <c r="D2126">
        <v>9</v>
      </c>
      <c r="E2126">
        <v>1</v>
      </c>
      <c r="F2126" t="s">
        <v>42</v>
      </c>
      <c r="G2126" t="s">
        <v>32</v>
      </c>
      <c r="H2126" t="s">
        <v>33</v>
      </c>
      <c r="I2126" t="s">
        <v>59</v>
      </c>
      <c r="O2126" s="5"/>
      <c r="P2126" s="5"/>
    </row>
    <row r="2127" spans="1:16" x14ac:dyDescent="0.35">
      <c r="A2127" s="4">
        <v>42574</v>
      </c>
      <c r="B2127" t="s">
        <v>30</v>
      </c>
      <c r="C2127">
        <v>803</v>
      </c>
      <c r="D2127">
        <v>9</v>
      </c>
      <c r="E2127">
        <v>2</v>
      </c>
      <c r="F2127" t="s">
        <v>42</v>
      </c>
      <c r="G2127" t="s">
        <v>32</v>
      </c>
      <c r="H2127" t="s">
        <v>33</v>
      </c>
      <c r="I2127" t="s">
        <v>59</v>
      </c>
      <c r="O2127" s="5"/>
      <c r="P2127" s="5"/>
    </row>
    <row r="2128" spans="1:16" x14ac:dyDescent="0.35">
      <c r="A2128" s="4">
        <v>42574</v>
      </c>
      <c r="B2128" t="s">
        <v>30</v>
      </c>
      <c r="C2128">
        <v>803</v>
      </c>
      <c r="D2128">
        <v>8</v>
      </c>
      <c r="E2128">
        <v>1</v>
      </c>
      <c r="F2128" t="s">
        <v>42</v>
      </c>
      <c r="G2128" t="s">
        <v>32</v>
      </c>
      <c r="H2128" t="s">
        <v>33</v>
      </c>
      <c r="I2128" t="s">
        <v>59</v>
      </c>
      <c r="O2128" s="5"/>
      <c r="P2128" s="5"/>
    </row>
    <row r="2129" spans="1:29" x14ac:dyDescent="0.35">
      <c r="A2129" s="4">
        <v>42574</v>
      </c>
      <c r="B2129" t="s">
        <v>30</v>
      </c>
      <c r="C2129">
        <v>801</v>
      </c>
      <c r="D2129">
        <v>4</v>
      </c>
      <c r="E2129">
        <v>1</v>
      </c>
      <c r="F2129" t="s">
        <v>42</v>
      </c>
      <c r="G2129" t="s">
        <v>32</v>
      </c>
      <c r="H2129" t="s">
        <v>33</v>
      </c>
      <c r="I2129" t="s">
        <v>59</v>
      </c>
      <c r="O2129" s="5"/>
      <c r="P2129" s="5"/>
    </row>
    <row r="2130" spans="1:29" x14ac:dyDescent="0.35">
      <c r="A2130" s="4">
        <v>42574</v>
      </c>
      <c r="B2130" t="s">
        <v>30</v>
      </c>
      <c r="C2130">
        <v>801</v>
      </c>
      <c r="D2130">
        <v>4</v>
      </c>
      <c r="E2130">
        <v>2</v>
      </c>
      <c r="F2130" t="s">
        <v>42</v>
      </c>
      <c r="G2130" t="s">
        <v>32</v>
      </c>
      <c r="H2130" t="s">
        <v>33</v>
      </c>
      <c r="I2130" t="s">
        <v>59</v>
      </c>
      <c r="O2130" s="5"/>
      <c r="P2130" s="5"/>
    </row>
    <row r="2131" spans="1:29" x14ac:dyDescent="0.35">
      <c r="A2131" s="4">
        <v>42574</v>
      </c>
      <c r="B2131" t="s">
        <v>30</v>
      </c>
      <c r="C2131">
        <v>801</v>
      </c>
      <c r="D2131">
        <v>3</v>
      </c>
      <c r="E2131">
        <v>1</v>
      </c>
      <c r="F2131" t="s">
        <v>42</v>
      </c>
      <c r="G2131" t="s">
        <v>32</v>
      </c>
      <c r="H2131" t="s">
        <v>33</v>
      </c>
      <c r="I2131" t="s">
        <v>59</v>
      </c>
      <c r="O2131" s="5"/>
      <c r="P2131" s="5"/>
    </row>
    <row r="2132" spans="1:29" x14ac:dyDescent="0.35">
      <c r="A2132" s="4">
        <v>42574</v>
      </c>
      <c r="B2132" t="s">
        <v>30</v>
      </c>
      <c r="C2132">
        <v>801</v>
      </c>
      <c r="D2132">
        <v>3</v>
      </c>
      <c r="E2132">
        <v>2</v>
      </c>
      <c r="F2132" t="s">
        <v>42</v>
      </c>
      <c r="G2132" t="s">
        <v>32</v>
      </c>
      <c r="H2132" t="s">
        <v>33</v>
      </c>
      <c r="I2132" t="s">
        <v>59</v>
      </c>
      <c r="O2132" s="5"/>
      <c r="P2132" s="5"/>
    </row>
    <row r="2133" spans="1:29" x14ac:dyDescent="0.35">
      <c r="A2133" s="4">
        <v>42574</v>
      </c>
      <c r="B2133" t="s">
        <v>30</v>
      </c>
      <c r="C2133">
        <v>801</v>
      </c>
      <c r="D2133">
        <v>2</v>
      </c>
      <c r="E2133">
        <v>1</v>
      </c>
      <c r="F2133" t="s">
        <v>42</v>
      </c>
      <c r="G2133" t="s">
        <v>32</v>
      </c>
      <c r="H2133" t="s">
        <v>33</v>
      </c>
      <c r="I2133" t="s">
        <v>59</v>
      </c>
      <c r="O2133" s="5"/>
      <c r="P2133" s="5"/>
    </row>
    <row r="2134" spans="1:29" x14ac:dyDescent="0.35">
      <c r="A2134" s="4">
        <v>42574</v>
      </c>
      <c r="B2134" t="s">
        <v>30</v>
      </c>
      <c r="C2134">
        <v>801</v>
      </c>
      <c r="D2134">
        <v>2</v>
      </c>
      <c r="E2134">
        <v>2</v>
      </c>
      <c r="F2134" t="s">
        <v>42</v>
      </c>
      <c r="G2134" t="s">
        <v>32</v>
      </c>
      <c r="H2134" t="s">
        <v>33</v>
      </c>
      <c r="I2134" t="s">
        <v>59</v>
      </c>
      <c r="O2134" s="5"/>
      <c r="P2134" s="5"/>
    </row>
    <row r="2135" spans="1:29" x14ac:dyDescent="0.35">
      <c r="A2135" s="4">
        <v>42574</v>
      </c>
      <c r="B2135" t="s">
        <v>30</v>
      </c>
      <c r="C2135">
        <v>901</v>
      </c>
      <c r="D2135">
        <v>1</v>
      </c>
      <c r="E2135">
        <v>1</v>
      </c>
      <c r="F2135" t="s">
        <v>42</v>
      </c>
      <c r="G2135" t="s">
        <v>32</v>
      </c>
      <c r="H2135" t="s">
        <v>33</v>
      </c>
      <c r="I2135" t="s">
        <v>59</v>
      </c>
      <c r="O2135" s="5"/>
      <c r="P2135" s="5"/>
    </row>
    <row r="2136" spans="1:29" x14ac:dyDescent="0.35">
      <c r="A2136" s="4">
        <v>42574</v>
      </c>
      <c r="B2136" t="s">
        <v>30</v>
      </c>
      <c r="C2136">
        <v>901</v>
      </c>
      <c r="D2136">
        <v>1</v>
      </c>
      <c r="E2136">
        <v>2</v>
      </c>
      <c r="F2136" t="s">
        <v>42</v>
      </c>
      <c r="G2136" t="s">
        <v>32</v>
      </c>
      <c r="H2136" t="s">
        <v>33</v>
      </c>
      <c r="I2136" t="s">
        <v>59</v>
      </c>
      <c r="O2136" s="5"/>
      <c r="P2136" s="5"/>
    </row>
    <row r="2137" spans="1:29" x14ac:dyDescent="0.35">
      <c r="A2137" s="4">
        <v>42574</v>
      </c>
      <c r="B2137" t="s">
        <v>30</v>
      </c>
      <c r="C2137">
        <v>901</v>
      </c>
      <c r="D2137">
        <v>2</v>
      </c>
      <c r="E2137">
        <v>1</v>
      </c>
      <c r="F2137" t="s">
        <v>42</v>
      </c>
      <c r="G2137" t="s">
        <v>32</v>
      </c>
      <c r="H2137" t="s">
        <v>33</v>
      </c>
      <c r="I2137" t="s">
        <v>59</v>
      </c>
      <c r="O2137" s="5"/>
      <c r="P2137" s="5"/>
    </row>
    <row r="2138" spans="1:29" x14ac:dyDescent="0.35">
      <c r="A2138" s="4">
        <v>42574</v>
      </c>
      <c r="B2138" t="s">
        <v>30</v>
      </c>
      <c r="C2138">
        <v>901</v>
      </c>
      <c r="D2138">
        <v>3</v>
      </c>
      <c r="E2138">
        <v>1</v>
      </c>
      <c r="F2138" t="s">
        <v>42</v>
      </c>
      <c r="G2138" t="s">
        <v>32</v>
      </c>
      <c r="H2138" t="s">
        <v>33</v>
      </c>
      <c r="I2138" t="s">
        <v>59</v>
      </c>
      <c r="O2138" s="5"/>
      <c r="P2138" s="5"/>
    </row>
    <row r="2139" spans="1:29" x14ac:dyDescent="0.35">
      <c r="A2139" s="4">
        <v>42574</v>
      </c>
      <c r="B2139" t="s">
        <v>30</v>
      </c>
      <c r="C2139">
        <v>701</v>
      </c>
      <c r="D2139">
        <v>10</v>
      </c>
      <c r="E2139">
        <v>2</v>
      </c>
      <c r="F2139" t="s">
        <v>42</v>
      </c>
      <c r="G2139" t="s">
        <v>32</v>
      </c>
      <c r="H2139" t="s">
        <v>33</v>
      </c>
      <c r="I2139" t="s">
        <v>94</v>
      </c>
      <c r="J2139" t="s">
        <v>35</v>
      </c>
      <c r="K2139" t="s">
        <v>36</v>
      </c>
      <c r="L2139" t="s">
        <v>45</v>
      </c>
      <c r="M2139">
        <v>0</v>
      </c>
      <c r="N2139">
        <v>1</v>
      </c>
      <c r="O2139" s="5">
        <v>50858</v>
      </c>
      <c r="P2139" s="5"/>
      <c r="Q2139">
        <v>23</v>
      </c>
      <c r="R2139" t="s">
        <v>46</v>
      </c>
      <c r="S2139" t="s">
        <v>39</v>
      </c>
      <c r="T2139">
        <v>29</v>
      </c>
      <c r="W2139">
        <v>13.1</v>
      </c>
      <c r="X2139">
        <v>25.9</v>
      </c>
      <c r="Z2139" t="s">
        <v>102</v>
      </c>
      <c r="AA2139" t="s">
        <v>272</v>
      </c>
      <c r="AB2139" t="s">
        <v>230</v>
      </c>
      <c r="AC2139" t="s">
        <v>41</v>
      </c>
    </row>
    <row r="2140" spans="1:29" x14ac:dyDescent="0.35">
      <c r="A2140" s="4">
        <v>42574</v>
      </c>
      <c r="B2140" t="s">
        <v>30</v>
      </c>
      <c r="C2140">
        <v>303</v>
      </c>
      <c r="D2140">
        <v>10</v>
      </c>
      <c r="E2140">
        <v>2</v>
      </c>
      <c r="F2140" t="s">
        <v>31</v>
      </c>
      <c r="G2140" t="s">
        <v>32</v>
      </c>
      <c r="H2140" t="s">
        <v>33</v>
      </c>
      <c r="I2140" t="s">
        <v>94</v>
      </c>
      <c r="J2140" t="s">
        <v>44</v>
      </c>
      <c r="K2140" t="s">
        <v>36</v>
      </c>
      <c r="L2140" t="s">
        <v>45</v>
      </c>
      <c r="M2140">
        <v>0</v>
      </c>
      <c r="N2140">
        <v>0</v>
      </c>
      <c r="O2140" s="5" t="s">
        <v>135</v>
      </c>
      <c r="P2140" s="5"/>
      <c r="Q2140">
        <f>30-10.5</f>
        <v>19.5</v>
      </c>
      <c r="R2140" t="s">
        <v>145</v>
      </c>
      <c r="S2140" t="s">
        <v>102</v>
      </c>
      <c r="T2140">
        <v>28</v>
      </c>
      <c r="W2140">
        <v>12.9</v>
      </c>
      <c r="X2140">
        <v>25.5</v>
      </c>
      <c r="Z2140" t="s">
        <v>102</v>
      </c>
      <c r="AA2140" t="s">
        <v>201</v>
      </c>
      <c r="AB2140" t="s">
        <v>87</v>
      </c>
      <c r="AC2140" t="s">
        <v>86</v>
      </c>
    </row>
    <row r="2141" spans="1:29" x14ac:dyDescent="0.35">
      <c r="A2141" s="4">
        <v>42574</v>
      </c>
      <c r="B2141" t="s">
        <v>30</v>
      </c>
      <c r="C2141">
        <v>401</v>
      </c>
      <c r="D2141">
        <v>8</v>
      </c>
      <c r="E2141">
        <v>2</v>
      </c>
      <c r="F2141" t="s">
        <v>31</v>
      </c>
      <c r="G2141" t="s">
        <v>32</v>
      </c>
      <c r="H2141" t="s">
        <v>33</v>
      </c>
      <c r="I2141" t="s">
        <v>94</v>
      </c>
      <c r="J2141" t="s">
        <v>122</v>
      </c>
      <c r="O2141" s="5"/>
      <c r="P2141" s="5"/>
    </row>
    <row r="2142" spans="1:29" x14ac:dyDescent="0.35">
      <c r="A2142" s="4">
        <v>42574</v>
      </c>
      <c r="B2142" t="s">
        <v>30</v>
      </c>
      <c r="C2142">
        <v>801</v>
      </c>
      <c r="D2142">
        <v>5</v>
      </c>
      <c r="E2142">
        <v>1</v>
      </c>
      <c r="F2142" t="s">
        <v>42</v>
      </c>
      <c r="G2142" t="s">
        <v>32</v>
      </c>
      <c r="H2142" t="s">
        <v>33</v>
      </c>
      <c r="I2142" t="s">
        <v>94</v>
      </c>
      <c r="J2142" t="s">
        <v>122</v>
      </c>
      <c r="O2142" s="5"/>
      <c r="P2142" s="5"/>
    </row>
    <row r="2143" spans="1:29" x14ac:dyDescent="0.35">
      <c r="A2143" s="4">
        <v>42575</v>
      </c>
      <c r="B2143" t="s">
        <v>30</v>
      </c>
      <c r="C2143">
        <v>501</v>
      </c>
      <c r="D2143">
        <v>1</v>
      </c>
      <c r="E2143">
        <v>1</v>
      </c>
      <c r="F2143" t="s">
        <v>31</v>
      </c>
      <c r="G2143" t="s">
        <v>32</v>
      </c>
      <c r="H2143" t="s">
        <v>33</v>
      </c>
      <c r="I2143" t="s">
        <v>43</v>
      </c>
      <c r="J2143" t="s">
        <v>35</v>
      </c>
      <c r="K2143" t="s">
        <v>113</v>
      </c>
      <c r="L2143" t="s">
        <v>37</v>
      </c>
      <c r="M2143">
        <v>0</v>
      </c>
      <c r="N2143">
        <v>1</v>
      </c>
      <c r="O2143" s="5">
        <v>50346</v>
      </c>
      <c r="P2143" s="5">
        <v>50345</v>
      </c>
      <c r="Q2143">
        <f>31-12</f>
        <v>19</v>
      </c>
      <c r="R2143" t="s">
        <v>38</v>
      </c>
      <c r="T2143">
        <v>18</v>
      </c>
      <c r="U2143">
        <v>84</v>
      </c>
      <c r="V2143">
        <v>14</v>
      </c>
      <c r="W2143">
        <v>13</v>
      </c>
      <c r="X2143">
        <v>26.9</v>
      </c>
      <c r="Z2143" t="s">
        <v>39</v>
      </c>
      <c r="AB2143" t="s">
        <v>273</v>
      </c>
      <c r="AC2143" t="s">
        <v>41</v>
      </c>
    </row>
    <row r="2144" spans="1:29" x14ac:dyDescent="0.35">
      <c r="A2144" s="4">
        <v>42575</v>
      </c>
      <c r="B2144" t="s">
        <v>30</v>
      </c>
      <c r="C2144">
        <v>701</v>
      </c>
      <c r="D2144">
        <v>3</v>
      </c>
      <c r="E2144">
        <v>2</v>
      </c>
      <c r="F2144" t="s">
        <v>42</v>
      </c>
      <c r="G2144" t="s">
        <v>32</v>
      </c>
      <c r="H2144" t="s">
        <v>33</v>
      </c>
      <c r="I2144" t="s">
        <v>43</v>
      </c>
      <c r="J2144" t="s">
        <v>44</v>
      </c>
      <c r="K2144" t="s">
        <v>36</v>
      </c>
      <c r="L2144" t="s">
        <v>37</v>
      </c>
      <c r="M2144">
        <v>0</v>
      </c>
      <c r="N2144">
        <v>0</v>
      </c>
      <c r="O2144" s="5">
        <v>50370</v>
      </c>
      <c r="P2144" s="5">
        <v>50369</v>
      </c>
      <c r="Q2144">
        <v>20</v>
      </c>
      <c r="R2144" t="s">
        <v>64</v>
      </c>
      <c r="T2144">
        <v>18</v>
      </c>
      <c r="U2144">
        <v>76</v>
      </c>
      <c r="V2144">
        <v>19</v>
      </c>
      <c r="W2144">
        <v>12.6</v>
      </c>
      <c r="X2144">
        <v>25.8</v>
      </c>
      <c r="Z2144" t="s">
        <v>102</v>
      </c>
      <c r="AB2144" t="s">
        <v>230</v>
      </c>
      <c r="AC2144" t="s">
        <v>41</v>
      </c>
    </row>
    <row r="2145" spans="1:30" x14ac:dyDescent="0.35">
      <c r="A2145" s="4">
        <v>42575</v>
      </c>
      <c r="B2145" t="s">
        <v>30</v>
      </c>
      <c r="C2145">
        <v>901</v>
      </c>
      <c r="D2145">
        <v>1</v>
      </c>
      <c r="E2145">
        <v>2</v>
      </c>
      <c r="F2145" t="s">
        <v>42</v>
      </c>
      <c r="G2145" t="s">
        <v>32</v>
      </c>
      <c r="H2145" t="s">
        <v>33</v>
      </c>
      <c r="I2145" t="s">
        <v>43</v>
      </c>
      <c r="J2145" t="s">
        <v>44</v>
      </c>
      <c r="K2145" t="s">
        <v>36</v>
      </c>
      <c r="L2145" t="s">
        <v>45</v>
      </c>
      <c r="M2145">
        <v>0</v>
      </c>
      <c r="N2145">
        <v>0</v>
      </c>
      <c r="O2145" s="5">
        <v>50382</v>
      </c>
      <c r="P2145" s="5">
        <v>50291</v>
      </c>
      <c r="Q2145">
        <f>34-15.5</f>
        <v>18.5</v>
      </c>
      <c r="R2145" t="s">
        <v>46</v>
      </c>
      <c r="S2145" t="s">
        <v>39</v>
      </c>
      <c r="T2145">
        <v>18</v>
      </c>
      <c r="U2145">
        <v>92.5</v>
      </c>
      <c r="V2145">
        <v>14.5</v>
      </c>
      <c r="W2145">
        <v>12.9</v>
      </c>
      <c r="X2145">
        <v>28</v>
      </c>
      <c r="Z2145" t="s">
        <v>39</v>
      </c>
      <c r="AB2145" t="s">
        <v>230</v>
      </c>
      <c r="AC2145" t="s">
        <v>41</v>
      </c>
    </row>
    <row r="2146" spans="1:30" x14ac:dyDescent="0.35">
      <c r="A2146" s="4">
        <v>42575</v>
      </c>
      <c r="B2146" t="s">
        <v>30</v>
      </c>
      <c r="C2146">
        <v>703</v>
      </c>
      <c r="D2146">
        <v>1</v>
      </c>
      <c r="E2146">
        <v>2</v>
      </c>
      <c r="F2146" t="s">
        <v>42</v>
      </c>
      <c r="G2146" t="s">
        <v>32</v>
      </c>
      <c r="H2146" t="s">
        <v>33</v>
      </c>
      <c r="I2146" t="s">
        <v>43</v>
      </c>
      <c r="J2146" t="s">
        <v>44</v>
      </c>
      <c r="K2146" t="s">
        <v>36</v>
      </c>
      <c r="L2146" t="s">
        <v>37</v>
      </c>
      <c r="M2146">
        <v>0</v>
      </c>
      <c r="N2146">
        <v>0</v>
      </c>
      <c r="O2146" s="5">
        <v>50384</v>
      </c>
      <c r="P2146" s="5">
        <v>50383</v>
      </c>
      <c r="Q2146">
        <f>31.5-13.5</f>
        <v>18</v>
      </c>
      <c r="R2146" t="s">
        <v>64</v>
      </c>
      <c r="T2146">
        <v>18</v>
      </c>
      <c r="U2146">
        <v>83</v>
      </c>
      <c r="V2146">
        <v>17.5</v>
      </c>
      <c r="W2146">
        <v>12.9</v>
      </c>
      <c r="X2146">
        <v>25</v>
      </c>
      <c r="Z2146" t="s">
        <v>39</v>
      </c>
      <c r="AB2146" t="s">
        <v>230</v>
      </c>
      <c r="AC2146" t="s">
        <v>41</v>
      </c>
    </row>
    <row r="2147" spans="1:30" x14ac:dyDescent="0.35">
      <c r="A2147" s="4">
        <v>42575</v>
      </c>
      <c r="B2147" t="s">
        <v>30</v>
      </c>
      <c r="C2147">
        <v>701</v>
      </c>
      <c r="D2147">
        <v>2</v>
      </c>
      <c r="E2147">
        <v>2</v>
      </c>
      <c r="F2147" t="s">
        <v>42</v>
      </c>
      <c r="G2147" t="s">
        <v>32</v>
      </c>
      <c r="H2147" t="s">
        <v>33</v>
      </c>
      <c r="I2147" t="s">
        <v>43</v>
      </c>
      <c r="J2147" t="s">
        <v>44</v>
      </c>
      <c r="K2147" t="s">
        <v>36</v>
      </c>
      <c r="L2147" t="s">
        <v>45</v>
      </c>
      <c r="M2147">
        <v>0</v>
      </c>
      <c r="N2147">
        <v>0</v>
      </c>
      <c r="O2147" s="5">
        <v>50459</v>
      </c>
      <c r="P2147" s="5">
        <v>50458</v>
      </c>
      <c r="Q2147">
        <f>36-14</f>
        <v>22</v>
      </c>
      <c r="R2147" t="s">
        <v>46</v>
      </c>
      <c r="S2147" t="s">
        <v>39</v>
      </c>
      <c r="T2147">
        <v>18</v>
      </c>
      <c r="U2147">
        <v>80</v>
      </c>
      <c r="V2147">
        <v>18</v>
      </c>
      <c r="W2147">
        <v>12.5</v>
      </c>
      <c r="X2147">
        <v>25.9</v>
      </c>
      <c r="Z2147" t="s">
        <v>102</v>
      </c>
      <c r="AB2147" t="s">
        <v>230</v>
      </c>
      <c r="AC2147" t="s">
        <v>41</v>
      </c>
    </row>
    <row r="2148" spans="1:30" x14ac:dyDescent="0.35">
      <c r="A2148" s="4">
        <v>42575</v>
      </c>
      <c r="B2148" t="s">
        <v>30</v>
      </c>
      <c r="C2148">
        <v>701</v>
      </c>
      <c r="D2148">
        <v>4</v>
      </c>
      <c r="E2148">
        <v>2</v>
      </c>
      <c r="F2148" t="s">
        <v>42</v>
      </c>
      <c r="G2148" t="s">
        <v>32</v>
      </c>
      <c r="H2148" t="s">
        <v>33</v>
      </c>
      <c r="I2148" t="s">
        <v>43</v>
      </c>
      <c r="J2148" t="s">
        <v>44</v>
      </c>
      <c r="K2148" t="s">
        <v>36</v>
      </c>
      <c r="L2148" t="s">
        <v>37</v>
      </c>
      <c r="M2148">
        <v>0</v>
      </c>
      <c r="N2148">
        <v>0</v>
      </c>
      <c r="O2148" s="5">
        <v>50468</v>
      </c>
      <c r="P2148" s="5">
        <v>50467</v>
      </c>
      <c r="Q2148">
        <v>23</v>
      </c>
      <c r="R2148" t="s">
        <v>38</v>
      </c>
      <c r="T2148">
        <v>19</v>
      </c>
      <c r="U2148">
        <v>93</v>
      </c>
      <c r="V2148">
        <v>20</v>
      </c>
      <c r="W2148">
        <v>14</v>
      </c>
      <c r="X2148">
        <v>29.7</v>
      </c>
      <c r="Z2148" t="s">
        <v>39</v>
      </c>
      <c r="AB2148" t="s">
        <v>230</v>
      </c>
      <c r="AC2148" t="s">
        <v>41</v>
      </c>
    </row>
    <row r="2149" spans="1:30" x14ac:dyDescent="0.35">
      <c r="A2149" s="4">
        <v>42575</v>
      </c>
      <c r="B2149" t="s">
        <v>30</v>
      </c>
      <c r="C2149">
        <v>703</v>
      </c>
      <c r="D2149">
        <v>2</v>
      </c>
      <c r="E2149">
        <v>2</v>
      </c>
      <c r="F2149" t="s">
        <v>42</v>
      </c>
      <c r="G2149" t="s">
        <v>32</v>
      </c>
      <c r="H2149" t="s">
        <v>33</v>
      </c>
      <c r="I2149" t="s">
        <v>43</v>
      </c>
      <c r="J2149" t="s">
        <v>44</v>
      </c>
      <c r="K2149" t="s">
        <v>113</v>
      </c>
      <c r="L2149" t="s">
        <v>37</v>
      </c>
      <c r="M2149">
        <v>0</v>
      </c>
      <c r="N2149">
        <v>0</v>
      </c>
      <c r="O2149" s="5">
        <v>50470</v>
      </c>
      <c r="P2149" s="5">
        <v>50469</v>
      </c>
      <c r="Q2149">
        <v>16</v>
      </c>
      <c r="R2149" t="s">
        <v>64</v>
      </c>
      <c r="T2149">
        <v>18</v>
      </c>
      <c r="U2149">
        <v>75.5</v>
      </c>
      <c r="V2149">
        <v>15</v>
      </c>
      <c r="W2149">
        <v>12.65</v>
      </c>
      <c r="X2149">
        <v>27.2</v>
      </c>
      <c r="Z2149" t="s">
        <v>39</v>
      </c>
      <c r="AB2149" t="s">
        <v>230</v>
      </c>
      <c r="AC2149" t="s">
        <v>41</v>
      </c>
    </row>
    <row r="2150" spans="1:30" x14ac:dyDescent="0.35">
      <c r="A2150" s="4">
        <v>42575</v>
      </c>
      <c r="B2150" t="s">
        <v>30</v>
      </c>
      <c r="C2150">
        <v>701</v>
      </c>
      <c r="D2150">
        <v>6</v>
      </c>
      <c r="E2150">
        <v>1</v>
      </c>
      <c r="F2150" t="s">
        <v>42</v>
      </c>
      <c r="G2150" t="s">
        <v>32</v>
      </c>
      <c r="H2150" t="s">
        <v>33</v>
      </c>
      <c r="I2150" t="s">
        <v>43</v>
      </c>
      <c r="J2150" t="s">
        <v>44</v>
      </c>
      <c r="K2150" t="s">
        <v>113</v>
      </c>
      <c r="L2150" t="s">
        <v>37</v>
      </c>
      <c r="M2150">
        <v>0</v>
      </c>
      <c r="N2150">
        <v>0</v>
      </c>
      <c r="O2150" s="5">
        <v>50503</v>
      </c>
      <c r="P2150" s="5">
        <v>50502</v>
      </c>
      <c r="Q2150">
        <v>14.5</v>
      </c>
      <c r="R2150" t="s">
        <v>64</v>
      </c>
      <c r="T2150">
        <v>19</v>
      </c>
      <c r="U2150">
        <v>85</v>
      </c>
      <c r="V2150">
        <v>16</v>
      </c>
      <c r="W2150">
        <v>12.9</v>
      </c>
      <c r="X2150">
        <v>26.7</v>
      </c>
      <c r="Z2150" t="s">
        <v>39</v>
      </c>
      <c r="AB2150" t="s">
        <v>230</v>
      </c>
      <c r="AC2150" t="s">
        <v>41</v>
      </c>
    </row>
    <row r="2151" spans="1:30" x14ac:dyDescent="0.35">
      <c r="A2151" s="4">
        <v>42575</v>
      </c>
      <c r="B2151" t="s">
        <v>30</v>
      </c>
      <c r="C2151">
        <v>701</v>
      </c>
      <c r="D2151">
        <v>2</v>
      </c>
      <c r="E2151">
        <v>1</v>
      </c>
      <c r="F2151" t="s">
        <v>42</v>
      </c>
      <c r="G2151" t="s">
        <v>32</v>
      </c>
      <c r="H2151" t="s">
        <v>33</v>
      </c>
      <c r="I2151" t="s">
        <v>43</v>
      </c>
      <c r="J2151" t="s">
        <v>44</v>
      </c>
      <c r="K2151" t="s">
        <v>113</v>
      </c>
      <c r="L2151" t="s">
        <v>37</v>
      </c>
      <c r="M2151">
        <v>0</v>
      </c>
      <c r="N2151">
        <v>0</v>
      </c>
      <c r="O2151" s="5">
        <v>50506</v>
      </c>
      <c r="P2151" s="5">
        <v>50505</v>
      </c>
      <c r="Q2151">
        <v>17</v>
      </c>
      <c r="R2151" t="s">
        <v>64</v>
      </c>
      <c r="T2151">
        <v>19</v>
      </c>
      <c r="U2151">
        <v>88</v>
      </c>
      <c r="V2151">
        <v>18</v>
      </c>
      <c r="W2151">
        <v>13.1</v>
      </c>
      <c r="X2151">
        <v>25.9</v>
      </c>
      <c r="Z2151" t="s">
        <v>102</v>
      </c>
      <c r="AB2151" t="s">
        <v>230</v>
      </c>
      <c r="AC2151" t="s">
        <v>41</v>
      </c>
    </row>
    <row r="2152" spans="1:30" x14ac:dyDescent="0.35">
      <c r="A2152" s="4">
        <v>42575</v>
      </c>
      <c r="B2152" t="s">
        <v>30</v>
      </c>
      <c r="C2152">
        <v>703</v>
      </c>
      <c r="D2152">
        <v>6</v>
      </c>
      <c r="E2152">
        <v>1</v>
      </c>
      <c r="F2152" t="s">
        <v>42</v>
      </c>
      <c r="G2152" t="s">
        <v>32</v>
      </c>
      <c r="H2152" t="s">
        <v>33</v>
      </c>
      <c r="I2152" t="s">
        <v>43</v>
      </c>
      <c r="J2152" t="s">
        <v>44</v>
      </c>
      <c r="K2152" t="s">
        <v>88</v>
      </c>
      <c r="L2152" t="s">
        <v>45</v>
      </c>
      <c r="M2152">
        <v>0</v>
      </c>
      <c r="N2152">
        <v>0</v>
      </c>
      <c r="O2152" s="5">
        <v>50517</v>
      </c>
      <c r="P2152" s="5">
        <v>50516</v>
      </c>
      <c r="Q2152">
        <v>15</v>
      </c>
      <c r="R2152" t="s">
        <v>46</v>
      </c>
      <c r="S2152" t="s">
        <v>39</v>
      </c>
      <c r="T2152">
        <v>19</v>
      </c>
      <c r="U2152">
        <v>75</v>
      </c>
      <c r="V2152">
        <v>16</v>
      </c>
      <c r="W2152">
        <v>12.6</v>
      </c>
      <c r="X2152">
        <v>25</v>
      </c>
      <c r="Z2152" t="s">
        <v>39</v>
      </c>
      <c r="AB2152" t="s">
        <v>230</v>
      </c>
      <c r="AC2152" t="s">
        <v>41</v>
      </c>
    </row>
    <row r="2153" spans="1:30" x14ac:dyDescent="0.35">
      <c r="A2153" s="4">
        <v>42575</v>
      </c>
      <c r="B2153" t="s">
        <v>30</v>
      </c>
      <c r="C2153">
        <v>303</v>
      </c>
      <c r="D2153">
        <v>4</v>
      </c>
      <c r="E2153">
        <v>1</v>
      </c>
      <c r="F2153" t="s">
        <v>31</v>
      </c>
      <c r="G2153" t="s">
        <v>32</v>
      </c>
      <c r="H2153" t="s">
        <v>33</v>
      </c>
      <c r="I2153" t="s">
        <v>43</v>
      </c>
      <c r="J2153" t="s">
        <v>44</v>
      </c>
      <c r="K2153" t="s">
        <v>36</v>
      </c>
      <c r="L2153" t="s">
        <v>45</v>
      </c>
      <c r="M2153">
        <v>0</v>
      </c>
      <c r="N2153">
        <v>0</v>
      </c>
      <c r="O2153" s="5">
        <v>50582</v>
      </c>
      <c r="P2153" s="5">
        <v>50581</v>
      </c>
      <c r="Q2153">
        <f>31.5-12.5</f>
        <v>19</v>
      </c>
      <c r="R2153" t="s">
        <v>145</v>
      </c>
      <c r="S2153" t="s">
        <v>102</v>
      </c>
      <c r="T2153">
        <v>20</v>
      </c>
      <c r="U2153">
        <v>85</v>
      </c>
      <c r="V2153">
        <v>15</v>
      </c>
      <c r="W2153">
        <v>12.9</v>
      </c>
      <c r="X2153">
        <v>27.2</v>
      </c>
      <c r="Z2153" t="s">
        <v>102</v>
      </c>
      <c r="AA2153" t="s">
        <v>201</v>
      </c>
      <c r="AB2153" t="s">
        <v>273</v>
      </c>
      <c r="AC2153" t="s">
        <v>41</v>
      </c>
    </row>
    <row r="2154" spans="1:30" x14ac:dyDescent="0.35">
      <c r="A2154" s="4">
        <v>42575</v>
      </c>
      <c r="B2154" t="s">
        <v>30</v>
      </c>
      <c r="C2154">
        <v>401</v>
      </c>
      <c r="D2154">
        <v>3</v>
      </c>
      <c r="E2154">
        <v>1</v>
      </c>
      <c r="F2154" t="s">
        <v>31</v>
      </c>
      <c r="G2154" t="s">
        <v>32</v>
      </c>
      <c r="H2154" t="s">
        <v>33</v>
      </c>
      <c r="I2154" t="s">
        <v>43</v>
      </c>
      <c r="J2154" t="s">
        <v>44</v>
      </c>
      <c r="K2154" t="s">
        <v>113</v>
      </c>
      <c r="L2154" t="s">
        <v>37</v>
      </c>
      <c r="M2154">
        <v>0</v>
      </c>
      <c r="N2154">
        <v>0</v>
      </c>
      <c r="O2154" s="5">
        <v>50590</v>
      </c>
      <c r="P2154" s="5">
        <v>50589</v>
      </c>
      <c r="Q2154">
        <f>34.5-18</f>
        <v>16.5</v>
      </c>
      <c r="R2154" t="s">
        <v>38</v>
      </c>
      <c r="T2154">
        <v>20</v>
      </c>
      <c r="U2154">
        <v>80</v>
      </c>
      <c r="V2154">
        <v>15</v>
      </c>
      <c r="W2154">
        <v>12.9</v>
      </c>
      <c r="X2154">
        <v>27.5</v>
      </c>
      <c r="Z2154" t="s">
        <v>102</v>
      </c>
      <c r="AA2154" t="s">
        <v>201</v>
      </c>
      <c r="AB2154" t="s">
        <v>274</v>
      </c>
      <c r="AC2154" t="s">
        <v>41</v>
      </c>
      <c r="AD2154" t="s">
        <v>275</v>
      </c>
    </row>
    <row r="2155" spans="1:30" x14ac:dyDescent="0.35">
      <c r="A2155" s="4">
        <v>42575</v>
      </c>
      <c r="B2155" t="s">
        <v>30</v>
      </c>
      <c r="C2155">
        <v>701</v>
      </c>
      <c r="D2155">
        <v>9</v>
      </c>
      <c r="E2155">
        <v>2</v>
      </c>
      <c r="F2155" t="s">
        <v>42</v>
      </c>
      <c r="G2155" t="s">
        <v>32</v>
      </c>
      <c r="H2155" t="s">
        <v>33</v>
      </c>
      <c r="I2155" t="s">
        <v>43</v>
      </c>
      <c r="J2155" t="s">
        <v>44</v>
      </c>
      <c r="K2155" t="s">
        <v>88</v>
      </c>
      <c r="L2155" t="s">
        <v>45</v>
      </c>
      <c r="M2155">
        <v>0</v>
      </c>
      <c r="N2155">
        <v>0</v>
      </c>
      <c r="O2155" s="5">
        <v>50610</v>
      </c>
      <c r="P2155" s="5">
        <v>50609</v>
      </c>
      <c r="Q2155">
        <v>13.5</v>
      </c>
      <c r="R2155" t="s">
        <v>46</v>
      </c>
      <c r="S2155" t="s">
        <v>39</v>
      </c>
      <c r="T2155">
        <v>18</v>
      </c>
      <c r="U2155">
        <v>70</v>
      </c>
      <c r="V2155">
        <v>16</v>
      </c>
      <c r="W2155">
        <v>12.5</v>
      </c>
      <c r="X2155">
        <v>25</v>
      </c>
      <c r="Z2155" t="s">
        <v>39</v>
      </c>
      <c r="AB2155" t="s">
        <v>230</v>
      </c>
      <c r="AC2155" t="s">
        <v>41</v>
      </c>
    </row>
    <row r="2156" spans="1:30" x14ac:dyDescent="0.35">
      <c r="A2156" s="4">
        <v>42575</v>
      </c>
      <c r="B2156" t="s">
        <v>30</v>
      </c>
      <c r="C2156">
        <v>703</v>
      </c>
      <c r="D2156">
        <v>9</v>
      </c>
      <c r="E2156">
        <v>1</v>
      </c>
      <c r="F2156" t="s">
        <v>42</v>
      </c>
      <c r="G2156" t="s">
        <v>32</v>
      </c>
      <c r="H2156" t="s">
        <v>33</v>
      </c>
      <c r="I2156" t="s">
        <v>43</v>
      </c>
      <c r="J2156" t="s">
        <v>44</v>
      </c>
      <c r="K2156" t="s">
        <v>113</v>
      </c>
      <c r="L2156" t="s">
        <v>45</v>
      </c>
      <c r="M2156">
        <v>0</v>
      </c>
      <c r="N2156">
        <v>0</v>
      </c>
      <c r="O2156" s="5">
        <v>50612</v>
      </c>
      <c r="P2156" s="5">
        <v>50611</v>
      </c>
      <c r="Q2156">
        <f>23.5-11</f>
        <v>12.5</v>
      </c>
      <c r="R2156" t="s">
        <v>46</v>
      </c>
      <c r="S2156" t="s">
        <v>39</v>
      </c>
      <c r="T2156">
        <v>19</v>
      </c>
      <c r="U2156">
        <v>76</v>
      </c>
      <c r="V2156">
        <v>14</v>
      </c>
      <c r="W2156">
        <v>12.4</v>
      </c>
      <c r="X2156">
        <v>24.7</v>
      </c>
      <c r="Z2156" t="s">
        <v>39</v>
      </c>
      <c r="AB2156" t="s">
        <v>230</v>
      </c>
      <c r="AC2156" t="s">
        <v>41</v>
      </c>
    </row>
    <row r="2157" spans="1:30" x14ac:dyDescent="0.35">
      <c r="A2157" s="4">
        <v>42575</v>
      </c>
      <c r="B2157" t="s">
        <v>30</v>
      </c>
      <c r="C2157">
        <v>901</v>
      </c>
      <c r="D2157">
        <v>9</v>
      </c>
      <c r="E2157">
        <v>1</v>
      </c>
      <c r="F2157" t="s">
        <v>42</v>
      </c>
      <c r="G2157" t="s">
        <v>32</v>
      </c>
      <c r="H2157" t="s">
        <v>33</v>
      </c>
      <c r="I2157" t="s">
        <v>43</v>
      </c>
      <c r="J2157" t="s">
        <v>44</v>
      </c>
      <c r="K2157" t="s">
        <v>36</v>
      </c>
      <c r="L2157" t="s">
        <v>45</v>
      </c>
      <c r="M2157">
        <v>0</v>
      </c>
      <c r="N2157">
        <v>0</v>
      </c>
      <c r="O2157" s="5">
        <v>50617</v>
      </c>
      <c r="P2157" s="5">
        <v>50616</v>
      </c>
      <c r="Q2157">
        <f>32-13</f>
        <v>19</v>
      </c>
      <c r="R2157" t="s">
        <v>46</v>
      </c>
      <c r="Z2157" t="s">
        <v>39</v>
      </c>
      <c r="AB2157" t="s">
        <v>230</v>
      </c>
      <c r="AC2157" t="s">
        <v>41</v>
      </c>
    </row>
    <row r="2158" spans="1:30" x14ac:dyDescent="0.35">
      <c r="A2158" s="4">
        <v>42575</v>
      </c>
      <c r="B2158" t="s">
        <v>30</v>
      </c>
      <c r="C2158">
        <v>703</v>
      </c>
      <c r="D2158">
        <v>3</v>
      </c>
      <c r="E2158">
        <v>2</v>
      </c>
      <c r="F2158" t="s">
        <v>42</v>
      </c>
      <c r="G2158" t="s">
        <v>32</v>
      </c>
      <c r="H2158" t="s">
        <v>33</v>
      </c>
      <c r="I2158" t="s">
        <v>43</v>
      </c>
      <c r="J2158" t="s">
        <v>44</v>
      </c>
      <c r="K2158" t="s">
        <v>88</v>
      </c>
      <c r="L2158" t="s">
        <v>45</v>
      </c>
      <c r="M2158">
        <v>0</v>
      </c>
      <c r="N2158">
        <v>0</v>
      </c>
      <c r="O2158" s="5">
        <v>50690</v>
      </c>
      <c r="P2158" s="5">
        <v>50689</v>
      </c>
      <c r="Q2158">
        <v>14</v>
      </c>
      <c r="R2158" t="s">
        <v>46</v>
      </c>
      <c r="S2158" t="s">
        <v>39</v>
      </c>
      <c r="T2158">
        <v>18</v>
      </c>
      <c r="U2158">
        <v>76</v>
      </c>
      <c r="V2158">
        <v>16</v>
      </c>
      <c r="W2158">
        <v>12.6</v>
      </c>
      <c r="X2158">
        <v>24.05</v>
      </c>
      <c r="Z2158" t="s">
        <v>102</v>
      </c>
      <c r="AB2158" t="s">
        <v>230</v>
      </c>
      <c r="AC2158" t="s">
        <v>41</v>
      </c>
    </row>
    <row r="2159" spans="1:30" x14ac:dyDescent="0.35">
      <c r="A2159" s="4">
        <v>42575</v>
      </c>
      <c r="B2159" t="s">
        <v>30</v>
      </c>
      <c r="C2159">
        <v>701</v>
      </c>
      <c r="D2159">
        <v>9</v>
      </c>
      <c r="E2159">
        <v>1</v>
      </c>
      <c r="F2159" t="s">
        <v>42</v>
      </c>
      <c r="G2159" t="s">
        <v>32</v>
      </c>
      <c r="H2159" t="s">
        <v>33</v>
      </c>
      <c r="I2159" t="s">
        <v>43</v>
      </c>
      <c r="J2159" t="s">
        <v>44</v>
      </c>
      <c r="K2159" t="s">
        <v>88</v>
      </c>
      <c r="L2159" t="s">
        <v>45</v>
      </c>
      <c r="M2159">
        <v>0</v>
      </c>
      <c r="N2159">
        <v>0</v>
      </c>
      <c r="O2159" s="5">
        <v>50700</v>
      </c>
      <c r="P2159" s="5">
        <v>50699</v>
      </c>
      <c r="Q2159">
        <f>27-13</f>
        <v>14</v>
      </c>
      <c r="R2159" t="s">
        <v>46</v>
      </c>
      <c r="S2159" t="s">
        <v>39</v>
      </c>
      <c r="T2159">
        <v>18</v>
      </c>
      <c r="U2159">
        <v>74</v>
      </c>
      <c r="V2159">
        <v>16.5</v>
      </c>
      <c r="W2159">
        <v>12.3</v>
      </c>
      <c r="X2159">
        <v>23.75</v>
      </c>
      <c r="Z2159" t="s">
        <v>39</v>
      </c>
      <c r="AB2159" t="s">
        <v>230</v>
      </c>
      <c r="AC2159" t="s">
        <v>41</v>
      </c>
    </row>
    <row r="2160" spans="1:30" x14ac:dyDescent="0.35">
      <c r="A2160" s="4">
        <v>42575</v>
      </c>
      <c r="B2160" t="s">
        <v>30</v>
      </c>
      <c r="C2160">
        <v>503</v>
      </c>
      <c r="D2160">
        <v>9</v>
      </c>
      <c r="E2160">
        <v>2</v>
      </c>
      <c r="F2160" t="s">
        <v>31</v>
      </c>
      <c r="G2160" t="s">
        <v>32</v>
      </c>
      <c r="H2160" t="s">
        <v>33</v>
      </c>
      <c r="I2160" t="s">
        <v>43</v>
      </c>
      <c r="J2160" t="s">
        <v>44</v>
      </c>
      <c r="K2160" t="s">
        <v>88</v>
      </c>
      <c r="L2160" t="s">
        <v>45</v>
      </c>
      <c r="M2160">
        <v>0</v>
      </c>
      <c r="N2160">
        <v>0</v>
      </c>
      <c r="O2160" s="5">
        <v>50742</v>
      </c>
      <c r="P2160" s="5">
        <v>50741</v>
      </c>
      <c r="Q2160">
        <f>28-3</f>
        <v>25</v>
      </c>
      <c r="R2160" t="s">
        <v>64</v>
      </c>
      <c r="T2160">
        <v>20</v>
      </c>
      <c r="U2160">
        <v>83</v>
      </c>
      <c r="V2160">
        <v>14</v>
      </c>
      <c r="W2160">
        <v>12.8</v>
      </c>
      <c r="X2160">
        <v>26.7</v>
      </c>
      <c r="Z2160" t="s">
        <v>102</v>
      </c>
      <c r="AA2160" t="s">
        <v>201</v>
      </c>
      <c r="AB2160" t="s">
        <v>273</v>
      </c>
      <c r="AC2160" t="s">
        <v>41</v>
      </c>
    </row>
    <row r="2161" spans="1:29" x14ac:dyDescent="0.35">
      <c r="A2161" s="4">
        <v>42575</v>
      </c>
      <c r="B2161" t="s">
        <v>30</v>
      </c>
      <c r="C2161">
        <v>701</v>
      </c>
      <c r="D2161">
        <v>6</v>
      </c>
      <c r="E2161">
        <v>2</v>
      </c>
      <c r="F2161" t="s">
        <v>42</v>
      </c>
      <c r="G2161" t="s">
        <v>32</v>
      </c>
      <c r="H2161" t="s">
        <v>33</v>
      </c>
      <c r="I2161" t="s">
        <v>43</v>
      </c>
      <c r="J2161" t="s">
        <v>44</v>
      </c>
      <c r="K2161" t="s">
        <v>113</v>
      </c>
      <c r="L2161" t="s">
        <v>37</v>
      </c>
      <c r="M2161">
        <v>0</v>
      </c>
      <c r="N2161">
        <v>0</v>
      </c>
      <c r="O2161" s="5">
        <v>50761</v>
      </c>
      <c r="P2161" s="5">
        <v>50760</v>
      </c>
      <c r="Q2161">
        <v>17</v>
      </c>
      <c r="R2161" t="s">
        <v>64</v>
      </c>
      <c r="T2161">
        <v>19</v>
      </c>
      <c r="U2161">
        <v>86</v>
      </c>
      <c r="V2161">
        <v>18</v>
      </c>
      <c r="W2161">
        <v>13</v>
      </c>
      <c r="X2161">
        <v>27.5</v>
      </c>
      <c r="Z2161" t="s">
        <v>102</v>
      </c>
      <c r="AB2161" t="s">
        <v>230</v>
      </c>
      <c r="AC2161" t="s">
        <v>41</v>
      </c>
    </row>
    <row r="2162" spans="1:29" x14ac:dyDescent="0.35">
      <c r="A2162" s="4">
        <v>42575</v>
      </c>
      <c r="B2162" t="s">
        <v>30</v>
      </c>
      <c r="C2162">
        <v>901</v>
      </c>
      <c r="D2162">
        <v>2</v>
      </c>
      <c r="E2162">
        <v>2</v>
      </c>
      <c r="F2162" t="s">
        <v>42</v>
      </c>
      <c r="G2162" t="s">
        <v>32</v>
      </c>
      <c r="H2162" t="s">
        <v>33</v>
      </c>
      <c r="I2162" t="s">
        <v>43</v>
      </c>
      <c r="J2162" t="s">
        <v>44</v>
      </c>
      <c r="K2162" t="s">
        <v>113</v>
      </c>
      <c r="L2162" t="s">
        <v>37</v>
      </c>
      <c r="M2162">
        <v>0</v>
      </c>
      <c r="N2162">
        <v>0</v>
      </c>
      <c r="O2162" s="5">
        <v>50766</v>
      </c>
      <c r="P2162" s="5">
        <v>50765</v>
      </c>
      <c r="Q2162">
        <v>18</v>
      </c>
      <c r="R2162" t="s">
        <v>38</v>
      </c>
      <c r="T2162">
        <v>19</v>
      </c>
      <c r="U2162">
        <v>81.5</v>
      </c>
      <c r="V2162">
        <v>15.5</v>
      </c>
      <c r="W2162">
        <v>12.8</v>
      </c>
      <c r="X2162">
        <v>25</v>
      </c>
      <c r="Z2162" t="s">
        <v>39</v>
      </c>
      <c r="AB2162" t="s">
        <v>230</v>
      </c>
      <c r="AC2162" t="s">
        <v>41</v>
      </c>
    </row>
    <row r="2163" spans="1:29" x14ac:dyDescent="0.35">
      <c r="A2163" s="4">
        <v>42575</v>
      </c>
      <c r="B2163" t="s">
        <v>30</v>
      </c>
      <c r="C2163">
        <v>901</v>
      </c>
      <c r="D2163">
        <v>2</v>
      </c>
      <c r="E2163">
        <v>1</v>
      </c>
      <c r="F2163" t="s">
        <v>42</v>
      </c>
      <c r="G2163" t="s">
        <v>32</v>
      </c>
      <c r="H2163" t="s">
        <v>33</v>
      </c>
      <c r="I2163" t="s">
        <v>43</v>
      </c>
      <c r="J2163" t="s">
        <v>44</v>
      </c>
      <c r="K2163" t="s">
        <v>36</v>
      </c>
      <c r="L2163" t="s">
        <v>37</v>
      </c>
      <c r="M2163">
        <v>0</v>
      </c>
      <c r="N2163">
        <v>0</v>
      </c>
      <c r="O2163" s="5">
        <v>50769</v>
      </c>
      <c r="P2163" s="5">
        <v>50768</v>
      </c>
      <c r="Q2163">
        <f>34.5-14</f>
        <v>20.5</v>
      </c>
      <c r="R2163" t="s">
        <v>64</v>
      </c>
      <c r="T2163">
        <v>19</v>
      </c>
      <c r="U2163">
        <v>88</v>
      </c>
      <c r="V2163">
        <v>15</v>
      </c>
      <c r="W2163">
        <v>13.2</v>
      </c>
      <c r="X2163">
        <v>26.4</v>
      </c>
      <c r="Z2163" t="s">
        <v>39</v>
      </c>
      <c r="AB2163" t="s">
        <v>230</v>
      </c>
      <c r="AC2163" t="s">
        <v>41</v>
      </c>
    </row>
    <row r="2164" spans="1:29" x14ac:dyDescent="0.35">
      <c r="A2164" s="4">
        <v>42575</v>
      </c>
      <c r="B2164" t="s">
        <v>30</v>
      </c>
      <c r="C2164">
        <v>901</v>
      </c>
      <c r="D2164">
        <v>3</v>
      </c>
      <c r="E2164">
        <v>1</v>
      </c>
      <c r="F2164" t="s">
        <v>42</v>
      </c>
      <c r="G2164" t="s">
        <v>32</v>
      </c>
      <c r="H2164" t="s">
        <v>33</v>
      </c>
      <c r="I2164" t="s">
        <v>43</v>
      </c>
      <c r="J2164" t="s">
        <v>44</v>
      </c>
      <c r="K2164" t="s">
        <v>113</v>
      </c>
      <c r="L2164" t="s">
        <v>37</v>
      </c>
      <c r="M2164">
        <v>0</v>
      </c>
      <c r="N2164">
        <v>0</v>
      </c>
      <c r="O2164" s="5">
        <v>50799</v>
      </c>
      <c r="P2164" s="5">
        <v>50798</v>
      </c>
      <c r="Q2164">
        <v>15</v>
      </c>
      <c r="R2164" t="s">
        <v>64</v>
      </c>
      <c r="T2164">
        <v>19</v>
      </c>
      <c r="U2164">
        <v>85</v>
      </c>
      <c r="V2164">
        <v>15</v>
      </c>
      <c r="W2164">
        <v>12.3</v>
      </c>
      <c r="X2164">
        <v>26.1</v>
      </c>
      <c r="Z2164" t="s">
        <v>102</v>
      </c>
      <c r="AB2164" t="s">
        <v>230</v>
      </c>
      <c r="AC2164" t="s">
        <v>41</v>
      </c>
    </row>
    <row r="2165" spans="1:29" x14ac:dyDescent="0.35">
      <c r="A2165" s="4">
        <v>42575</v>
      </c>
      <c r="B2165" t="s">
        <v>30</v>
      </c>
      <c r="C2165">
        <v>801</v>
      </c>
      <c r="D2165">
        <v>10</v>
      </c>
      <c r="E2165">
        <v>2</v>
      </c>
      <c r="F2165" t="s">
        <v>42</v>
      </c>
      <c r="G2165" t="s">
        <v>32</v>
      </c>
      <c r="H2165" t="s">
        <v>33</v>
      </c>
      <c r="I2165" t="s">
        <v>43</v>
      </c>
      <c r="J2165" t="s">
        <v>44</v>
      </c>
      <c r="K2165" t="s">
        <v>113</v>
      </c>
      <c r="L2165" t="s">
        <v>45</v>
      </c>
      <c r="M2165">
        <v>0</v>
      </c>
      <c r="N2165">
        <v>0</v>
      </c>
      <c r="O2165" s="5">
        <v>50860</v>
      </c>
      <c r="P2165" s="5">
        <v>50859</v>
      </c>
      <c r="Q2165">
        <f>40-14</f>
        <v>26</v>
      </c>
      <c r="R2165" t="s">
        <v>77</v>
      </c>
      <c r="S2165" t="s">
        <v>39</v>
      </c>
      <c r="T2165">
        <v>20</v>
      </c>
      <c r="U2165">
        <v>96</v>
      </c>
      <c r="V2165">
        <v>16</v>
      </c>
      <c r="W2165">
        <v>13.2</v>
      </c>
      <c r="X2165">
        <v>27.4</v>
      </c>
      <c r="Z2165" t="s">
        <v>39</v>
      </c>
      <c r="AB2165" t="s">
        <v>230</v>
      </c>
      <c r="AC2165" t="s">
        <v>41</v>
      </c>
    </row>
    <row r="2166" spans="1:29" x14ac:dyDescent="0.35">
      <c r="A2166" s="4">
        <v>42575</v>
      </c>
      <c r="B2166" t="s">
        <v>30</v>
      </c>
      <c r="C2166">
        <v>803</v>
      </c>
      <c r="D2166">
        <v>7</v>
      </c>
      <c r="E2166">
        <v>1</v>
      </c>
      <c r="F2166" t="s">
        <v>42</v>
      </c>
      <c r="G2166" t="s">
        <v>32</v>
      </c>
      <c r="H2166" t="s">
        <v>33</v>
      </c>
      <c r="I2166" t="s">
        <v>43</v>
      </c>
      <c r="J2166" t="s">
        <v>44</v>
      </c>
      <c r="K2166" t="s">
        <v>36</v>
      </c>
      <c r="L2166" t="s">
        <v>45</v>
      </c>
      <c r="M2166">
        <v>0</v>
      </c>
      <c r="N2166">
        <v>0</v>
      </c>
      <c r="O2166" s="5">
        <v>50862</v>
      </c>
      <c r="P2166" s="5">
        <v>50861</v>
      </c>
      <c r="Q2166">
        <f>37.5-17</f>
        <v>20.5</v>
      </c>
      <c r="R2166" t="s">
        <v>46</v>
      </c>
      <c r="S2166" t="s">
        <v>39</v>
      </c>
      <c r="T2166">
        <v>19.5</v>
      </c>
      <c r="U2166">
        <v>93</v>
      </c>
      <c r="V2166">
        <v>15</v>
      </c>
      <c r="W2166">
        <v>13.1</v>
      </c>
      <c r="X2166">
        <v>26</v>
      </c>
      <c r="Z2166" t="s">
        <v>39</v>
      </c>
      <c r="AB2166" t="s">
        <v>230</v>
      </c>
      <c r="AC2166" t="s">
        <v>41</v>
      </c>
    </row>
    <row r="2167" spans="1:29" x14ac:dyDescent="0.35">
      <c r="A2167" s="4">
        <v>42575</v>
      </c>
      <c r="B2167" t="s">
        <v>30</v>
      </c>
      <c r="C2167">
        <v>803</v>
      </c>
      <c r="D2167">
        <v>9</v>
      </c>
      <c r="E2167">
        <v>2</v>
      </c>
      <c r="F2167" t="s">
        <v>42</v>
      </c>
      <c r="G2167" t="s">
        <v>32</v>
      </c>
      <c r="H2167" t="s">
        <v>33</v>
      </c>
      <c r="I2167" t="s">
        <v>43</v>
      </c>
      <c r="J2167" t="s">
        <v>44</v>
      </c>
      <c r="K2167" t="s">
        <v>113</v>
      </c>
      <c r="L2167" t="s">
        <v>37</v>
      </c>
      <c r="M2167">
        <v>0</v>
      </c>
      <c r="N2167">
        <v>0</v>
      </c>
      <c r="O2167" s="5">
        <v>50864</v>
      </c>
      <c r="P2167" s="5">
        <v>50863</v>
      </c>
      <c r="Q2167">
        <f>30-13</f>
        <v>17</v>
      </c>
      <c r="R2167" t="s">
        <v>38</v>
      </c>
      <c r="T2167">
        <v>18</v>
      </c>
      <c r="U2167">
        <v>82</v>
      </c>
      <c r="V2167">
        <v>17</v>
      </c>
      <c r="W2167">
        <v>13</v>
      </c>
      <c r="X2167">
        <v>27.95</v>
      </c>
      <c r="Z2167" t="s">
        <v>39</v>
      </c>
      <c r="AB2167" t="s">
        <v>230</v>
      </c>
      <c r="AC2167" t="s">
        <v>41</v>
      </c>
    </row>
    <row r="2168" spans="1:29" x14ac:dyDescent="0.35">
      <c r="A2168" s="4">
        <v>42575</v>
      </c>
      <c r="B2168" t="s">
        <v>30</v>
      </c>
      <c r="C2168">
        <v>703</v>
      </c>
      <c r="D2168">
        <v>9</v>
      </c>
      <c r="E2168">
        <v>2</v>
      </c>
      <c r="F2168" t="s">
        <v>42</v>
      </c>
      <c r="G2168" t="s">
        <v>32</v>
      </c>
      <c r="H2168" t="s">
        <v>33</v>
      </c>
      <c r="I2168" t="s">
        <v>43</v>
      </c>
      <c r="J2168" t="s">
        <v>35</v>
      </c>
      <c r="K2168" t="s">
        <v>36</v>
      </c>
      <c r="L2168" t="s">
        <v>37</v>
      </c>
      <c r="M2168">
        <v>0</v>
      </c>
      <c r="N2168">
        <v>0</v>
      </c>
      <c r="O2168" s="5">
        <v>50866</v>
      </c>
      <c r="P2168" s="5">
        <v>50865</v>
      </c>
      <c r="Q2168">
        <f>32-11</f>
        <v>21</v>
      </c>
      <c r="R2168" t="s">
        <v>38</v>
      </c>
      <c r="S2168" t="s">
        <v>39</v>
      </c>
      <c r="T2168">
        <v>20</v>
      </c>
      <c r="U2168">
        <v>94</v>
      </c>
      <c r="V2168">
        <v>17.5</v>
      </c>
      <c r="W2168">
        <v>13.7</v>
      </c>
      <c r="X2168">
        <v>28.1</v>
      </c>
      <c r="Z2168" t="s">
        <v>39</v>
      </c>
      <c r="AB2168" t="s">
        <v>230</v>
      </c>
      <c r="AC2168" t="s">
        <v>41</v>
      </c>
    </row>
    <row r="2169" spans="1:29" x14ac:dyDescent="0.35">
      <c r="A2169" s="4">
        <v>42575</v>
      </c>
      <c r="B2169" t="s">
        <v>30</v>
      </c>
      <c r="C2169">
        <v>801</v>
      </c>
      <c r="D2169">
        <v>1</v>
      </c>
      <c r="E2169">
        <v>1</v>
      </c>
      <c r="F2169" t="s">
        <v>42</v>
      </c>
      <c r="G2169" t="s">
        <v>32</v>
      </c>
      <c r="H2169" t="s">
        <v>33</v>
      </c>
      <c r="I2169" t="s">
        <v>43</v>
      </c>
      <c r="J2169" t="s">
        <v>35</v>
      </c>
      <c r="K2169" t="s">
        <v>113</v>
      </c>
      <c r="L2169" t="s">
        <v>45</v>
      </c>
      <c r="M2169">
        <v>0</v>
      </c>
      <c r="N2169">
        <v>1</v>
      </c>
      <c r="O2169" s="5">
        <v>50868</v>
      </c>
      <c r="P2169" s="5">
        <v>50867</v>
      </c>
      <c r="Q2169">
        <f>27-10.5</f>
        <v>16.5</v>
      </c>
      <c r="R2169" t="s">
        <v>46</v>
      </c>
      <c r="S2169" t="s">
        <v>39</v>
      </c>
      <c r="T2169">
        <v>18</v>
      </c>
      <c r="U2169">
        <v>72</v>
      </c>
      <c r="V2169">
        <v>16</v>
      </c>
      <c r="W2169">
        <v>12.5</v>
      </c>
      <c r="X2169">
        <v>25.3</v>
      </c>
      <c r="Z2169" t="s">
        <v>39</v>
      </c>
      <c r="AB2169" t="s">
        <v>230</v>
      </c>
      <c r="AC2169" t="s">
        <v>41</v>
      </c>
    </row>
    <row r="2170" spans="1:29" x14ac:dyDescent="0.35">
      <c r="A2170" s="4">
        <v>42575</v>
      </c>
      <c r="B2170" t="s">
        <v>30</v>
      </c>
      <c r="C2170">
        <v>803</v>
      </c>
      <c r="D2170">
        <v>3</v>
      </c>
      <c r="E2170">
        <v>1</v>
      </c>
      <c r="F2170" t="s">
        <v>42</v>
      </c>
      <c r="G2170" t="s">
        <v>32</v>
      </c>
      <c r="H2170" t="s">
        <v>33</v>
      </c>
      <c r="I2170" t="s">
        <v>43</v>
      </c>
      <c r="J2170" t="s">
        <v>35</v>
      </c>
      <c r="K2170" t="s">
        <v>113</v>
      </c>
      <c r="L2170" t="s">
        <v>37</v>
      </c>
      <c r="M2170">
        <v>0</v>
      </c>
      <c r="N2170">
        <v>1</v>
      </c>
      <c r="O2170" s="5">
        <v>50870</v>
      </c>
      <c r="P2170" s="5">
        <v>50869</v>
      </c>
      <c r="Q2170">
        <f>33-13.5</f>
        <v>19.5</v>
      </c>
      <c r="R2170" t="s">
        <v>38</v>
      </c>
      <c r="S2170" t="s">
        <v>39</v>
      </c>
      <c r="T2170">
        <v>18.5</v>
      </c>
      <c r="U2170">
        <v>78.5</v>
      </c>
      <c r="V2170">
        <v>13</v>
      </c>
      <c r="W2170">
        <v>12.5</v>
      </c>
      <c r="X2170">
        <v>27.4</v>
      </c>
      <c r="Z2170" t="s">
        <v>39</v>
      </c>
      <c r="AB2170" t="s">
        <v>230</v>
      </c>
      <c r="AC2170" t="s">
        <v>41</v>
      </c>
    </row>
    <row r="2171" spans="1:29" x14ac:dyDescent="0.35">
      <c r="A2171" s="4">
        <v>42575</v>
      </c>
      <c r="B2171" t="s">
        <v>30</v>
      </c>
      <c r="C2171">
        <v>501</v>
      </c>
      <c r="D2171">
        <v>9</v>
      </c>
      <c r="E2171">
        <v>2</v>
      </c>
      <c r="F2171" t="s">
        <v>31</v>
      </c>
      <c r="G2171" t="s">
        <v>32</v>
      </c>
      <c r="H2171" t="s">
        <v>33</v>
      </c>
      <c r="I2171" t="s">
        <v>43</v>
      </c>
      <c r="J2171" t="s">
        <v>122</v>
      </c>
      <c r="O2171" s="5"/>
      <c r="P2171" s="5"/>
    </row>
    <row r="2172" spans="1:29" x14ac:dyDescent="0.35">
      <c r="A2172" s="4">
        <v>42575</v>
      </c>
      <c r="B2172" t="s">
        <v>30</v>
      </c>
      <c r="C2172">
        <v>803</v>
      </c>
      <c r="D2172">
        <v>10</v>
      </c>
      <c r="E2172">
        <v>1</v>
      </c>
      <c r="F2172" t="s">
        <v>42</v>
      </c>
      <c r="G2172" t="s">
        <v>32</v>
      </c>
      <c r="H2172" t="s">
        <v>33</v>
      </c>
      <c r="I2172" t="s">
        <v>34</v>
      </c>
      <c r="J2172" t="s">
        <v>44</v>
      </c>
      <c r="K2172" t="s">
        <v>36</v>
      </c>
      <c r="L2172" t="s">
        <v>37</v>
      </c>
      <c r="M2172">
        <v>0</v>
      </c>
      <c r="N2172">
        <v>0</v>
      </c>
      <c r="O2172" s="5">
        <v>50391</v>
      </c>
      <c r="P2172" s="5"/>
      <c r="Q2172">
        <f>200-105</f>
        <v>95</v>
      </c>
      <c r="R2172" t="s">
        <v>64</v>
      </c>
      <c r="T2172">
        <v>33</v>
      </c>
      <c r="W2172">
        <v>22.5</v>
      </c>
      <c r="X2172">
        <v>45</v>
      </c>
      <c r="Z2172" t="s">
        <v>39</v>
      </c>
      <c r="AB2172" t="s">
        <v>230</v>
      </c>
      <c r="AC2172" t="s">
        <v>41</v>
      </c>
    </row>
    <row r="2173" spans="1:29" x14ac:dyDescent="0.35">
      <c r="A2173" s="4">
        <v>42575</v>
      </c>
      <c r="B2173" t="s">
        <v>30</v>
      </c>
      <c r="C2173">
        <v>803</v>
      </c>
      <c r="D2173">
        <v>6</v>
      </c>
      <c r="E2173">
        <v>2</v>
      </c>
      <c r="F2173" t="s">
        <v>42</v>
      </c>
      <c r="G2173" t="s">
        <v>32</v>
      </c>
      <c r="H2173" t="s">
        <v>33</v>
      </c>
      <c r="I2173" t="s">
        <v>34</v>
      </c>
      <c r="J2173" t="s">
        <v>44</v>
      </c>
      <c r="K2173" t="s">
        <v>36</v>
      </c>
      <c r="L2173" t="s">
        <v>37</v>
      </c>
      <c r="M2173">
        <v>0</v>
      </c>
      <c r="N2173">
        <v>0</v>
      </c>
      <c r="O2173" s="5">
        <v>50463</v>
      </c>
      <c r="P2173" s="5"/>
      <c r="Q2173">
        <f>195-105</f>
        <v>90</v>
      </c>
      <c r="R2173" t="s">
        <v>64</v>
      </c>
      <c r="T2173">
        <v>29</v>
      </c>
      <c r="W2173">
        <v>21.6</v>
      </c>
      <c r="X2173">
        <v>41.5</v>
      </c>
      <c r="Z2173" t="s">
        <v>39</v>
      </c>
      <c r="AB2173" t="s">
        <v>230</v>
      </c>
      <c r="AC2173" t="s">
        <v>41</v>
      </c>
    </row>
    <row r="2174" spans="1:29" x14ac:dyDescent="0.35">
      <c r="A2174" s="4">
        <v>42575</v>
      </c>
      <c r="B2174" t="s">
        <v>30</v>
      </c>
      <c r="C2174">
        <v>801</v>
      </c>
      <c r="D2174">
        <v>5</v>
      </c>
      <c r="E2174">
        <v>1</v>
      </c>
      <c r="F2174" t="s">
        <v>42</v>
      </c>
      <c r="G2174" t="s">
        <v>32</v>
      </c>
      <c r="H2174" t="s">
        <v>33</v>
      </c>
      <c r="I2174" t="s">
        <v>34</v>
      </c>
      <c r="J2174" t="s">
        <v>44</v>
      </c>
      <c r="K2174" t="s">
        <v>36</v>
      </c>
      <c r="L2174" t="s">
        <v>37</v>
      </c>
      <c r="M2174">
        <v>0</v>
      </c>
      <c r="N2174">
        <v>0</v>
      </c>
      <c r="O2174" s="5">
        <v>50677</v>
      </c>
      <c r="P2174" s="5">
        <v>50676</v>
      </c>
      <c r="Q2174">
        <f>32-10.5</f>
        <v>21.5</v>
      </c>
      <c r="R2174" t="s">
        <v>38</v>
      </c>
      <c r="T2174">
        <v>18</v>
      </c>
      <c r="U2174">
        <v>87.5</v>
      </c>
      <c r="V2174">
        <v>16</v>
      </c>
      <c r="W2174">
        <v>13.7</v>
      </c>
      <c r="X2174">
        <v>24.5</v>
      </c>
      <c r="Z2174" t="s">
        <v>39</v>
      </c>
      <c r="AB2174" t="s">
        <v>230</v>
      </c>
      <c r="AC2174" t="s">
        <v>41</v>
      </c>
    </row>
    <row r="2175" spans="1:29" x14ac:dyDescent="0.35">
      <c r="A2175" s="4">
        <v>42575</v>
      </c>
      <c r="B2175" t="s">
        <v>30</v>
      </c>
      <c r="C2175">
        <v>801</v>
      </c>
      <c r="D2175">
        <v>8</v>
      </c>
      <c r="E2175">
        <v>2</v>
      </c>
      <c r="F2175" t="s">
        <v>42</v>
      </c>
      <c r="G2175" t="s">
        <v>32</v>
      </c>
      <c r="H2175" t="s">
        <v>33</v>
      </c>
      <c r="I2175" t="s">
        <v>34</v>
      </c>
      <c r="J2175" t="s">
        <v>44</v>
      </c>
      <c r="K2175" t="s">
        <v>88</v>
      </c>
      <c r="L2175" t="s">
        <v>37</v>
      </c>
      <c r="M2175">
        <v>0</v>
      </c>
      <c r="N2175">
        <v>0</v>
      </c>
      <c r="O2175" s="5">
        <v>50695</v>
      </c>
      <c r="P2175" s="5"/>
      <c r="Q2175">
        <f>193-105</f>
        <v>88</v>
      </c>
      <c r="R2175" t="s">
        <v>64</v>
      </c>
      <c r="T2175">
        <v>30</v>
      </c>
      <c r="W2175">
        <v>22.7</v>
      </c>
      <c r="X2175">
        <v>42</v>
      </c>
      <c r="Z2175" t="s">
        <v>39</v>
      </c>
      <c r="AB2175" t="s">
        <v>230</v>
      </c>
      <c r="AC2175" t="s">
        <v>41</v>
      </c>
    </row>
    <row r="2176" spans="1:29" x14ac:dyDescent="0.35">
      <c r="A2176" s="4">
        <v>42575</v>
      </c>
      <c r="B2176" t="s">
        <v>30</v>
      </c>
      <c r="C2176">
        <v>901</v>
      </c>
      <c r="D2176">
        <v>3</v>
      </c>
      <c r="E2176">
        <v>2</v>
      </c>
      <c r="F2176" t="s">
        <v>42</v>
      </c>
      <c r="G2176" t="s">
        <v>32</v>
      </c>
      <c r="H2176" t="s">
        <v>33</v>
      </c>
      <c r="I2176" t="s">
        <v>34</v>
      </c>
      <c r="J2176" t="s">
        <v>44</v>
      </c>
      <c r="K2176" t="s">
        <v>36</v>
      </c>
      <c r="L2176" t="s">
        <v>37</v>
      </c>
      <c r="M2176">
        <v>0</v>
      </c>
      <c r="N2176">
        <v>0</v>
      </c>
      <c r="O2176" s="5">
        <v>50767</v>
      </c>
      <c r="P2176" s="5"/>
      <c r="Q2176">
        <f>200-105</f>
        <v>95</v>
      </c>
      <c r="R2176" t="s">
        <v>46</v>
      </c>
      <c r="T2176">
        <v>30.5</v>
      </c>
      <c r="W2176">
        <v>22</v>
      </c>
      <c r="X2176">
        <v>42.3</v>
      </c>
      <c r="Z2176" t="s">
        <v>39</v>
      </c>
      <c r="AB2176" t="s">
        <v>230</v>
      </c>
      <c r="AC2176" t="s">
        <v>41</v>
      </c>
    </row>
    <row r="2177" spans="1:30" x14ac:dyDescent="0.35">
      <c r="A2177" s="4">
        <v>42575</v>
      </c>
      <c r="B2177" t="s">
        <v>30</v>
      </c>
      <c r="C2177">
        <v>901</v>
      </c>
      <c r="D2177">
        <v>4</v>
      </c>
      <c r="E2177">
        <v>1</v>
      </c>
      <c r="F2177" t="s">
        <v>42</v>
      </c>
      <c r="G2177" t="s">
        <v>32</v>
      </c>
      <c r="H2177" t="s">
        <v>33</v>
      </c>
      <c r="I2177" t="s">
        <v>34</v>
      </c>
      <c r="J2177" t="s">
        <v>123</v>
      </c>
      <c r="O2177" s="5"/>
      <c r="P2177" s="5"/>
    </row>
    <row r="2178" spans="1:30" x14ac:dyDescent="0.35">
      <c r="A2178" s="4">
        <v>42575</v>
      </c>
      <c r="B2178" t="s">
        <v>30</v>
      </c>
      <c r="C2178">
        <v>303</v>
      </c>
      <c r="D2178">
        <v>2</v>
      </c>
      <c r="E2178">
        <v>1</v>
      </c>
      <c r="F2178" t="s">
        <v>31</v>
      </c>
      <c r="G2178" t="s">
        <v>32</v>
      </c>
      <c r="H2178" t="s">
        <v>33</v>
      </c>
      <c r="I2178" t="s">
        <v>58</v>
      </c>
      <c r="J2178" t="s">
        <v>44</v>
      </c>
      <c r="K2178" t="s">
        <v>36</v>
      </c>
      <c r="L2178" t="s">
        <v>37</v>
      </c>
      <c r="M2178">
        <v>0</v>
      </c>
      <c r="N2178">
        <v>0</v>
      </c>
      <c r="O2178" s="5">
        <v>50344</v>
      </c>
      <c r="P2178" s="5"/>
      <c r="Q2178">
        <v>24</v>
      </c>
      <c r="R2178" t="s">
        <v>38</v>
      </c>
      <c r="T2178">
        <v>17</v>
      </c>
      <c r="W2178">
        <v>12.8</v>
      </c>
      <c r="X2178">
        <v>26.8</v>
      </c>
      <c r="Z2178" t="s">
        <v>102</v>
      </c>
      <c r="AA2178" t="s">
        <v>276</v>
      </c>
      <c r="AB2178" t="s">
        <v>273</v>
      </c>
      <c r="AC2178" t="s">
        <v>41</v>
      </c>
    </row>
    <row r="2179" spans="1:30" x14ac:dyDescent="0.35">
      <c r="A2179" s="4">
        <v>42575</v>
      </c>
      <c r="B2179" t="s">
        <v>30</v>
      </c>
      <c r="C2179">
        <v>303</v>
      </c>
      <c r="D2179">
        <v>1</v>
      </c>
      <c r="E2179">
        <v>1</v>
      </c>
      <c r="F2179" t="s">
        <v>31</v>
      </c>
      <c r="G2179" t="s">
        <v>32</v>
      </c>
      <c r="H2179" t="s">
        <v>33</v>
      </c>
      <c r="I2179" t="s">
        <v>58</v>
      </c>
      <c r="J2179" t="s">
        <v>35</v>
      </c>
      <c r="M2179">
        <v>0</v>
      </c>
      <c r="N2179">
        <v>1</v>
      </c>
      <c r="O2179" s="5">
        <v>50347</v>
      </c>
      <c r="P2179" s="5"/>
      <c r="Q2179">
        <f>30.5-11</f>
        <v>19.5</v>
      </c>
      <c r="Z2179" t="s">
        <v>102</v>
      </c>
      <c r="AA2179" t="s">
        <v>201</v>
      </c>
      <c r="AB2179" t="s">
        <v>273</v>
      </c>
      <c r="AC2179" t="s">
        <v>41</v>
      </c>
      <c r="AD2179" t="s">
        <v>277</v>
      </c>
    </row>
    <row r="2180" spans="1:30" x14ac:dyDescent="0.35">
      <c r="A2180" s="4">
        <v>42575</v>
      </c>
      <c r="B2180" t="s">
        <v>30</v>
      </c>
      <c r="C2180">
        <v>303</v>
      </c>
      <c r="D2180">
        <v>7</v>
      </c>
      <c r="E2180">
        <v>1</v>
      </c>
      <c r="F2180" t="s">
        <v>31</v>
      </c>
      <c r="G2180" t="s">
        <v>32</v>
      </c>
      <c r="H2180" t="s">
        <v>33</v>
      </c>
      <c r="I2180" t="s">
        <v>58</v>
      </c>
      <c r="J2180" t="s">
        <v>44</v>
      </c>
      <c r="K2180" t="s">
        <v>36</v>
      </c>
      <c r="L2180" t="s">
        <v>37</v>
      </c>
      <c r="M2180">
        <v>0</v>
      </c>
      <c r="N2180">
        <v>0</v>
      </c>
      <c r="O2180" s="5">
        <v>50439</v>
      </c>
      <c r="P2180" s="5"/>
      <c r="Q2180">
        <f>33-12</f>
        <v>21</v>
      </c>
      <c r="R2180" t="s">
        <v>38</v>
      </c>
      <c r="T2180">
        <v>18</v>
      </c>
      <c r="W2180">
        <v>12.9</v>
      </c>
      <c r="X2180">
        <v>26.8</v>
      </c>
      <c r="Z2180" t="s">
        <v>102</v>
      </c>
      <c r="AA2180" t="s">
        <v>201</v>
      </c>
      <c r="AB2180" t="s">
        <v>273</v>
      </c>
      <c r="AC2180" t="s">
        <v>41</v>
      </c>
    </row>
    <row r="2181" spans="1:30" x14ac:dyDescent="0.35">
      <c r="A2181" s="4">
        <v>42575</v>
      </c>
      <c r="B2181" t="s">
        <v>30</v>
      </c>
      <c r="C2181">
        <v>703</v>
      </c>
      <c r="D2181">
        <v>5</v>
      </c>
      <c r="E2181">
        <v>2</v>
      </c>
      <c r="F2181" t="s">
        <v>42</v>
      </c>
      <c r="G2181" t="s">
        <v>32</v>
      </c>
      <c r="H2181" t="s">
        <v>33</v>
      </c>
      <c r="I2181" t="s">
        <v>58</v>
      </c>
      <c r="J2181" t="s">
        <v>44</v>
      </c>
      <c r="K2181" t="s">
        <v>36</v>
      </c>
      <c r="L2181" t="s">
        <v>45</v>
      </c>
      <c r="M2181">
        <v>0</v>
      </c>
      <c r="N2181">
        <v>0</v>
      </c>
      <c r="O2181" s="5">
        <v>50509</v>
      </c>
      <c r="P2181" s="5"/>
      <c r="Q2181">
        <f>32-9.5</f>
        <v>22.5</v>
      </c>
      <c r="R2181" t="s">
        <v>79</v>
      </c>
      <c r="S2181" t="s">
        <v>39</v>
      </c>
      <c r="T2181">
        <v>15</v>
      </c>
      <c r="W2181">
        <v>12.4</v>
      </c>
      <c r="X2181">
        <v>25</v>
      </c>
      <c r="Z2181" t="s">
        <v>102</v>
      </c>
      <c r="AB2181" t="s">
        <v>230</v>
      </c>
      <c r="AC2181" t="s">
        <v>41</v>
      </c>
    </row>
    <row r="2182" spans="1:30" x14ac:dyDescent="0.35">
      <c r="A2182" s="4">
        <v>42575</v>
      </c>
      <c r="B2182" t="s">
        <v>30</v>
      </c>
      <c r="C2182" s="6">
        <v>701</v>
      </c>
      <c r="D2182">
        <v>8</v>
      </c>
      <c r="E2182">
        <v>2</v>
      </c>
      <c r="F2182" t="s">
        <v>42</v>
      </c>
      <c r="G2182" t="s">
        <v>32</v>
      </c>
      <c r="H2182" t="s">
        <v>33</v>
      </c>
      <c r="I2182" t="s">
        <v>58</v>
      </c>
      <c r="J2182" t="s">
        <v>44</v>
      </c>
      <c r="K2182" t="s">
        <v>36</v>
      </c>
      <c r="L2182" t="s">
        <v>37</v>
      </c>
      <c r="M2182">
        <v>0</v>
      </c>
      <c r="N2182">
        <v>0</v>
      </c>
      <c r="O2182" s="5">
        <v>50515</v>
      </c>
      <c r="P2182" s="5"/>
      <c r="Q2182">
        <f>34-12</f>
        <v>22</v>
      </c>
      <c r="R2182" t="s">
        <v>38</v>
      </c>
      <c r="T2182">
        <v>17</v>
      </c>
      <c r="W2182">
        <v>12.8</v>
      </c>
      <c r="X2182">
        <v>26.2</v>
      </c>
      <c r="Z2182" t="s">
        <v>102</v>
      </c>
      <c r="AB2182" t="s">
        <v>230</v>
      </c>
      <c r="AC2182" t="s">
        <v>41</v>
      </c>
      <c r="AD2182" t="s">
        <v>278</v>
      </c>
    </row>
    <row r="2183" spans="1:30" x14ac:dyDescent="0.35">
      <c r="A2183" s="4">
        <v>42575</v>
      </c>
      <c r="B2183" t="s">
        <v>30</v>
      </c>
      <c r="C2183">
        <v>503</v>
      </c>
      <c r="D2183">
        <v>2</v>
      </c>
      <c r="E2183">
        <v>2</v>
      </c>
      <c r="F2183" t="s">
        <v>31</v>
      </c>
      <c r="G2183" t="s">
        <v>32</v>
      </c>
      <c r="H2183" t="s">
        <v>33</v>
      </c>
      <c r="I2183" t="s">
        <v>58</v>
      </c>
      <c r="J2183" t="s">
        <v>44</v>
      </c>
      <c r="K2183" t="s">
        <v>36</v>
      </c>
      <c r="L2183" t="s">
        <v>37</v>
      </c>
      <c r="M2183">
        <v>0</v>
      </c>
      <c r="N2183">
        <v>0</v>
      </c>
      <c r="O2183" s="5">
        <v>50579</v>
      </c>
      <c r="P2183" s="5"/>
      <c r="Q2183">
        <f>43-13.5</f>
        <v>29.5</v>
      </c>
      <c r="R2183" t="s">
        <v>38</v>
      </c>
      <c r="T2183">
        <v>17</v>
      </c>
      <c r="W2183">
        <v>12.9</v>
      </c>
      <c r="X2183">
        <v>27.1</v>
      </c>
      <c r="Z2183" t="s">
        <v>102</v>
      </c>
      <c r="AA2183" t="s">
        <v>201</v>
      </c>
      <c r="AB2183" t="s">
        <v>273</v>
      </c>
      <c r="AC2183" t="s">
        <v>41</v>
      </c>
    </row>
    <row r="2184" spans="1:30" x14ac:dyDescent="0.35">
      <c r="A2184" s="4">
        <v>42575</v>
      </c>
      <c r="B2184" t="s">
        <v>30</v>
      </c>
      <c r="C2184">
        <v>503</v>
      </c>
      <c r="D2184">
        <v>1</v>
      </c>
      <c r="E2184">
        <v>1</v>
      </c>
      <c r="F2184" t="s">
        <v>31</v>
      </c>
      <c r="G2184" t="s">
        <v>32</v>
      </c>
      <c r="H2184" t="s">
        <v>33</v>
      </c>
      <c r="I2184" t="s">
        <v>58</v>
      </c>
      <c r="J2184" t="s">
        <v>44</v>
      </c>
      <c r="K2184" t="s">
        <v>36</v>
      </c>
      <c r="L2184" t="s">
        <v>45</v>
      </c>
      <c r="M2184">
        <v>0</v>
      </c>
      <c r="N2184">
        <v>0</v>
      </c>
      <c r="O2184" s="5">
        <v>50633</v>
      </c>
      <c r="P2184" s="5"/>
      <c r="Q2184">
        <f>41.5-11.5</f>
        <v>30</v>
      </c>
      <c r="R2184" t="s">
        <v>119</v>
      </c>
      <c r="S2184" t="s">
        <v>39</v>
      </c>
      <c r="T2184">
        <v>16</v>
      </c>
      <c r="W2184">
        <v>12.9</v>
      </c>
      <c r="X2184">
        <v>27.9</v>
      </c>
      <c r="Z2184" t="s">
        <v>102</v>
      </c>
      <c r="AA2184" t="s">
        <v>201</v>
      </c>
      <c r="AB2184" t="s">
        <v>273</v>
      </c>
      <c r="AC2184" t="s">
        <v>41</v>
      </c>
    </row>
    <row r="2185" spans="1:30" x14ac:dyDescent="0.35">
      <c r="A2185" s="4">
        <v>42575</v>
      </c>
      <c r="B2185" t="s">
        <v>30</v>
      </c>
      <c r="C2185">
        <v>303</v>
      </c>
      <c r="D2185">
        <v>10</v>
      </c>
      <c r="E2185">
        <v>1</v>
      </c>
      <c r="F2185" t="s">
        <v>31</v>
      </c>
      <c r="G2185" t="s">
        <v>32</v>
      </c>
      <c r="H2185" t="s">
        <v>33</v>
      </c>
      <c r="I2185" t="s">
        <v>58</v>
      </c>
      <c r="J2185" t="s">
        <v>44</v>
      </c>
      <c r="K2185" t="s">
        <v>36</v>
      </c>
      <c r="L2185" t="s">
        <v>45</v>
      </c>
      <c r="M2185">
        <v>0</v>
      </c>
      <c r="N2185">
        <v>0</v>
      </c>
      <c r="O2185" s="5">
        <v>50738</v>
      </c>
      <c r="P2185" s="5"/>
      <c r="Q2185">
        <f>33-11</f>
        <v>22</v>
      </c>
      <c r="R2185" t="s">
        <v>61</v>
      </c>
      <c r="S2185" t="s">
        <v>39</v>
      </c>
      <c r="T2185">
        <v>17</v>
      </c>
      <c r="W2185">
        <v>12.9</v>
      </c>
      <c r="X2185">
        <v>27.1</v>
      </c>
      <c r="Z2185" t="s">
        <v>102</v>
      </c>
      <c r="AA2185" t="s">
        <v>201</v>
      </c>
      <c r="AB2185" t="s">
        <v>273</v>
      </c>
      <c r="AC2185" t="s">
        <v>41</v>
      </c>
    </row>
    <row r="2186" spans="1:30" x14ac:dyDescent="0.35">
      <c r="A2186" s="4">
        <v>42575</v>
      </c>
      <c r="B2186" t="s">
        <v>30</v>
      </c>
      <c r="C2186">
        <v>801</v>
      </c>
      <c r="D2186">
        <v>6</v>
      </c>
      <c r="E2186">
        <v>2</v>
      </c>
      <c r="F2186" t="s">
        <v>42</v>
      </c>
      <c r="G2186" t="s">
        <v>32</v>
      </c>
      <c r="H2186" t="s">
        <v>33</v>
      </c>
      <c r="I2186" t="s">
        <v>58</v>
      </c>
      <c r="J2186" t="s">
        <v>44</v>
      </c>
      <c r="K2186" t="s">
        <v>36</v>
      </c>
      <c r="L2186" t="s">
        <v>45</v>
      </c>
      <c r="M2186">
        <v>0</v>
      </c>
      <c r="N2186">
        <v>0</v>
      </c>
      <c r="O2186" s="5">
        <v>50756</v>
      </c>
      <c r="P2186" s="5"/>
      <c r="Q2186">
        <f>41-11.5</f>
        <v>29.5</v>
      </c>
      <c r="R2186" t="s">
        <v>74</v>
      </c>
      <c r="S2186" t="s">
        <v>102</v>
      </c>
      <c r="T2186">
        <v>17</v>
      </c>
      <c r="W2186">
        <v>13.7</v>
      </c>
      <c r="X2186">
        <v>28.3</v>
      </c>
      <c r="Z2186" t="s">
        <v>39</v>
      </c>
      <c r="AB2186" t="s">
        <v>230</v>
      </c>
      <c r="AC2186" t="s">
        <v>41</v>
      </c>
    </row>
    <row r="2187" spans="1:30" x14ac:dyDescent="0.35">
      <c r="A2187" s="4">
        <v>42575</v>
      </c>
      <c r="B2187" t="s">
        <v>30</v>
      </c>
      <c r="C2187">
        <v>701</v>
      </c>
      <c r="D2187">
        <v>4</v>
      </c>
      <c r="E2187">
        <v>1</v>
      </c>
      <c r="F2187" t="s">
        <v>42</v>
      </c>
      <c r="G2187" t="s">
        <v>32</v>
      </c>
      <c r="H2187" t="s">
        <v>33</v>
      </c>
      <c r="I2187" t="s">
        <v>58</v>
      </c>
      <c r="J2187" t="s">
        <v>44</v>
      </c>
      <c r="K2187" t="s">
        <v>36</v>
      </c>
      <c r="L2187" t="s">
        <v>45</v>
      </c>
      <c r="M2187">
        <v>0</v>
      </c>
      <c r="N2187">
        <v>0</v>
      </c>
      <c r="O2187" s="5">
        <v>50759</v>
      </c>
      <c r="P2187" s="5"/>
      <c r="Q2187">
        <f>35-8</f>
        <v>27</v>
      </c>
      <c r="R2187" t="s">
        <v>77</v>
      </c>
      <c r="S2187" t="s">
        <v>39</v>
      </c>
      <c r="T2187">
        <v>17</v>
      </c>
      <c r="W2187">
        <v>13.7</v>
      </c>
      <c r="X2187">
        <v>26.6</v>
      </c>
      <c r="Z2187" t="s">
        <v>102</v>
      </c>
      <c r="AB2187" t="s">
        <v>230</v>
      </c>
      <c r="AC2187" t="s">
        <v>41</v>
      </c>
    </row>
    <row r="2188" spans="1:30" x14ac:dyDescent="0.35">
      <c r="A2188" s="4">
        <v>42575</v>
      </c>
      <c r="B2188" t="s">
        <v>30</v>
      </c>
      <c r="C2188">
        <v>703</v>
      </c>
      <c r="D2188">
        <v>7</v>
      </c>
      <c r="E2188">
        <v>2</v>
      </c>
      <c r="F2188" t="s">
        <v>42</v>
      </c>
      <c r="G2188" t="s">
        <v>32</v>
      </c>
      <c r="H2188" t="s">
        <v>33</v>
      </c>
      <c r="I2188" t="s">
        <v>58</v>
      </c>
      <c r="J2188" t="s">
        <v>44</v>
      </c>
      <c r="K2188" t="s">
        <v>88</v>
      </c>
      <c r="L2188" t="s">
        <v>37</v>
      </c>
      <c r="M2188">
        <v>0</v>
      </c>
      <c r="N2188">
        <v>0</v>
      </c>
      <c r="O2188" s="5">
        <v>50764</v>
      </c>
      <c r="P2188" s="5"/>
      <c r="Q2188">
        <f>28.5-11</f>
        <v>17.5</v>
      </c>
      <c r="R2188" t="s">
        <v>46</v>
      </c>
      <c r="S2188" t="s">
        <v>39</v>
      </c>
      <c r="T2188">
        <v>17</v>
      </c>
      <c r="W2188">
        <v>12.65</v>
      </c>
      <c r="X2188">
        <v>23.8</v>
      </c>
      <c r="Z2188" t="s">
        <v>102</v>
      </c>
      <c r="AB2188" t="s">
        <v>230</v>
      </c>
      <c r="AC2188" t="s">
        <v>41</v>
      </c>
    </row>
    <row r="2189" spans="1:30" x14ac:dyDescent="0.35">
      <c r="A2189" s="4">
        <v>42575</v>
      </c>
      <c r="B2189" t="s">
        <v>30</v>
      </c>
      <c r="C2189">
        <v>501</v>
      </c>
      <c r="D2189">
        <v>3</v>
      </c>
      <c r="E2189">
        <v>2</v>
      </c>
      <c r="F2189" t="s">
        <v>31</v>
      </c>
      <c r="G2189" t="s">
        <v>32</v>
      </c>
      <c r="H2189" t="s">
        <v>33</v>
      </c>
      <c r="I2189" t="s">
        <v>58</v>
      </c>
      <c r="J2189" t="s">
        <v>44</v>
      </c>
      <c r="K2189" t="s">
        <v>36</v>
      </c>
      <c r="L2189" t="s">
        <v>45</v>
      </c>
      <c r="M2189">
        <v>0</v>
      </c>
      <c r="N2189">
        <v>0</v>
      </c>
      <c r="O2189" s="5" t="s">
        <v>279</v>
      </c>
      <c r="P2189" s="5"/>
      <c r="Q2189">
        <f>40-10</f>
        <v>30</v>
      </c>
      <c r="R2189" t="s">
        <v>145</v>
      </c>
      <c r="S2189" t="s">
        <v>102</v>
      </c>
      <c r="T2189">
        <v>18</v>
      </c>
      <c r="W2189">
        <v>12.7</v>
      </c>
      <c r="X2189">
        <v>27.5</v>
      </c>
      <c r="Z2189" t="s">
        <v>102</v>
      </c>
      <c r="AA2189" t="s">
        <v>280</v>
      </c>
      <c r="AB2189" t="s">
        <v>273</v>
      </c>
      <c r="AC2189" t="s">
        <v>41</v>
      </c>
    </row>
    <row r="2190" spans="1:30" x14ac:dyDescent="0.35">
      <c r="A2190" s="4">
        <v>42575</v>
      </c>
      <c r="B2190" t="s">
        <v>30</v>
      </c>
      <c r="C2190">
        <v>501</v>
      </c>
      <c r="D2190">
        <v>8</v>
      </c>
      <c r="E2190">
        <v>2</v>
      </c>
      <c r="F2190" t="s">
        <v>31</v>
      </c>
      <c r="G2190" t="s">
        <v>32</v>
      </c>
      <c r="H2190" t="s">
        <v>33</v>
      </c>
      <c r="I2190" t="s">
        <v>55</v>
      </c>
      <c r="J2190" t="s">
        <v>66</v>
      </c>
      <c r="O2190" s="5"/>
      <c r="P2190" s="5"/>
    </row>
    <row r="2191" spans="1:30" x14ac:dyDescent="0.35">
      <c r="A2191" s="4">
        <v>42575</v>
      </c>
      <c r="B2191" t="s">
        <v>30</v>
      </c>
      <c r="C2191">
        <v>503</v>
      </c>
      <c r="D2191">
        <v>6</v>
      </c>
      <c r="E2191">
        <v>1</v>
      </c>
      <c r="F2191" t="s">
        <v>31</v>
      </c>
      <c r="G2191" t="s">
        <v>32</v>
      </c>
      <c r="H2191" t="s">
        <v>33</v>
      </c>
      <c r="I2191" t="s">
        <v>55</v>
      </c>
      <c r="J2191" t="s">
        <v>66</v>
      </c>
      <c r="O2191" s="5"/>
      <c r="P2191" s="5"/>
    </row>
    <row r="2192" spans="1:30" x14ac:dyDescent="0.35">
      <c r="A2192" s="4">
        <v>42575</v>
      </c>
      <c r="B2192" t="s">
        <v>30</v>
      </c>
      <c r="C2192">
        <v>503</v>
      </c>
      <c r="D2192">
        <v>10</v>
      </c>
      <c r="E2192">
        <v>1</v>
      </c>
      <c r="F2192" t="s">
        <v>31</v>
      </c>
      <c r="G2192" t="s">
        <v>32</v>
      </c>
      <c r="H2192" t="s">
        <v>33</v>
      </c>
      <c r="I2192" t="s">
        <v>55</v>
      </c>
      <c r="J2192" t="s">
        <v>66</v>
      </c>
      <c r="O2192" s="5"/>
      <c r="P2192" s="5"/>
    </row>
    <row r="2193" spans="1:16" x14ac:dyDescent="0.35">
      <c r="A2193" s="4">
        <v>42575</v>
      </c>
      <c r="B2193" t="s">
        <v>30</v>
      </c>
      <c r="C2193">
        <v>401</v>
      </c>
      <c r="D2193">
        <v>5</v>
      </c>
      <c r="E2193">
        <v>2</v>
      </c>
      <c r="F2193" t="s">
        <v>31</v>
      </c>
      <c r="G2193" t="s">
        <v>32</v>
      </c>
      <c r="H2193" t="s">
        <v>33</v>
      </c>
      <c r="I2193" t="s">
        <v>55</v>
      </c>
      <c r="J2193" t="s">
        <v>66</v>
      </c>
      <c r="O2193" s="5"/>
      <c r="P2193" s="5"/>
    </row>
    <row r="2194" spans="1:16" x14ac:dyDescent="0.35">
      <c r="A2194" s="4">
        <v>42575</v>
      </c>
      <c r="B2194" t="s">
        <v>30</v>
      </c>
      <c r="C2194">
        <v>703</v>
      </c>
      <c r="D2194">
        <v>10</v>
      </c>
      <c r="E2194">
        <v>1</v>
      </c>
      <c r="F2194" t="s">
        <v>42</v>
      </c>
      <c r="G2194" t="s">
        <v>32</v>
      </c>
      <c r="H2194" t="s">
        <v>33</v>
      </c>
      <c r="I2194" t="s">
        <v>55</v>
      </c>
      <c r="J2194" t="s">
        <v>123</v>
      </c>
      <c r="O2194" s="5"/>
      <c r="P2194" s="5"/>
    </row>
    <row r="2195" spans="1:16" x14ac:dyDescent="0.35">
      <c r="A2195" s="4">
        <v>42575</v>
      </c>
      <c r="B2195" t="s">
        <v>30</v>
      </c>
      <c r="C2195">
        <v>701</v>
      </c>
      <c r="D2195">
        <v>8</v>
      </c>
      <c r="E2195">
        <v>1</v>
      </c>
      <c r="F2195" t="s">
        <v>42</v>
      </c>
      <c r="G2195" t="s">
        <v>32</v>
      </c>
      <c r="H2195" t="s">
        <v>33</v>
      </c>
      <c r="I2195" t="s">
        <v>55</v>
      </c>
      <c r="J2195" t="s">
        <v>66</v>
      </c>
      <c r="O2195" s="5"/>
      <c r="P2195" s="5"/>
    </row>
    <row r="2196" spans="1:16" x14ac:dyDescent="0.35">
      <c r="A2196" s="4">
        <v>42575</v>
      </c>
      <c r="B2196" t="s">
        <v>30</v>
      </c>
      <c r="C2196">
        <v>503</v>
      </c>
      <c r="D2196">
        <v>10</v>
      </c>
      <c r="E2196">
        <v>2</v>
      </c>
      <c r="F2196" t="s">
        <v>31</v>
      </c>
      <c r="G2196" t="s">
        <v>32</v>
      </c>
      <c r="H2196" t="s">
        <v>33</v>
      </c>
      <c r="I2196" t="s">
        <v>72</v>
      </c>
      <c r="J2196" t="s">
        <v>123</v>
      </c>
      <c r="O2196" s="5"/>
      <c r="P2196" s="5"/>
    </row>
    <row r="2197" spans="1:16" x14ac:dyDescent="0.35">
      <c r="A2197" s="4">
        <v>42575</v>
      </c>
      <c r="B2197" t="s">
        <v>30</v>
      </c>
      <c r="C2197">
        <v>501</v>
      </c>
      <c r="D2197">
        <v>4</v>
      </c>
      <c r="E2197">
        <v>1</v>
      </c>
      <c r="F2197" t="s">
        <v>31</v>
      </c>
      <c r="G2197" t="s">
        <v>32</v>
      </c>
      <c r="H2197" t="s">
        <v>33</v>
      </c>
      <c r="I2197" t="s">
        <v>84</v>
      </c>
      <c r="O2197" s="5"/>
      <c r="P2197" s="5"/>
    </row>
    <row r="2198" spans="1:16" x14ac:dyDescent="0.35">
      <c r="A2198" s="4">
        <v>42575</v>
      </c>
      <c r="B2198" t="s">
        <v>30</v>
      </c>
      <c r="C2198">
        <v>501</v>
      </c>
      <c r="D2198">
        <v>2</v>
      </c>
      <c r="E2198">
        <v>1</v>
      </c>
      <c r="F2198" t="s">
        <v>31</v>
      </c>
      <c r="G2198" t="s">
        <v>32</v>
      </c>
      <c r="H2198" t="s">
        <v>33</v>
      </c>
      <c r="I2198" t="s">
        <v>59</v>
      </c>
      <c r="O2198" s="5"/>
      <c r="P2198" s="5"/>
    </row>
    <row r="2199" spans="1:16" x14ac:dyDescent="0.35">
      <c r="A2199" s="4">
        <v>42575</v>
      </c>
      <c r="B2199" t="s">
        <v>30</v>
      </c>
      <c r="C2199">
        <v>501</v>
      </c>
      <c r="D2199">
        <v>2</v>
      </c>
      <c r="E2199">
        <v>2</v>
      </c>
      <c r="F2199" t="s">
        <v>31</v>
      </c>
      <c r="G2199" t="s">
        <v>32</v>
      </c>
      <c r="H2199" t="s">
        <v>33</v>
      </c>
      <c r="I2199" t="s">
        <v>59</v>
      </c>
      <c r="O2199" s="5"/>
      <c r="P2199" s="5"/>
    </row>
    <row r="2200" spans="1:16" x14ac:dyDescent="0.35">
      <c r="A2200" s="4">
        <v>42575</v>
      </c>
      <c r="B2200" t="s">
        <v>30</v>
      </c>
      <c r="C2200">
        <v>501</v>
      </c>
      <c r="D2200">
        <v>3</v>
      </c>
      <c r="E2200">
        <v>1</v>
      </c>
      <c r="F2200" t="s">
        <v>31</v>
      </c>
      <c r="G2200" t="s">
        <v>32</v>
      </c>
      <c r="H2200" t="s">
        <v>33</v>
      </c>
      <c r="I2200" t="s">
        <v>59</v>
      </c>
      <c r="O2200" s="5"/>
      <c r="P2200" s="5"/>
    </row>
    <row r="2201" spans="1:16" x14ac:dyDescent="0.35">
      <c r="A2201" s="4">
        <v>42575</v>
      </c>
      <c r="B2201" t="s">
        <v>30</v>
      </c>
      <c r="C2201">
        <v>501</v>
      </c>
      <c r="D2201">
        <v>4</v>
      </c>
      <c r="E2201">
        <v>2</v>
      </c>
      <c r="F2201" t="s">
        <v>31</v>
      </c>
      <c r="G2201" t="s">
        <v>32</v>
      </c>
      <c r="H2201" t="s">
        <v>33</v>
      </c>
      <c r="I2201" t="s">
        <v>59</v>
      </c>
      <c r="O2201" s="5"/>
      <c r="P2201" s="5"/>
    </row>
    <row r="2202" spans="1:16" x14ac:dyDescent="0.35">
      <c r="A2202" s="4">
        <v>42575</v>
      </c>
      <c r="B2202" t="s">
        <v>30</v>
      </c>
      <c r="C2202">
        <v>501</v>
      </c>
      <c r="D2202">
        <v>5</v>
      </c>
      <c r="E2202">
        <v>1</v>
      </c>
      <c r="F2202" t="s">
        <v>31</v>
      </c>
      <c r="G2202" t="s">
        <v>32</v>
      </c>
      <c r="H2202" t="s">
        <v>33</v>
      </c>
      <c r="I2202" t="s">
        <v>59</v>
      </c>
      <c r="O2202" s="5"/>
      <c r="P2202" s="5"/>
    </row>
    <row r="2203" spans="1:16" x14ac:dyDescent="0.35">
      <c r="A2203" s="4">
        <v>42575</v>
      </c>
      <c r="B2203" t="s">
        <v>30</v>
      </c>
      <c r="C2203">
        <v>501</v>
      </c>
      <c r="D2203">
        <v>5</v>
      </c>
      <c r="E2203">
        <v>2</v>
      </c>
      <c r="F2203" t="s">
        <v>31</v>
      </c>
      <c r="G2203" t="s">
        <v>32</v>
      </c>
      <c r="H2203" t="s">
        <v>33</v>
      </c>
      <c r="I2203" t="s">
        <v>59</v>
      </c>
      <c r="O2203" s="5"/>
      <c r="P2203" s="5"/>
    </row>
    <row r="2204" spans="1:16" x14ac:dyDescent="0.35">
      <c r="A2204" s="4">
        <v>42575</v>
      </c>
      <c r="B2204" t="s">
        <v>30</v>
      </c>
      <c r="C2204">
        <v>501</v>
      </c>
      <c r="D2204">
        <v>6</v>
      </c>
      <c r="E2204">
        <v>1</v>
      </c>
      <c r="F2204" t="s">
        <v>31</v>
      </c>
      <c r="G2204" t="s">
        <v>32</v>
      </c>
      <c r="H2204" t="s">
        <v>33</v>
      </c>
      <c r="I2204" t="s">
        <v>59</v>
      </c>
      <c r="O2204" s="5"/>
      <c r="P2204" s="5"/>
    </row>
    <row r="2205" spans="1:16" x14ac:dyDescent="0.35">
      <c r="A2205" s="4">
        <v>42575</v>
      </c>
      <c r="B2205" t="s">
        <v>30</v>
      </c>
      <c r="C2205">
        <v>501</v>
      </c>
      <c r="D2205">
        <v>7</v>
      </c>
      <c r="E2205">
        <v>1</v>
      </c>
      <c r="F2205" t="s">
        <v>31</v>
      </c>
      <c r="G2205" t="s">
        <v>32</v>
      </c>
      <c r="H2205" t="s">
        <v>33</v>
      </c>
      <c r="I2205" t="s">
        <v>59</v>
      </c>
      <c r="O2205" s="5"/>
      <c r="P2205" s="5"/>
    </row>
    <row r="2206" spans="1:16" x14ac:dyDescent="0.35">
      <c r="A2206" s="4">
        <v>42575</v>
      </c>
      <c r="B2206" t="s">
        <v>30</v>
      </c>
      <c r="C2206">
        <v>501</v>
      </c>
      <c r="D2206">
        <v>8</v>
      </c>
      <c r="E2206">
        <v>1</v>
      </c>
      <c r="F2206" t="s">
        <v>31</v>
      </c>
      <c r="G2206" t="s">
        <v>32</v>
      </c>
      <c r="H2206" t="s">
        <v>33</v>
      </c>
      <c r="I2206" t="s">
        <v>59</v>
      </c>
      <c r="O2206" s="5"/>
      <c r="P2206" s="5"/>
    </row>
    <row r="2207" spans="1:16" x14ac:dyDescent="0.35">
      <c r="A2207" s="4">
        <v>42575</v>
      </c>
      <c r="B2207" t="s">
        <v>30</v>
      </c>
      <c r="C2207">
        <v>501</v>
      </c>
      <c r="D2207">
        <v>9</v>
      </c>
      <c r="E2207">
        <v>1</v>
      </c>
      <c r="F2207" t="s">
        <v>31</v>
      </c>
      <c r="G2207" t="s">
        <v>32</v>
      </c>
      <c r="H2207" t="s">
        <v>33</v>
      </c>
      <c r="I2207" t="s">
        <v>59</v>
      </c>
      <c r="O2207" s="5"/>
      <c r="P2207" s="5"/>
    </row>
    <row r="2208" spans="1:16" x14ac:dyDescent="0.35">
      <c r="A2208" s="4">
        <v>42575</v>
      </c>
      <c r="B2208" t="s">
        <v>30</v>
      </c>
      <c r="C2208">
        <v>501</v>
      </c>
      <c r="D2208">
        <v>10</v>
      </c>
      <c r="E2208">
        <v>1</v>
      </c>
      <c r="F2208" t="s">
        <v>31</v>
      </c>
      <c r="G2208" t="s">
        <v>32</v>
      </c>
      <c r="H2208" t="s">
        <v>33</v>
      </c>
      <c r="I2208" t="s">
        <v>59</v>
      </c>
      <c r="O2208" s="5"/>
      <c r="P2208" s="5"/>
    </row>
    <row r="2209" spans="1:16" x14ac:dyDescent="0.35">
      <c r="A2209" s="4">
        <v>42575</v>
      </c>
      <c r="B2209" t="s">
        <v>30</v>
      </c>
      <c r="C2209">
        <v>503</v>
      </c>
      <c r="D2209">
        <v>1</v>
      </c>
      <c r="E2209">
        <v>2</v>
      </c>
      <c r="F2209" t="s">
        <v>31</v>
      </c>
      <c r="G2209" t="s">
        <v>32</v>
      </c>
      <c r="H2209" t="s">
        <v>33</v>
      </c>
      <c r="I2209" t="s">
        <v>59</v>
      </c>
      <c r="O2209" s="5"/>
      <c r="P2209" s="5"/>
    </row>
    <row r="2210" spans="1:16" x14ac:dyDescent="0.35">
      <c r="A2210" s="4">
        <v>42575</v>
      </c>
      <c r="B2210" t="s">
        <v>30</v>
      </c>
      <c r="C2210">
        <v>503</v>
      </c>
      <c r="D2210">
        <v>2</v>
      </c>
      <c r="E2210">
        <v>1</v>
      </c>
      <c r="F2210" t="s">
        <v>31</v>
      </c>
      <c r="G2210" t="s">
        <v>32</v>
      </c>
      <c r="H2210" t="s">
        <v>33</v>
      </c>
      <c r="I2210" t="s">
        <v>59</v>
      </c>
      <c r="O2210" s="5"/>
      <c r="P2210" s="5"/>
    </row>
    <row r="2211" spans="1:16" x14ac:dyDescent="0.35">
      <c r="A2211" s="4">
        <v>42575</v>
      </c>
      <c r="B2211" t="s">
        <v>30</v>
      </c>
      <c r="C2211">
        <v>503</v>
      </c>
      <c r="D2211">
        <v>4</v>
      </c>
      <c r="E2211">
        <v>1</v>
      </c>
      <c r="F2211" t="s">
        <v>31</v>
      </c>
      <c r="G2211" t="s">
        <v>32</v>
      </c>
      <c r="H2211" t="s">
        <v>33</v>
      </c>
      <c r="I2211" t="s">
        <v>59</v>
      </c>
      <c r="O2211" s="5"/>
      <c r="P2211" s="5"/>
    </row>
    <row r="2212" spans="1:16" x14ac:dyDescent="0.35">
      <c r="A2212" s="4">
        <v>42575</v>
      </c>
      <c r="B2212" t="s">
        <v>30</v>
      </c>
      <c r="C2212">
        <v>503</v>
      </c>
      <c r="D2212">
        <v>7</v>
      </c>
      <c r="E2212">
        <v>1</v>
      </c>
      <c r="F2212" t="s">
        <v>31</v>
      </c>
      <c r="G2212" t="s">
        <v>32</v>
      </c>
      <c r="H2212" t="s">
        <v>33</v>
      </c>
      <c r="I2212" t="s">
        <v>59</v>
      </c>
      <c r="O2212" s="5"/>
      <c r="P2212" s="5"/>
    </row>
    <row r="2213" spans="1:16" x14ac:dyDescent="0.35">
      <c r="A2213" s="4">
        <v>42575</v>
      </c>
      <c r="B2213" t="s">
        <v>30</v>
      </c>
      <c r="C2213">
        <v>503</v>
      </c>
      <c r="D2213">
        <v>8</v>
      </c>
      <c r="E2213">
        <v>1</v>
      </c>
      <c r="F2213" t="s">
        <v>31</v>
      </c>
      <c r="G2213" t="s">
        <v>32</v>
      </c>
      <c r="H2213" t="s">
        <v>33</v>
      </c>
      <c r="I2213" t="s">
        <v>59</v>
      </c>
      <c r="O2213" s="5"/>
      <c r="P2213" s="5"/>
    </row>
    <row r="2214" spans="1:16" x14ac:dyDescent="0.35">
      <c r="A2214" s="4">
        <v>42575</v>
      </c>
      <c r="B2214" t="s">
        <v>30</v>
      </c>
      <c r="C2214">
        <v>503</v>
      </c>
      <c r="D2214">
        <v>9</v>
      </c>
      <c r="E2214">
        <v>1</v>
      </c>
      <c r="F2214" t="s">
        <v>31</v>
      </c>
      <c r="G2214" t="s">
        <v>32</v>
      </c>
      <c r="H2214" t="s">
        <v>33</v>
      </c>
      <c r="I2214" t="s">
        <v>59</v>
      </c>
      <c r="O2214" s="5"/>
      <c r="P2214" s="5"/>
    </row>
    <row r="2215" spans="1:16" x14ac:dyDescent="0.35">
      <c r="A2215" s="4">
        <v>42575</v>
      </c>
      <c r="B2215" t="s">
        <v>30</v>
      </c>
      <c r="C2215">
        <v>303</v>
      </c>
      <c r="D2215">
        <v>3</v>
      </c>
      <c r="E2215">
        <v>1</v>
      </c>
      <c r="F2215" t="s">
        <v>31</v>
      </c>
      <c r="G2215" t="s">
        <v>32</v>
      </c>
      <c r="H2215" t="s">
        <v>33</v>
      </c>
      <c r="I2215" t="s">
        <v>59</v>
      </c>
      <c r="O2215" s="5"/>
      <c r="P2215" s="5"/>
    </row>
    <row r="2216" spans="1:16" x14ac:dyDescent="0.35">
      <c r="A2216" s="4">
        <v>42575</v>
      </c>
      <c r="B2216" t="s">
        <v>30</v>
      </c>
      <c r="C2216">
        <v>303</v>
      </c>
      <c r="D2216">
        <v>8</v>
      </c>
      <c r="E2216">
        <v>1</v>
      </c>
      <c r="F2216" t="s">
        <v>31</v>
      </c>
      <c r="G2216" t="s">
        <v>32</v>
      </c>
      <c r="H2216" t="s">
        <v>33</v>
      </c>
      <c r="I2216" t="s">
        <v>59</v>
      </c>
      <c r="O2216" s="5"/>
      <c r="P2216" s="5"/>
    </row>
    <row r="2217" spans="1:16" x14ac:dyDescent="0.35">
      <c r="A2217" s="4">
        <v>42575</v>
      </c>
      <c r="B2217" t="s">
        <v>30</v>
      </c>
      <c r="C2217">
        <v>303</v>
      </c>
      <c r="D2217">
        <v>9</v>
      </c>
      <c r="E2217">
        <v>1</v>
      </c>
      <c r="F2217" t="s">
        <v>31</v>
      </c>
      <c r="G2217" t="s">
        <v>32</v>
      </c>
      <c r="H2217" t="s">
        <v>33</v>
      </c>
      <c r="I2217" t="s">
        <v>59</v>
      </c>
      <c r="O2217" s="5"/>
      <c r="P2217" s="5"/>
    </row>
    <row r="2218" spans="1:16" x14ac:dyDescent="0.35">
      <c r="A2218" s="4">
        <v>42575</v>
      </c>
      <c r="B2218" t="s">
        <v>30</v>
      </c>
      <c r="C2218">
        <v>303</v>
      </c>
      <c r="D2218">
        <v>9</v>
      </c>
      <c r="E2218">
        <v>2</v>
      </c>
      <c r="F2218" t="s">
        <v>31</v>
      </c>
      <c r="G2218" t="s">
        <v>32</v>
      </c>
      <c r="H2218" t="s">
        <v>33</v>
      </c>
      <c r="I2218" t="s">
        <v>59</v>
      </c>
      <c r="O2218" s="5"/>
      <c r="P2218" s="5"/>
    </row>
    <row r="2219" spans="1:16" x14ac:dyDescent="0.35">
      <c r="A2219" s="4">
        <v>42575</v>
      </c>
      <c r="B2219" t="s">
        <v>30</v>
      </c>
      <c r="C2219">
        <v>401</v>
      </c>
      <c r="D2219">
        <v>1</v>
      </c>
      <c r="E2219">
        <v>1</v>
      </c>
      <c r="F2219" t="s">
        <v>31</v>
      </c>
      <c r="G2219" t="s">
        <v>32</v>
      </c>
      <c r="H2219" t="s">
        <v>33</v>
      </c>
      <c r="I2219" t="s">
        <v>59</v>
      </c>
      <c r="O2219" s="5"/>
      <c r="P2219" s="5"/>
    </row>
    <row r="2220" spans="1:16" x14ac:dyDescent="0.35">
      <c r="A2220" s="4">
        <v>42575</v>
      </c>
      <c r="B2220" t="s">
        <v>30</v>
      </c>
      <c r="C2220">
        <v>401</v>
      </c>
      <c r="D2220">
        <v>5</v>
      </c>
      <c r="E2220">
        <v>1</v>
      </c>
      <c r="F2220" t="s">
        <v>31</v>
      </c>
      <c r="G2220" t="s">
        <v>32</v>
      </c>
      <c r="H2220" t="s">
        <v>33</v>
      </c>
      <c r="I2220" t="s">
        <v>59</v>
      </c>
      <c r="O2220" s="5"/>
      <c r="P2220" s="5"/>
    </row>
    <row r="2221" spans="1:16" x14ac:dyDescent="0.35">
      <c r="A2221" s="4">
        <v>42575</v>
      </c>
      <c r="B2221" t="s">
        <v>30</v>
      </c>
      <c r="C2221">
        <v>703</v>
      </c>
      <c r="D2221">
        <v>1</v>
      </c>
      <c r="E2221">
        <v>1</v>
      </c>
      <c r="F2221" t="s">
        <v>42</v>
      </c>
      <c r="G2221" t="s">
        <v>32</v>
      </c>
      <c r="H2221" t="s">
        <v>33</v>
      </c>
      <c r="I2221" t="s">
        <v>59</v>
      </c>
      <c r="O2221" s="5"/>
      <c r="P2221" s="5"/>
    </row>
    <row r="2222" spans="1:16" x14ac:dyDescent="0.35">
      <c r="A2222" s="4">
        <v>42575</v>
      </c>
      <c r="B2222" t="s">
        <v>30</v>
      </c>
      <c r="C2222">
        <v>703</v>
      </c>
      <c r="D2222">
        <v>2</v>
      </c>
      <c r="E2222">
        <v>1</v>
      </c>
      <c r="F2222" t="s">
        <v>42</v>
      </c>
      <c r="G2222" t="s">
        <v>32</v>
      </c>
      <c r="H2222" t="s">
        <v>33</v>
      </c>
      <c r="I2222" t="s">
        <v>59</v>
      </c>
      <c r="O2222" s="5"/>
      <c r="P2222" s="5"/>
    </row>
    <row r="2223" spans="1:16" x14ac:dyDescent="0.35">
      <c r="A2223" s="4">
        <v>42575</v>
      </c>
      <c r="B2223" t="s">
        <v>30</v>
      </c>
      <c r="C2223">
        <v>703</v>
      </c>
      <c r="D2223">
        <v>3</v>
      </c>
      <c r="E2223">
        <v>1</v>
      </c>
      <c r="F2223" t="s">
        <v>42</v>
      </c>
      <c r="G2223" t="s">
        <v>32</v>
      </c>
      <c r="H2223" t="s">
        <v>33</v>
      </c>
      <c r="I2223" t="s">
        <v>59</v>
      </c>
      <c r="O2223" s="5"/>
      <c r="P2223" s="5"/>
    </row>
    <row r="2224" spans="1:16" x14ac:dyDescent="0.35">
      <c r="A2224" s="4">
        <v>42575</v>
      </c>
      <c r="B2224" t="s">
        <v>30</v>
      </c>
      <c r="C2224">
        <v>703</v>
      </c>
      <c r="D2224">
        <v>4</v>
      </c>
      <c r="E2224">
        <v>1</v>
      </c>
      <c r="F2224" t="s">
        <v>42</v>
      </c>
      <c r="G2224" t="s">
        <v>32</v>
      </c>
      <c r="H2224" t="s">
        <v>33</v>
      </c>
      <c r="I2224" t="s">
        <v>59</v>
      </c>
      <c r="O2224" s="5"/>
      <c r="P2224" s="5"/>
    </row>
    <row r="2225" spans="1:16" x14ac:dyDescent="0.35">
      <c r="A2225" s="4">
        <v>42575</v>
      </c>
      <c r="B2225" t="s">
        <v>30</v>
      </c>
      <c r="C2225">
        <v>703</v>
      </c>
      <c r="D2225">
        <v>5</v>
      </c>
      <c r="E2225">
        <v>1</v>
      </c>
      <c r="F2225" t="s">
        <v>42</v>
      </c>
      <c r="G2225" t="s">
        <v>32</v>
      </c>
      <c r="H2225" t="s">
        <v>33</v>
      </c>
      <c r="I2225" t="s">
        <v>59</v>
      </c>
      <c r="O2225" s="5"/>
      <c r="P2225" s="5"/>
    </row>
    <row r="2226" spans="1:16" x14ac:dyDescent="0.35">
      <c r="A2226" s="4">
        <v>42575</v>
      </c>
      <c r="B2226" t="s">
        <v>30</v>
      </c>
      <c r="C2226">
        <v>703</v>
      </c>
      <c r="D2226">
        <v>7</v>
      </c>
      <c r="E2226">
        <v>1</v>
      </c>
      <c r="F2226" t="s">
        <v>42</v>
      </c>
      <c r="G2226" t="s">
        <v>32</v>
      </c>
      <c r="H2226" t="s">
        <v>33</v>
      </c>
      <c r="I2226" t="s">
        <v>59</v>
      </c>
      <c r="O2226" s="5"/>
      <c r="P2226" s="5"/>
    </row>
    <row r="2227" spans="1:16" x14ac:dyDescent="0.35">
      <c r="A2227" s="4">
        <v>42575</v>
      </c>
      <c r="B2227" t="s">
        <v>30</v>
      </c>
      <c r="C2227">
        <v>703</v>
      </c>
      <c r="D2227">
        <v>8</v>
      </c>
      <c r="E2227">
        <v>1</v>
      </c>
      <c r="F2227" t="s">
        <v>42</v>
      </c>
      <c r="G2227" t="s">
        <v>32</v>
      </c>
      <c r="H2227" t="s">
        <v>33</v>
      </c>
      <c r="I2227" t="s">
        <v>59</v>
      </c>
      <c r="O2227" s="5"/>
      <c r="P2227" s="5"/>
    </row>
    <row r="2228" spans="1:16" x14ac:dyDescent="0.35">
      <c r="A2228" s="4">
        <v>42575</v>
      </c>
      <c r="B2228" t="s">
        <v>30</v>
      </c>
      <c r="C2228">
        <v>703</v>
      </c>
      <c r="D2228">
        <v>8</v>
      </c>
      <c r="E2228">
        <v>2</v>
      </c>
      <c r="F2228" t="s">
        <v>42</v>
      </c>
      <c r="G2228" t="s">
        <v>32</v>
      </c>
      <c r="H2228" t="s">
        <v>33</v>
      </c>
      <c r="I2228" t="s">
        <v>59</v>
      </c>
      <c r="O2228" s="5"/>
      <c r="P2228" s="5"/>
    </row>
    <row r="2229" spans="1:16" x14ac:dyDescent="0.35">
      <c r="A2229" s="4">
        <v>42575</v>
      </c>
      <c r="B2229" t="s">
        <v>30</v>
      </c>
      <c r="C2229">
        <v>701</v>
      </c>
      <c r="D2229">
        <v>1</v>
      </c>
      <c r="E2229">
        <v>1</v>
      </c>
      <c r="F2229" t="s">
        <v>42</v>
      </c>
      <c r="G2229" t="s">
        <v>32</v>
      </c>
      <c r="H2229" t="s">
        <v>33</v>
      </c>
      <c r="I2229" t="s">
        <v>59</v>
      </c>
      <c r="O2229" s="5"/>
      <c r="P2229" s="5"/>
    </row>
    <row r="2230" spans="1:16" x14ac:dyDescent="0.35">
      <c r="A2230" s="4">
        <v>42575</v>
      </c>
      <c r="B2230" t="s">
        <v>30</v>
      </c>
      <c r="C2230">
        <v>701</v>
      </c>
      <c r="D2230">
        <v>1</v>
      </c>
      <c r="E2230">
        <v>2</v>
      </c>
      <c r="F2230" t="s">
        <v>42</v>
      </c>
      <c r="G2230" t="s">
        <v>32</v>
      </c>
      <c r="H2230" t="s">
        <v>33</v>
      </c>
      <c r="I2230" t="s">
        <v>59</v>
      </c>
      <c r="O2230" s="5"/>
      <c r="P2230" s="5"/>
    </row>
    <row r="2231" spans="1:16" x14ac:dyDescent="0.35">
      <c r="A2231" s="4">
        <v>42575</v>
      </c>
      <c r="B2231" t="s">
        <v>30</v>
      </c>
      <c r="C2231">
        <v>701</v>
      </c>
      <c r="D2231">
        <v>3</v>
      </c>
      <c r="E2231">
        <v>1</v>
      </c>
      <c r="F2231" t="s">
        <v>42</v>
      </c>
      <c r="G2231" t="s">
        <v>32</v>
      </c>
      <c r="H2231" t="s">
        <v>33</v>
      </c>
      <c r="I2231" t="s">
        <v>59</v>
      </c>
      <c r="O2231" s="5"/>
      <c r="P2231" s="5"/>
    </row>
    <row r="2232" spans="1:16" x14ac:dyDescent="0.35">
      <c r="A2232" s="4">
        <v>42575</v>
      </c>
      <c r="B2232" t="s">
        <v>30</v>
      </c>
      <c r="C2232">
        <v>701</v>
      </c>
      <c r="D2232">
        <v>5</v>
      </c>
      <c r="E2232">
        <v>1</v>
      </c>
      <c r="F2232" t="s">
        <v>42</v>
      </c>
      <c r="G2232" t="s">
        <v>32</v>
      </c>
      <c r="H2232" t="s">
        <v>33</v>
      </c>
      <c r="I2232" t="s">
        <v>59</v>
      </c>
      <c r="O2232" s="5"/>
      <c r="P2232" s="5"/>
    </row>
    <row r="2233" spans="1:16" x14ac:dyDescent="0.35">
      <c r="A2233" s="4">
        <v>42575</v>
      </c>
      <c r="B2233" t="s">
        <v>30</v>
      </c>
      <c r="C2233">
        <v>701</v>
      </c>
      <c r="D2233">
        <v>7</v>
      </c>
      <c r="E2233">
        <v>1</v>
      </c>
      <c r="F2233" t="s">
        <v>42</v>
      </c>
      <c r="G2233" t="s">
        <v>32</v>
      </c>
      <c r="H2233" t="s">
        <v>33</v>
      </c>
      <c r="I2233" t="s">
        <v>59</v>
      </c>
      <c r="O2233" s="5"/>
      <c r="P2233" s="5"/>
    </row>
    <row r="2234" spans="1:16" x14ac:dyDescent="0.35">
      <c r="A2234" s="4">
        <v>42575</v>
      </c>
      <c r="B2234" t="s">
        <v>30</v>
      </c>
      <c r="C2234">
        <v>801</v>
      </c>
      <c r="D2234">
        <v>2</v>
      </c>
      <c r="E2234">
        <v>1</v>
      </c>
      <c r="F2234" t="s">
        <v>42</v>
      </c>
      <c r="G2234" t="s">
        <v>32</v>
      </c>
      <c r="H2234" t="s">
        <v>33</v>
      </c>
      <c r="I2234" t="s">
        <v>59</v>
      </c>
      <c r="O2234" s="5"/>
      <c r="P2234" s="5"/>
    </row>
    <row r="2235" spans="1:16" x14ac:dyDescent="0.35">
      <c r="A2235" s="4">
        <v>42575</v>
      </c>
      <c r="B2235" t="s">
        <v>30</v>
      </c>
      <c r="C2235">
        <v>801</v>
      </c>
      <c r="D2235">
        <v>4</v>
      </c>
      <c r="E2235">
        <v>1</v>
      </c>
      <c r="F2235" t="s">
        <v>42</v>
      </c>
      <c r="G2235" t="s">
        <v>32</v>
      </c>
      <c r="H2235" t="s">
        <v>33</v>
      </c>
      <c r="I2235" t="s">
        <v>59</v>
      </c>
      <c r="O2235" s="5"/>
      <c r="P2235" s="5"/>
    </row>
    <row r="2236" spans="1:16" x14ac:dyDescent="0.35">
      <c r="A2236" s="4">
        <v>42575</v>
      </c>
      <c r="B2236" t="s">
        <v>30</v>
      </c>
      <c r="C2236">
        <v>801</v>
      </c>
      <c r="D2236">
        <v>4</v>
      </c>
      <c r="E2236">
        <v>2</v>
      </c>
      <c r="F2236" t="s">
        <v>42</v>
      </c>
      <c r="G2236" t="s">
        <v>32</v>
      </c>
      <c r="H2236" t="s">
        <v>33</v>
      </c>
      <c r="I2236" t="s">
        <v>59</v>
      </c>
      <c r="O2236" s="5"/>
      <c r="P2236" s="5"/>
    </row>
    <row r="2237" spans="1:16" x14ac:dyDescent="0.35">
      <c r="A2237" s="4">
        <v>42575</v>
      </c>
      <c r="B2237" t="s">
        <v>30</v>
      </c>
      <c r="C2237">
        <v>801</v>
      </c>
      <c r="D2237">
        <v>5</v>
      </c>
      <c r="E2237">
        <v>2</v>
      </c>
      <c r="F2237" t="s">
        <v>42</v>
      </c>
      <c r="G2237" t="s">
        <v>32</v>
      </c>
      <c r="H2237" t="s">
        <v>33</v>
      </c>
      <c r="I2237" t="s">
        <v>59</v>
      </c>
      <c r="O2237" s="5"/>
      <c r="P2237" s="5"/>
    </row>
    <row r="2238" spans="1:16" x14ac:dyDescent="0.35">
      <c r="A2238" s="4">
        <v>42575</v>
      </c>
      <c r="B2238" t="s">
        <v>30</v>
      </c>
      <c r="C2238">
        <v>801</v>
      </c>
      <c r="D2238">
        <v>6</v>
      </c>
      <c r="E2238">
        <v>1</v>
      </c>
      <c r="F2238" t="s">
        <v>42</v>
      </c>
      <c r="G2238" t="s">
        <v>32</v>
      </c>
      <c r="H2238" t="s">
        <v>33</v>
      </c>
      <c r="I2238" t="s">
        <v>59</v>
      </c>
      <c r="O2238" s="5"/>
      <c r="P2238" s="5"/>
    </row>
    <row r="2239" spans="1:16" x14ac:dyDescent="0.35">
      <c r="A2239" s="4">
        <v>42575</v>
      </c>
      <c r="B2239" t="s">
        <v>30</v>
      </c>
      <c r="C2239">
        <v>801</v>
      </c>
      <c r="D2239">
        <v>7</v>
      </c>
      <c r="E2239">
        <v>1</v>
      </c>
      <c r="F2239" t="s">
        <v>42</v>
      </c>
      <c r="G2239" t="s">
        <v>32</v>
      </c>
      <c r="H2239" t="s">
        <v>33</v>
      </c>
      <c r="I2239" t="s">
        <v>59</v>
      </c>
      <c r="O2239" s="5"/>
      <c r="P2239" s="5"/>
    </row>
    <row r="2240" spans="1:16" x14ac:dyDescent="0.35">
      <c r="A2240" s="4">
        <v>42575</v>
      </c>
      <c r="B2240" t="s">
        <v>30</v>
      </c>
      <c r="C2240">
        <v>801</v>
      </c>
      <c r="D2240">
        <v>7</v>
      </c>
      <c r="E2240">
        <v>2</v>
      </c>
      <c r="F2240" t="s">
        <v>42</v>
      </c>
      <c r="G2240" t="s">
        <v>32</v>
      </c>
      <c r="H2240" t="s">
        <v>33</v>
      </c>
      <c r="I2240" t="s">
        <v>59</v>
      </c>
      <c r="O2240" s="5"/>
      <c r="P2240" s="5"/>
    </row>
    <row r="2241" spans="1:29" x14ac:dyDescent="0.35">
      <c r="A2241" s="4">
        <v>42575</v>
      </c>
      <c r="B2241" t="s">
        <v>30</v>
      </c>
      <c r="C2241">
        <v>801</v>
      </c>
      <c r="D2241">
        <v>8</v>
      </c>
      <c r="E2241">
        <v>1</v>
      </c>
      <c r="F2241" t="s">
        <v>42</v>
      </c>
      <c r="G2241" t="s">
        <v>32</v>
      </c>
      <c r="H2241" t="s">
        <v>33</v>
      </c>
      <c r="I2241" t="s">
        <v>59</v>
      </c>
      <c r="O2241" s="5"/>
      <c r="P2241" s="5"/>
    </row>
    <row r="2242" spans="1:29" x14ac:dyDescent="0.35">
      <c r="A2242" s="4">
        <v>42575</v>
      </c>
      <c r="B2242" t="s">
        <v>30</v>
      </c>
      <c r="C2242">
        <v>801</v>
      </c>
      <c r="D2242">
        <v>9</v>
      </c>
      <c r="E2242">
        <v>1</v>
      </c>
      <c r="F2242" t="s">
        <v>42</v>
      </c>
      <c r="G2242" t="s">
        <v>32</v>
      </c>
      <c r="H2242" t="s">
        <v>33</v>
      </c>
      <c r="I2242" t="s">
        <v>59</v>
      </c>
      <c r="O2242" s="5"/>
      <c r="P2242" s="5"/>
    </row>
    <row r="2243" spans="1:29" x14ac:dyDescent="0.35">
      <c r="A2243" s="4">
        <v>42575</v>
      </c>
      <c r="B2243" t="s">
        <v>30</v>
      </c>
      <c r="C2243">
        <v>801</v>
      </c>
      <c r="D2243">
        <v>10</v>
      </c>
      <c r="E2243">
        <v>1</v>
      </c>
      <c r="F2243" t="s">
        <v>42</v>
      </c>
      <c r="G2243" t="s">
        <v>32</v>
      </c>
      <c r="H2243" t="s">
        <v>33</v>
      </c>
      <c r="I2243" t="s">
        <v>59</v>
      </c>
      <c r="O2243" s="5"/>
      <c r="P2243" s="5"/>
    </row>
    <row r="2244" spans="1:29" x14ac:dyDescent="0.35">
      <c r="A2244" s="4">
        <v>42575</v>
      </c>
      <c r="B2244" t="s">
        <v>30</v>
      </c>
      <c r="C2244">
        <v>803</v>
      </c>
      <c r="D2244">
        <v>9</v>
      </c>
      <c r="E2244">
        <v>1</v>
      </c>
      <c r="F2244" t="s">
        <v>42</v>
      </c>
      <c r="G2244" t="s">
        <v>32</v>
      </c>
      <c r="H2244" t="s">
        <v>33</v>
      </c>
      <c r="I2244" t="s">
        <v>59</v>
      </c>
      <c r="O2244" s="5"/>
      <c r="P2244" s="5"/>
    </row>
    <row r="2245" spans="1:29" x14ac:dyDescent="0.35">
      <c r="A2245" s="4">
        <v>42575</v>
      </c>
      <c r="B2245" t="s">
        <v>30</v>
      </c>
      <c r="C2245">
        <v>901</v>
      </c>
      <c r="D2245">
        <v>1</v>
      </c>
      <c r="E2245">
        <v>1</v>
      </c>
      <c r="F2245" t="s">
        <v>42</v>
      </c>
      <c r="G2245" t="s">
        <v>32</v>
      </c>
      <c r="H2245" t="s">
        <v>33</v>
      </c>
      <c r="I2245" t="s">
        <v>59</v>
      </c>
      <c r="O2245" s="5"/>
      <c r="P2245" s="5"/>
    </row>
    <row r="2246" spans="1:29" x14ac:dyDescent="0.35">
      <c r="A2246" s="4">
        <v>42575</v>
      </c>
      <c r="B2246" t="s">
        <v>30</v>
      </c>
      <c r="C2246">
        <v>803</v>
      </c>
      <c r="D2246">
        <v>4</v>
      </c>
      <c r="E2246">
        <v>1</v>
      </c>
      <c r="F2246" t="s">
        <v>42</v>
      </c>
      <c r="G2246" t="s">
        <v>32</v>
      </c>
      <c r="H2246" t="s">
        <v>33</v>
      </c>
      <c r="I2246" t="s">
        <v>94</v>
      </c>
      <c r="J2246" t="s">
        <v>44</v>
      </c>
      <c r="K2246" t="s">
        <v>36</v>
      </c>
      <c r="L2246" t="s">
        <v>45</v>
      </c>
      <c r="M2246">
        <v>0</v>
      </c>
      <c r="N2246">
        <v>0</v>
      </c>
      <c r="O2246" s="5">
        <v>50751</v>
      </c>
      <c r="P2246" s="5"/>
      <c r="Q2246">
        <f>44-16</f>
        <v>28</v>
      </c>
      <c r="R2246" t="s">
        <v>74</v>
      </c>
      <c r="S2246" t="s">
        <v>102</v>
      </c>
      <c r="T2246">
        <v>28</v>
      </c>
      <c r="W2246">
        <v>12.9</v>
      </c>
      <c r="X2246">
        <v>28.1</v>
      </c>
      <c r="Z2246" t="s">
        <v>39</v>
      </c>
      <c r="AB2246" t="s">
        <v>230</v>
      </c>
      <c r="AC2246" t="s">
        <v>41</v>
      </c>
    </row>
    <row r="2247" spans="1:29" x14ac:dyDescent="0.35">
      <c r="A2247" s="4">
        <v>42575</v>
      </c>
      <c r="B2247" t="s">
        <v>30</v>
      </c>
      <c r="C2247">
        <v>803</v>
      </c>
      <c r="D2247">
        <v>6</v>
      </c>
      <c r="E2247">
        <v>1</v>
      </c>
      <c r="F2247" t="s">
        <v>42</v>
      </c>
      <c r="G2247" t="s">
        <v>32</v>
      </c>
      <c r="H2247" t="s">
        <v>33</v>
      </c>
      <c r="I2247" t="s">
        <v>94</v>
      </c>
      <c r="J2247" t="s">
        <v>44</v>
      </c>
      <c r="K2247" t="s">
        <v>36</v>
      </c>
      <c r="L2247" t="s">
        <v>45</v>
      </c>
      <c r="M2247">
        <v>0</v>
      </c>
      <c r="N2247">
        <v>0</v>
      </c>
      <c r="O2247" s="5">
        <v>50752</v>
      </c>
      <c r="P2247" s="5"/>
      <c r="Q2247">
        <f>36-16.5</f>
        <v>19.5</v>
      </c>
      <c r="R2247" t="s">
        <v>74</v>
      </c>
      <c r="S2247" t="s">
        <v>102</v>
      </c>
      <c r="T2247">
        <v>28</v>
      </c>
      <c r="W2247">
        <v>12.7</v>
      </c>
      <c r="X2247">
        <v>25.85</v>
      </c>
      <c r="Z2247" t="s">
        <v>39</v>
      </c>
      <c r="AB2247" t="s">
        <v>230</v>
      </c>
      <c r="AC2247" t="s">
        <v>41</v>
      </c>
    </row>
    <row r="2248" spans="1:29" x14ac:dyDescent="0.35">
      <c r="A2248" s="4">
        <v>42575</v>
      </c>
      <c r="B2248" t="s">
        <v>30</v>
      </c>
      <c r="C2248">
        <v>701</v>
      </c>
      <c r="D2248">
        <v>5</v>
      </c>
      <c r="E2248">
        <v>2</v>
      </c>
      <c r="F2248" t="s">
        <v>42</v>
      </c>
      <c r="G2248" t="s">
        <v>32</v>
      </c>
      <c r="H2248" t="s">
        <v>33</v>
      </c>
      <c r="I2248" t="s">
        <v>94</v>
      </c>
      <c r="J2248" t="s">
        <v>44</v>
      </c>
      <c r="K2248" t="s">
        <v>36</v>
      </c>
      <c r="L2248" t="s">
        <v>45</v>
      </c>
      <c r="M2248">
        <v>0</v>
      </c>
      <c r="N2248">
        <v>0</v>
      </c>
      <c r="O2248" s="5">
        <v>50858</v>
      </c>
      <c r="P2248" s="5"/>
      <c r="Q2248">
        <v>23</v>
      </c>
      <c r="R2248" t="s">
        <v>74</v>
      </c>
      <c r="S2248" t="s">
        <v>102</v>
      </c>
      <c r="T2248">
        <v>30</v>
      </c>
      <c r="W2248">
        <v>13.1</v>
      </c>
      <c r="X2248">
        <v>28.2</v>
      </c>
      <c r="Z2248" t="s">
        <v>39</v>
      </c>
      <c r="AB2248" t="s">
        <v>230</v>
      </c>
      <c r="AC2248" t="s">
        <v>41</v>
      </c>
    </row>
    <row r="2249" spans="1:29" x14ac:dyDescent="0.35">
      <c r="A2249" s="4">
        <v>42575</v>
      </c>
      <c r="B2249" t="s">
        <v>30</v>
      </c>
      <c r="C2249">
        <v>801</v>
      </c>
      <c r="D2249">
        <v>9</v>
      </c>
      <c r="E2249">
        <v>2</v>
      </c>
      <c r="F2249" t="s">
        <v>42</v>
      </c>
      <c r="G2249" t="s">
        <v>32</v>
      </c>
      <c r="H2249" t="s">
        <v>33</v>
      </c>
      <c r="I2249" t="s">
        <v>94</v>
      </c>
      <c r="J2249" t="s">
        <v>44</v>
      </c>
      <c r="K2249" t="s">
        <v>36</v>
      </c>
      <c r="L2249" t="s">
        <v>45</v>
      </c>
      <c r="M2249">
        <v>0</v>
      </c>
      <c r="N2249">
        <v>0</v>
      </c>
      <c r="O2249" s="5"/>
      <c r="P2249" s="5">
        <v>50510</v>
      </c>
      <c r="Q2249">
        <f>34-12</f>
        <v>22</v>
      </c>
      <c r="R2249" t="s">
        <v>46</v>
      </c>
      <c r="S2249" t="s">
        <v>39</v>
      </c>
      <c r="T2249">
        <v>28</v>
      </c>
      <c r="W2249">
        <v>12.6</v>
      </c>
      <c r="X2249">
        <v>25.2</v>
      </c>
      <c r="Z2249" t="s">
        <v>39</v>
      </c>
      <c r="AB2249" t="s">
        <v>230</v>
      </c>
      <c r="AC2249" t="s">
        <v>41</v>
      </c>
    </row>
    <row r="2250" spans="1:29" x14ac:dyDescent="0.35">
      <c r="A2250" s="4">
        <v>42575</v>
      </c>
      <c r="B2250" t="s">
        <v>30</v>
      </c>
      <c r="C2250">
        <v>803</v>
      </c>
      <c r="D2250">
        <v>8</v>
      </c>
      <c r="E2250">
        <v>1</v>
      </c>
      <c r="F2250" t="s">
        <v>42</v>
      </c>
      <c r="G2250" t="s">
        <v>32</v>
      </c>
      <c r="H2250" t="s">
        <v>33</v>
      </c>
      <c r="I2250" t="s">
        <v>94</v>
      </c>
      <c r="J2250" t="s">
        <v>44</v>
      </c>
      <c r="K2250" t="s">
        <v>36</v>
      </c>
      <c r="L2250" t="s">
        <v>45</v>
      </c>
      <c r="M2250">
        <v>0</v>
      </c>
      <c r="N2250">
        <v>0</v>
      </c>
      <c r="O2250" s="5"/>
      <c r="P2250" s="5">
        <v>50771</v>
      </c>
      <c r="Q2250">
        <f>43-14</f>
        <v>29</v>
      </c>
      <c r="R2250" t="s">
        <v>74</v>
      </c>
      <c r="S2250" t="s">
        <v>102</v>
      </c>
      <c r="T2250">
        <v>30</v>
      </c>
      <c r="W2250">
        <v>13</v>
      </c>
      <c r="X2250">
        <v>27.9</v>
      </c>
      <c r="Z2250" t="s">
        <v>39</v>
      </c>
      <c r="AB2250" t="s">
        <v>230</v>
      </c>
      <c r="AC2250" t="s">
        <v>41</v>
      </c>
    </row>
    <row r="2251" spans="1:29" x14ac:dyDescent="0.35">
      <c r="A2251" s="4">
        <v>42575</v>
      </c>
      <c r="B2251" t="s">
        <v>30</v>
      </c>
      <c r="C2251">
        <v>803</v>
      </c>
      <c r="D2251">
        <v>8</v>
      </c>
      <c r="E2251">
        <v>2</v>
      </c>
      <c r="F2251" t="s">
        <v>42</v>
      </c>
      <c r="G2251" t="s">
        <v>32</v>
      </c>
      <c r="H2251" t="s">
        <v>33</v>
      </c>
      <c r="I2251" t="s">
        <v>94</v>
      </c>
      <c r="J2251" t="s">
        <v>44</v>
      </c>
      <c r="K2251" t="s">
        <v>36</v>
      </c>
      <c r="L2251" t="s">
        <v>45</v>
      </c>
      <c r="M2251">
        <v>0</v>
      </c>
      <c r="N2251">
        <v>0</v>
      </c>
      <c r="O2251" s="5"/>
      <c r="P2251" s="5">
        <v>50753</v>
      </c>
      <c r="Q2251">
        <f>37-14</f>
        <v>23</v>
      </c>
      <c r="R2251" t="s">
        <v>74</v>
      </c>
      <c r="S2251" t="s">
        <v>102</v>
      </c>
      <c r="T2251">
        <v>29</v>
      </c>
      <c r="W2251">
        <v>12.7</v>
      </c>
      <c r="X2251">
        <v>26.6</v>
      </c>
      <c r="Z2251" t="s">
        <v>39</v>
      </c>
      <c r="AB2251" t="s">
        <v>230</v>
      </c>
      <c r="AC2251" t="s">
        <v>41</v>
      </c>
    </row>
    <row r="2252" spans="1:29" x14ac:dyDescent="0.35">
      <c r="A2252" s="4">
        <v>42575</v>
      </c>
      <c r="B2252" t="s">
        <v>30</v>
      </c>
      <c r="C2252">
        <v>803</v>
      </c>
      <c r="D2252">
        <v>2</v>
      </c>
      <c r="E2252">
        <v>1</v>
      </c>
      <c r="F2252" t="s">
        <v>42</v>
      </c>
      <c r="G2252" t="s">
        <v>32</v>
      </c>
      <c r="H2252" t="s">
        <v>33</v>
      </c>
      <c r="I2252" t="s">
        <v>94</v>
      </c>
      <c r="J2252" t="s">
        <v>44</v>
      </c>
      <c r="K2252" t="s">
        <v>36</v>
      </c>
      <c r="L2252" t="s">
        <v>45</v>
      </c>
      <c r="M2252">
        <v>0</v>
      </c>
      <c r="N2252">
        <v>0</v>
      </c>
      <c r="O2252" s="5"/>
      <c r="P2252" s="5">
        <v>50615</v>
      </c>
      <c r="Q2252">
        <f>40-12.5</f>
        <v>27.5</v>
      </c>
      <c r="R2252" t="s">
        <v>74</v>
      </c>
      <c r="S2252" t="s">
        <v>102</v>
      </c>
      <c r="T2252">
        <v>29</v>
      </c>
      <c r="W2252">
        <v>12.5</v>
      </c>
      <c r="X2252">
        <v>29.5</v>
      </c>
      <c r="Z2252" t="s">
        <v>39</v>
      </c>
      <c r="AB2252" t="s">
        <v>230</v>
      </c>
      <c r="AC2252" t="s">
        <v>41</v>
      </c>
    </row>
    <row r="2253" spans="1:29" x14ac:dyDescent="0.35">
      <c r="A2253" s="4">
        <v>42576</v>
      </c>
      <c r="B2253" t="s">
        <v>30</v>
      </c>
      <c r="C2253">
        <v>501</v>
      </c>
      <c r="D2253">
        <v>2</v>
      </c>
      <c r="E2253">
        <v>2</v>
      </c>
      <c r="F2253" t="s">
        <v>31</v>
      </c>
      <c r="G2253" t="s">
        <v>32</v>
      </c>
      <c r="H2253" t="s">
        <v>33</v>
      </c>
      <c r="I2253" t="s">
        <v>43</v>
      </c>
      <c r="J2253" t="s">
        <v>35</v>
      </c>
      <c r="K2253" t="s">
        <v>113</v>
      </c>
      <c r="L2253" t="s">
        <v>45</v>
      </c>
      <c r="M2253">
        <v>0</v>
      </c>
      <c r="N2253">
        <v>1</v>
      </c>
      <c r="O2253" s="5">
        <v>50349</v>
      </c>
      <c r="P2253" s="5">
        <v>50348</v>
      </c>
      <c r="Q2253">
        <f>27-11</f>
        <v>16</v>
      </c>
      <c r="R2253" t="s">
        <v>46</v>
      </c>
      <c r="S2253" t="s">
        <v>39</v>
      </c>
      <c r="T2253">
        <v>18</v>
      </c>
      <c r="U2253">
        <v>90</v>
      </c>
      <c r="V2253">
        <v>16</v>
      </c>
      <c r="W2253">
        <v>12.9</v>
      </c>
      <c r="X2253">
        <v>26.8</v>
      </c>
      <c r="Z2253" t="s">
        <v>39</v>
      </c>
      <c r="AB2253" t="s">
        <v>86</v>
      </c>
      <c r="AC2253" t="s">
        <v>87</v>
      </c>
    </row>
    <row r="2254" spans="1:29" x14ac:dyDescent="0.35">
      <c r="A2254" s="4">
        <v>42576</v>
      </c>
      <c r="B2254" t="s">
        <v>30</v>
      </c>
      <c r="C2254">
        <v>701</v>
      </c>
      <c r="D2254">
        <v>2</v>
      </c>
      <c r="E2254">
        <v>1</v>
      </c>
      <c r="F2254" t="s">
        <v>281</v>
      </c>
      <c r="G2254" t="s">
        <v>32</v>
      </c>
      <c r="H2254" t="s">
        <v>33</v>
      </c>
      <c r="I2254" t="s">
        <v>43</v>
      </c>
      <c r="J2254" t="s">
        <v>44</v>
      </c>
      <c r="K2254" t="s">
        <v>36</v>
      </c>
      <c r="L2254" t="s">
        <v>37</v>
      </c>
      <c r="M2254">
        <v>0</v>
      </c>
      <c r="N2254">
        <v>0</v>
      </c>
      <c r="O2254" s="5">
        <v>50370</v>
      </c>
      <c r="P2254" s="5">
        <v>50369</v>
      </c>
      <c r="Q2254">
        <f>26-9.5</f>
        <v>16.5</v>
      </c>
      <c r="R2254" t="s">
        <v>38</v>
      </c>
      <c r="T2254">
        <v>19</v>
      </c>
      <c r="U2254">
        <v>76</v>
      </c>
      <c r="V2254">
        <v>18</v>
      </c>
      <c r="W2254">
        <v>13.7</v>
      </c>
      <c r="X2254">
        <v>30.1</v>
      </c>
      <c r="Z2254" t="s">
        <v>102</v>
      </c>
      <c r="AB2254" t="s">
        <v>86</v>
      </c>
      <c r="AC2254" t="s">
        <v>87</v>
      </c>
    </row>
    <row r="2255" spans="1:29" x14ac:dyDescent="0.35">
      <c r="A2255" s="4">
        <v>42576</v>
      </c>
      <c r="B2255" t="s">
        <v>30</v>
      </c>
      <c r="C2255">
        <v>701</v>
      </c>
      <c r="D2255">
        <v>6</v>
      </c>
      <c r="E2255">
        <v>2</v>
      </c>
      <c r="F2255" t="s">
        <v>42</v>
      </c>
      <c r="G2255" t="s">
        <v>32</v>
      </c>
      <c r="H2255" t="s">
        <v>33</v>
      </c>
      <c r="I2255" t="s">
        <v>43</v>
      </c>
      <c r="J2255" t="s">
        <v>44</v>
      </c>
      <c r="K2255" t="s">
        <v>36</v>
      </c>
      <c r="L2255" t="s">
        <v>45</v>
      </c>
      <c r="M2255">
        <v>0</v>
      </c>
      <c r="N2255">
        <v>0</v>
      </c>
      <c r="O2255" s="5">
        <v>50459</v>
      </c>
      <c r="P2255" s="5">
        <v>50458</v>
      </c>
      <c r="Q2255">
        <f>28.5-11.5</f>
        <v>17</v>
      </c>
      <c r="R2255" t="s">
        <v>46</v>
      </c>
      <c r="S2255" t="s">
        <v>39</v>
      </c>
      <c r="T2255">
        <v>17</v>
      </c>
      <c r="U2255">
        <v>81.5</v>
      </c>
      <c r="V2255">
        <v>18</v>
      </c>
      <c r="W2255">
        <v>12</v>
      </c>
      <c r="X2255">
        <v>27</v>
      </c>
      <c r="Z2255" t="s">
        <v>102</v>
      </c>
      <c r="AB2255" t="s">
        <v>86</v>
      </c>
      <c r="AC2255" t="s">
        <v>87</v>
      </c>
    </row>
    <row r="2256" spans="1:29" x14ac:dyDescent="0.35">
      <c r="A2256" s="4">
        <v>42576</v>
      </c>
      <c r="B2256" t="s">
        <v>30</v>
      </c>
      <c r="C2256">
        <v>703</v>
      </c>
      <c r="D2256">
        <v>2</v>
      </c>
      <c r="E2256">
        <v>1</v>
      </c>
      <c r="F2256" t="s">
        <v>42</v>
      </c>
      <c r="G2256" t="s">
        <v>32</v>
      </c>
      <c r="H2256" t="s">
        <v>33</v>
      </c>
      <c r="I2256" t="s">
        <v>43</v>
      </c>
      <c r="J2256" t="s">
        <v>44</v>
      </c>
      <c r="K2256" t="s">
        <v>36</v>
      </c>
      <c r="L2256" t="s">
        <v>37</v>
      </c>
      <c r="M2256">
        <v>0</v>
      </c>
      <c r="N2256">
        <v>0</v>
      </c>
      <c r="O2256" s="5">
        <v>50468</v>
      </c>
      <c r="P2256" s="5">
        <v>50467</v>
      </c>
      <c r="Q2256">
        <f>31-9</f>
        <v>22</v>
      </c>
      <c r="R2256" t="s">
        <v>64</v>
      </c>
      <c r="T2256">
        <v>21</v>
      </c>
      <c r="U2256">
        <v>93</v>
      </c>
      <c r="V2256">
        <v>18</v>
      </c>
      <c r="W2256">
        <v>13.9</v>
      </c>
      <c r="X2256">
        <v>29.3</v>
      </c>
      <c r="Z2256" t="s">
        <v>39</v>
      </c>
      <c r="AB2256" t="s">
        <v>86</v>
      </c>
      <c r="AC2256" t="s">
        <v>87</v>
      </c>
    </row>
    <row r="2257" spans="1:30" x14ac:dyDescent="0.35">
      <c r="A2257" s="4">
        <v>42576</v>
      </c>
      <c r="B2257" t="s">
        <v>30</v>
      </c>
      <c r="C2257">
        <v>701</v>
      </c>
      <c r="D2257">
        <v>3</v>
      </c>
      <c r="E2257">
        <v>1</v>
      </c>
      <c r="F2257" t="s">
        <v>42</v>
      </c>
      <c r="G2257" t="s">
        <v>32</v>
      </c>
      <c r="H2257" t="s">
        <v>33</v>
      </c>
      <c r="I2257" t="s">
        <v>43</v>
      </c>
      <c r="J2257" t="s">
        <v>44</v>
      </c>
      <c r="K2257" t="s">
        <v>113</v>
      </c>
      <c r="L2257" t="s">
        <v>37</v>
      </c>
      <c r="M2257">
        <v>0</v>
      </c>
      <c r="N2257">
        <v>0</v>
      </c>
      <c r="O2257" s="5">
        <v>50503</v>
      </c>
      <c r="P2257" s="5">
        <v>50502</v>
      </c>
      <c r="Q2257">
        <f>26-10.5</f>
        <v>15.5</v>
      </c>
      <c r="R2257" t="s">
        <v>64</v>
      </c>
      <c r="T2257">
        <v>18</v>
      </c>
      <c r="U2257">
        <v>83</v>
      </c>
      <c r="V2257">
        <v>15</v>
      </c>
      <c r="W2257">
        <v>12.9</v>
      </c>
      <c r="X2257">
        <v>26.5</v>
      </c>
      <c r="Z2257" t="s">
        <v>39</v>
      </c>
      <c r="AB2257" t="s">
        <v>86</v>
      </c>
      <c r="AC2257" t="s">
        <v>87</v>
      </c>
    </row>
    <row r="2258" spans="1:30" x14ac:dyDescent="0.35">
      <c r="A2258" s="4">
        <v>42576</v>
      </c>
      <c r="B2258" t="s">
        <v>30</v>
      </c>
      <c r="C2258">
        <v>701</v>
      </c>
      <c r="D2258">
        <v>1</v>
      </c>
      <c r="E2258">
        <v>2</v>
      </c>
      <c r="F2258" t="s">
        <v>42</v>
      </c>
      <c r="G2258" t="s">
        <v>32</v>
      </c>
      <c r="H2258" t="s">
        <v>33</v>
      </c>
      <c r="I2258" t="s">
        <v>43</v>
      </c>
      <c r="J2258" t="s">
        <v>44</v>
      </c>
      <c r="K2258" t="s">
        <v>113</v>
      </c>
      <c r="L2258" t="s">
        <v>37</v>
      </c>
      <c r="M2258">
        <v>0</v>
      </c>
      <c r="N2258">
        <v>0</v>
      </c>
      <c r="O2258" s="5">
        <v>50506</v>
      </c>
      <c r="P2258" s="5">
        <v>50505</v>
      </c>
      <c r="Q2258">
        <f>24.5-9</f>
        <v>15.5</v>
      </c>
      <c r="R2258" t="s">
        <v>64</v>
      </c>
      <c r="T2258">
        <v>19</v>
      </c>
      <c r="U2258">
        <v>88</v>
      </c>
      <c r="V2258">
        <v>16</v>
      </c>
      <c r="W2258">
        <v>13.1</v>
      </c>
      <c r="X2258">
        <v>29</v>
      </c>
      <c r="Z2258" t="s">
        <v>102</v>
      </c>
      <c r="AB2258" t="s">
        <v>86</v>
      </c>
      <c r="AC2258" t="s">
        <v>87</v>
      </c>
    </row>
    <row r="2259" spans="1:30" x14ac:dyDescent="0.35">
      <c r="A2259" s="4">
        <v>42576</v>
      </c>
      <c r="B2259" t="s">
        <v>30</v>
      </c>
      <c r="C2259">
        <v>303</v>
      </c>
      <c r="D2259">
        <v>7</v>
      </c>
      <c r="E2259">
        <v>2</v>
      </c>
      <c r="F2259" t="s">
        <v>31</v>
      </c>
      <c r="G2259" t="s">
        <v>32</v>
      </c>
      <c r="H2259" t="s">
        <v>33</v>
      </c>
      <c r="I2259" t="s">
        <v>43</v>
      </c>
      <c r="J2259" t="s">
        <v>44</v>
      </c>
      <c r="K2259" t="s">
        <v>36</v>
      </c>
      <c r="L2259" t="s">
        <v>45</v>
      </c>
      <c r="M2259">
        <v>0</v>
      </c>
      <c r="N2259">
        <v>0</v>
      </c>
      <c r="O2259" s="5">
        <v>50582</v>
      </c>
      <c r="P2259" s="5">
        <v>50581</v>
      </c>
      <c r="Q2259">
        <f>32-11.5</f>
        <v>20.5</v>
      </c>
      <c r="R2259" t="s">
        <v>161</v>
      </c>
      <c r="S2259" t="s">
        <v>102</v>
      </c>
      <c r="T2259">
        <v>19</v>
      </c>
      <c r="U2259">
        <v>83</v>
      </c>
      <c r="V2259">
        <v>14</v>
      </c>
      <c r="W2259">
        <v>12.9</v>
      </c>
      <c r="X2259">
        <v>27.6</v>
      </c>
      <c r="Z2259" t="s">
        <v>102</v>
      </c>
      <c r="AA2259" t="s">
        <v>201</v>
      </c>
      <c r="AB2259" t="s">
        <v>86</v>
      </c>
      <c r="AC2259" t="s">
        <v>87</v>
      </c>
    </row>
    <row r="2260" spans="1:30" x14ac:dyDescent="0.35">
      <c r="A2260" s="4">
        <v>42576</v>
      </c>
      <c r="B2260" t="s">
        <v>30</v>
      </c>
      <c r="C2260">
        <v>401</v>
      </c>
      <c r="D2260">
        <v>3</v>
      </c>
      <c r="E2260">
        <v>2</v>
      </c>
      <c r="F2260" t="s">
        <v>31</v>
      </c>
      <c r="G2260" t="s">
        <v>32</v>
      </c>
      <c r="H2260" t="s">
        <v>33</v>
      </c>
      <c r="I2260" t="s">
        <v>43</v>
      </c>
      <c r="J2260" t="s">
        <v>44</v>
      </c>
      <c r="K2260" t="s">
        <v>113</v>
      </c>
      <c r="L2260" t="s">
        <v>37</v>
      </c>
      <c r="M2260">
        <v>0</v>
      </c>
      <c r="N2260">
        <v>0</v>
      </c>
      <c r="O2260" s="5">
        <v>50590</v>
      </c>
      <c r="P2260" s="5">
        <v>50589</v>
      </c>
      <c r="Q2260">
        <f>32-15</f>
        <v>17</v>
      </c>
      <c r="R2260" t="s">
        <v>38</v>
      </c>
      <c r="T2260">
        <v>19</v>
      </c>
      <c r="U2260">
        <v>78</v>
      </c>
      <c r="V2260">
        <v>13</v>
      </c>
      <c r="W2260">
        <v>12.9</v>
      </c>
      <c r="X2260">
        <v>26.8</v>
      </c>
      <c r="Z2260" t="s">
        <v>102</v>
      </c>
      <c r="AA2260" t="s">
        <v>201</v>
      </c>
      <c r="AB2260" t="s">
        <v>86</v>
      </c>
      <c r="AC2260" t="s">
        <v>87</v>
      </c>
      <c r="AD2260" t="s">
        <v>275</v>
      </c>
    </row>
    <row r="2261" spans="1:30" x14ac:dyDescent="0.35">
      <c r="A2261" s="4">
        <v>42576</v>
      </c>
      <c r="B2261" t="s">
        <v>30</v>
      </c>
      <c r="C2261">
        <v>701</v>
      </c>
      <c r="D2261">
        <v>10</v>
      </c>
      <c r="E2261">
        <v>1</v>
      </c>
      <c r="F2261" t="s">
        <v>42</v>
      </c>
      <c r="G2261" t="s">
        <v>32</v>
      </c>
      <c r="H2261" t="s">
        <v>33</v>
      </c>
      <c r="I2261" t="s">
        <v>43</v>
      </c>
      <c r="J2261" t="s">
        <v>44</v>
      </c>
      <c r="K2261" t="s">
        <v>88</v>
      </c>
      <c r="L2261" t="s">
        <v>45</v>
      </c>
      <c r="M2261">
        <v>0</v>
      </c>
      <c r="N2261">
        <v>0</v>
      </c>
      <c r="O2261" s="5">
        <v>50610</v>
      </c>
      <c r="P2261" s="5">
        <v>50609</v>
      </c>
      <c r="Q2261">
        <f>24-10.5</f>
        <v>13.5</v>
      </c>
      <c r="R2261" t="s">
        <v>46</v>
      </c>
      <c r="S2261" t="s">
        <v>39</v>
      </c>
      <c r="T2261">
        <v>18</v>
      </c>
      <c r="U2261">
        <v>79.5</v>
      </c>
      <c r="V2261">
        <v>21</v>
      </c>
      <c r="W2261">
        <v>12.5</v>
      </c>
      <c r="X2261">
        <v>25</v>
      </c>
      <c r="Z2261" t="s">
        <v>39</v>
      </c>
      <c r="AB2261" t="s">
        <v>86</v>
      </c>
      <c r="AC2261" t="s">
        <v>87</v>
      </c>
    </row>
    <row r="2262" spans="1:30" x14ac:dyDescent="0.35">
      <c r="A2262" s="4">
        <v>42576</v>
      </c>
      <c r="B2262" t="s">
        <v>30</v>
      </c>
      <c r="C2262">
        <v>801</v>
      </c>
      <c r="D2262">
        <v>6</v>
      </c>
      <c r="E2262">
        <v>2</v>
      </c>
      <c r="F2262" t="s">
        <v>42</v>
      </c>
      <c r="G2262" t="s">
        <v>32</v>
      </c>
      <c r="H2262" t="s">
        <v>33</v>
      </c>
      <c r="I2262" t="s">
        <v>43</v>
      </c>
      <c r="J2262" t="s">
        <v>44</v>
      </c>
      <c r="K2262" t="s">
        <v>113</v>
      </c>
      <c r="L2262" t="s">
        <v>45</v>
      </c>
      <c r="M2262">
        <v>0</v>
      </c>
      <c r="N2262">
        <v>0</v>
      </c>
      <c r="O2262" s="5">
        <v>50614</v>
      </c>
      <c r="P2262" s="5">
        <v>50613</v>
      </c>
      <c r="Q2262">
        <v>20</v>
      </c>
      <c r="R2262" t="s">
        <v>74</v>
      </c>
      <c r="S2262" t="s">
        <v>102</v>
      </c>
      <c r="T2262">
        <v>18</v>
      </c>
      <c r="U2262">
        <v>81</v>
      </c>
      <c r="V2262">
        <v>16</v>
      </c>
      <c r="W2262">
        <v>12.8</v>
      </c>
      <c r="X2262">
        <v>26.7</v>
      </c>
      <c r="Z2262" t="s">
        <v>39</v>
      </c>
      <c r="AB2262" t="s">
        <v>86</v>
      </c>
      <c r="AC2262" t="s">
        <v>87</v>
      </c>
    </row>
    <row r="2263" spans="1:30" x14ac:dyDescent="0.35">
      <c r="A2263" s="4">
        <v>42576</v>
      </c>
      <c r="B2263" t="s">
        <v>30</v>
      </c>
      <c r="C2263">
        <v>801</v>
      </c>
      <c r="D2263">
        <v>3</v>
      </c>
      <c r="E2263">
        <v>1</v>
      </c>
      <c r="F2263" t="s">
        <v>281</v>
      </c>
      <c r="G2263" t="s">
        <v>32</v>
      </c>
      <c r="H2263" t="s">
        <v>33</v>
      </c>
      <c r="I2263" t="s">
        <v>43</v>
      </c>
      <c r="J2263" t="s">
        <v>44</v>
      </c>
      <c r="K2263" t="s">
        <v>36</v>
      </c>
      <c r="L2263" t="s">
        <v>37</v>
      </c>
      <c r="M2263">
        <v>0</v>
      </c>
      <c r="N2263">
        <v>0</v>
      </c>
      <c r="O2263" s="5">
        <v>50677</v>
      </c>
      <c r="P2263" s="5">
        <v>50676</v>
      </c>
      <c r="Q2263">
        <v>22</v>
      </c>
      <c r="R2263" t="s">
        <v>38</v>
      </c>
      <c r="T2263">
        <v>20</v>
      </c>
      <c r="U2263">
        <v>86</v>
      </c>
      <c r="V2263">
        <v>15</v>
      </c>
      <c r="W2263">
        <v>13</v>
      </c>
      <c r="X2263">
        <v>28.8</v>
      </c>
      <c r="Z2263" t="s">
        <v>102</v>
      </c>
      <c r="AB2263" t="s">
        <v>86</v>
      </c>
      <c r="AC2263" t="s">
        <v>87</v>
      </c>
    </row>
    <row r="2264" spans="1:30" x14ac:dyDescent="0.35">
      <c r="A2264" s="4">
        <v>42576</v>
      </c>
      <c r="B2264" t="s">
        <v>30</v>
      </c>
      <c r="C2264">
        <v>801</v>
      </c>
      <c r="D2264">
        <v>2</v>
      </c>
      <c r="E2264">
        <v>1</v>
      </c>
      <c r="F2264" t="s">
        <v>42</v>
      </c>
      <c r="G2264" t="s">
        <v>32</v>
      </c>
      <c r="H2264" t="s">
        <v>33</v>
      </c>
      <c r="I2264" t="s">
        <v>43</v>
      </c>
      <c r="J2264" t="s">
        <v>44</v>
      </c>
      <c r="K2264" t="s">
        <v>36</v>
      </c>
      <c r="L2264" t="s">
        <v>37</v>
      </c>
      <c r="M2264">
        <v>0</v>
      </c>
      <c r="N2264">
        <v>0</v>
      </c>
      <c r="O2264" s="5">
        <v>50697</v>
      </c>
      <c r="P2264" s="5">
        <v>50696</v>
      </c>
      <c r="Q2264">
        <f>30.5-12</f>
        <v>18.5</v>
      </c>
      <c r="R2264" t="s">
        <v>38</v>
      </c>
      <c r="T2264">
        <v>18</v>
      </c>
      <c r="U2264">
        <v>82</v>
      </c>
      <c r="Z2264" t="s">
        <v>39</v>
      </c>
      <c r="AB2264" t="s">
        <v>86</v>
      </c>
      <c r="AC2264" t="s">
        <v>87</v>
      </c>
      <c r="AD2264" t="s">
        <v>282</v>
      </c>
    </row>
    <row r="2265" spans="1:30" x14ac:dyDescent="0.35">
      <c r="A2265" s="4">
        <v>42576</v>
      </c>
      <c r="B2265" t="s">
        <v>30</v>
      </c>
      <c r="C2265">
        <v>503</v>
      </c>
      <c r="D2265">
        <v>10</v>
      </c>
      <c r="E2265">
        <v>2</v>
      </c>
      <c r="F2265" t="s">
        <v>31</v>
      </c>
      <c r="G2265" t="s">
        <v>32</v>
      </c>
      <c r="H2265" t="s">
        <v>33</v>
      </c>
      <c r="I2265" t="s">
        <v>43</v>
      </c>
      <c r="J2265" t="s">
        <v>44</v>
      </c>
      <c r="K2265" t="s">
        <v>88</v>
      </c>
      <c r="L2265" t="s">
        <v>45</v>
      </c>
      <c r="M2265">
        <v>0</v>
      </c>
      <c r="N2265">
        <v>0</v>
      </c>
      <c r="O2265" s="5">
        <v>50742</v>
      </c>
      <c r="P2265" s="5">
        <v>50741</v>
      </c>
      <c r="Q2265">
        <f>27-12.5</f>
        <v>14.5</v>
      </c>
      <c r="R2265" t="s">
        <v>46</v>
      </c>
      <c r="S2265" t="s">
        <v>39</v>
      </c>
      <c r="T2265">
        <v>20</v>
      </c>
      <c r="U2265">
        <v>81</v>
      </c>
      <c r="V2265">
        <v>16</v>
      </c>
      <c r="W2265">
        <v>12.9</v>
      </c>
      <c r="X2265">
        <v>25.6</v>
      </c>
      <c r="Z2265" t="s">
        <v>102</v>
      </c>
      <c r="AB2265" t="s">
        <v>86</v>
      </c>
      <c r="AC2265" t="s">
        <v>87</v>
      </c>
    </row>
    <row r="2266" spans="1:30" x14ac:dyDescent="0.35">
      <c r="A2266" s="4">
        <v>42576</v>
      </c>
      <c r="B2266" t="s">
        <v>30</v>
      </c>
      <c r="C2266">
        <v>503</v>
      </c>
      <c r="D2266">
        <v>10</v>
      </c>
      <c r="E2266">
        <v>1</v>
      </c>
      <c r="F2266" t="s">
        <v>31</v>
      </c>
      <c r="G2266" t="s">
        <v>32</v>
      </c>
      <c r="H2266" t="s">
        <v>33</v>
      </c>
      <c r="I2266" t="s">
        <v>43</v>
      </c>
      <c r="J2266" t="s">
        <v>44</v>
      </c>
      <c r="K2266" t="s">
        <v>36</v>
      </c>
      <c r="L2266" t="s">
        <v>37</v>
      </c>
      <c r="M2266">
        <v>0</v>
      </c>
      <c r="N2266">
        <v>0</v>
      </c>
      <c r="O2266" s="5">
        <v>50744</v>
      </c>
      <c r="P2266" s="5">
        <v>50743</v>
      </c>
      <c r="Q2266">
        <f>30.5-10.5</f>
        <v>20</v>
      </c>
      <c r="R2266" t="s">
        <v>38</v>
      </c>
      <c r="T2266">
        <v>19</v>
      </c>
      <c r="U2266">
        <v>79</v>
      </c>
      <c r="V2266">
        <v>15</v>
      </c>
      <c r="W2266">
        <v>13</v>
      </c>
      <c r="X2266">
        <v>27.1</v>
      </c>
      <c r="Z2266" t="s">
        <v>39</v>
      </c>
      <c r="AB2266" t="s">
        <v>86</v>
      </c>
      <c r="AC2266" t="s">
        <v>87</v>
      </c>
    </row>
    <row r="2267" spans="1:30" x14ac:dyDescent="0.35">
      <c r="A2267" s="4">
        <v>42576</v>
      </c>
      <c r="B2267" t="s">
        <v>30</v>
      </c>
      <c r="C2267">
        <v>303</v>
      </c>
      <c r="D2267">
        <v>9</v>
      </c>
      <c r="E2267">
        <v>1</v>
      </c>
      <c r="F2267" t="s">
        <v>31</v>
      </c>
      <c r="G2267" t="s">
        <v>32</v>
      </c>
      <c r="H2267" t="s">
        <v>33</v>
      </c>
      <c r="I2267" t="s">
        <v>43</v>
      </c>
      <c r="J2267" t="s">
        <v>44</v>
      </c>
      <c r="K2267" t="s">
        <v>113</v>
      </c>
      <c r="L2267" t="s">
        <v>37</v>
      </c>
      <c r="M2267">
        <v>0</v>
      </c>
      <c r="N2267">
        <v>0</v>
      </c>
      <c r="O2267" s="5">
        <v>50746</v>
      </c>
      <c r="P2267" s="5">
        <v>50745</v>
      </c>
      <c r="Q2267">
        <f>26-9.5</f>
        <v>16.5</v>
      </c>
      <c r="R2267" t="s">
        <v>64</v>
      </c>
      <c r="T2267">
        <v>19.5</v>
      </c>
      <c r="U2267">
        <v>90</v>
      </c>
      <c r="V2267">
        <v>14</v>
      </c>
      <c r="W2267">
        <v>12.9</v>
      </c>
      <c r="X2267">
        <v>26.4</v>
      </c>
      <c r="Z2267" t="s">
        <v>39</v>
      </c>
      <c r="AB2267" t="s">
        <v>86</v>
      </c>
      <c r="AC2267" t="s">
        <v>87</v>
      </c>
    </row>
    <row r="2268" spans="1:30" x14ac:dyDescent="0.35">
      <c r="A2268" s="4">
        <v>42576</v>
      </c>
      <c r="B2268" t="s">
        <v>30</v>
      </c>
      <c r="C2268">
        <v>701</v>
      </c>
      <c r="D2268">
        <v>5</v>
      </c>
      <c r="E2268">
        <v>2</v>
      </c>
      <c r="F2268" t="s">
        <v>281</v>
      </c>
      <c r="G2268" t="s">
        <v>32</v>
      </c>
      <c r="H2268" t="s">
        <v>33</v>
      </c>
      <c r="I2268" t="s">
        <v>43</v>
      </c>
      <c r="J2268" t="s">
        <v>44</v>
      </c>
      <c r="K2268" t="s">
        <v>36</v>
      </c>
      <c r="L2268" t="s">
        <v>45</v>
      </c>
      <c r="M2268">
        <v>0</v>
      </c>
      <c r="N2268">
        <v>0</v>
      </c>
      <c r="O2268" s="5">
        <v>50758</v>
      </c>
      <c r="P2268" s="5">
        <v>50757</v>
      </c>
      <c r="Q2268">
        <v>21</v>
      </c>
      <c r="R2268" t="s">
        <v>46</v>
      </c>
      <c r="S2268" t="s">
        <v>39</v>
      </c>
      <c r="T2268">
        <v>20</v>
      </c>
      <c r="U2268">
        <v>84</v>
      </c>
      <c r="V2268">
        <v>14</v>
      </c>
      <c r="W2268">
        <v>13</v>
      </c>
      <c r="X2268">
        <v>29.4</v>
      </c>
      <c r="Z2268" t="s">
        <v>102</v>
      </c>
      <c r="AB2268" t="s">
        <v>86</v>
      </c>
      <c r="AC2268" t="s">
        <v>87</v>
      </c>
    </row>
    <row r="2269" spans="1:30" x14ac:dyDescent="0.35">
      <c r="A2269" s="4">
        <v>42576</v>
      </c>
      <c r="B2269" t="s">
        <v>30</v>
      </c>
      <c r="C2269">
        <v>701</v>
      </c>
      <c r="D2269">
        <v>5</v>
      </c>
      <c r="E2269">
        <v>1</v>
      </c>
      <c r="F2269" t="s">
        <v>42</v>
      </c>
      <c r="G2269" t="s">
        <v>32</v>
      </c>
      <c r="H2269" t="s">
        <v>33</v>
      </c>
      <c r="I2269" t="s">
        <v>43</v>
      </c>
      <c r="J2269" t="s">
        <v>44</v>
      </c>
      <c r="K2269" t="s">
        <v>113</v>
      </c>
      <c r="L2269" t="s">
        <v>37</v>
      </c>
      <c r="M2269">
        <v>0</v>
      </c>
      <c r="N2269">
        <v>0</v>
      </c>
      <c r="O2269" s="5">
        <v>50761</v>
      </c>
      <c r="P2269" s="5">
        <v>50760</v>
      </c>
      <c r="Q2269">
        <f>27.5-10</f>
        <v>17.5</v>
      </c>
      <c r="R2269" t="s">
        <v>64</v>
      </c>
      <c r="T2269">
        <v>19</v>
      </c>
      <c r="U2269">
        <v>85</v>
      </c>
      <c r="V2269">
        <v>17</v>
      </c>
      <c r="W2269">
        <v>13.3</v>
      </c>
      <c r="X2269">
        <v>30.1</v>
      </c>
      <c r="Z2269" t="s">
        <v>102</v>
      </c>
      <c r="AB2269" t="s">
        <v>86</v>
      </c>
      <c r="AC2269" t="s">
        <v>87</v>
      </c>
    </row>
    <row r="2270" spans="1:30" x14ac:dyDescent="0.35">
      <c r="A2270" s="4">
        <v>42576</v>
      </c>
      <c r="B2270" t="s">
        <v>30</v>
      </c>
      <c r="C2270">
        <v>901</v>
      </c>
      <c r="D2270">
        <v>2</v>
      </c>
      <c r="E2270">
        <v>1</v>
      </c>
      <c r="F2270" t="s">
        <v>42</v>
      </c>
      <c r="G2270" t="s">
        <v>32</v>
      </c>
      <c r="H2270" t="s">
        <v>33</v>
      </c>
      <c r="I2270" t="s">
        <v>43</v>
      </c>
      <c r="J2270" t="s">
        <v>44</v>
      </c>
      <c r="K2270" t="s">
        <v>113</v>
      </c>
      <c r="L2270" t="s">
        <v>37</v>
      </c>
      <c r="M2270">
        <v>0</v>
      </c>
      <c r="N2270">
        <v>0</v>
      </c>
      <c r="O2270" s="5">
        <v>50766</v>
      </c>
      <c r="P2270" s="5">
        <v>50765</v>
      </c>
      <c r="Q2270">
        <f>26-9.5</f>
        <v>16.5</v>
      </c>
      <c r="R2270" t="s">
        <v>38</v>
      </c>
      <c r="T2270">
        <v>19</v>
      </c>
      <c r="U2270">
        <v>83</v>
      </c>
      <c r="V2270">
        <v>17</v>
      </c>
      <c r="W2270">
        <v>13.1</v>
      </c>
      <c r="Z2270" t="s">
        <v>39</v>
      </c>
      <c r="AB2270" t="s">
        <v>86</v>
      </c>
      <c r="AC2270" t="s">
        <v>87</v>
      </c>
    </row>
    <row r="2271" spans="1:30" x14ac:dyDescent="0.35">
      <c r="A2271" s="4">
        <v>42576</v>
      </c>
      <c r="B2271" t="s">
        <v>30</v>
      </c>
      <c r="C2271">
        <v>901</v>
      </c>
      <c r="D2271">
        <v>3</v>
      </c>
      <c r="E2271">
        <v>1</v>
      </c>
      <c r="F2271" t="s">
        <v>281</v>
      </c>
      <c r="G2271" t="s">
        <v>32</v>
      </c>
      <c r="H2271" t="s">
        <v>33</v>
      </c>
      <c r="I2271" t="s">
        <v>43</v>
      </c>
      <c r="J2271" t="s">
        <v>44</v>
      </c>
      <c r="K2271" t="s">
        <v>113</v>
      </c>
      <c r="L2271" t="s">
        <v>37</v>
      </c>
      <c r="M2271">
        <v>0</v>
      </c>
      <c r="N2271">
        <v>0</v>
      </c>
      <c r="O2271" s="5">
        <v>50799</v>
      </c>
      <c r="P2271" s="5">
        <v>50798</v>
      </c>
      <c r="Q2271">
        <v>14</v>
      </c>
      <c r="R2271" t="s">
        <v>38</v>
      </c>
      <c r="T2271">
        <v>19</v>
      </c>
      <c r="U2271">
        <v>85</v>
      </c>
      <c r="V2271">
        <v>18</v>
      </c>
      <c r="W2271">
        <v>11.6</v>
      </c>
      <c r="X2271">
        <v>28.7</v>
      </c>
      <c r="Z2271" t="s">
        <v>102</v>
      </c>
      <c r="AB2271" t="s">
        <v>86</v>
      </c>
      <c r="AC2271" t="s">
        <v>87</v>
      </c>
    </row>
    <row r="2272" spans="1:30" x14ac:dyDescent="0.35">
      <c r="A2272" s="4">
        <v>42576</v>
      </c>
      <c r="B2272" t="s">
        <v>30</v>
      </c>
      <c r="C2272">
        <v>801</v>
      </c>
      <c r="D2272">
        <v>5</v>
      </c>
      <c r="E2272">
        <v>2</v>
      </c>
      <c r="F2272" t="s">
        <v>281</v>
      </c>
      <c r="G2272" t="s">
        <v>32</v>
      </c>
      <c r="H2272" t="s">
        <v>33</v>
      </c>
      <c r="I2272" t="s">
        <v>43</v>
      </c>
      <c r="J2272" t="s">
        <v>44</v>
      </c>
      <c r="K2272" t="s">
        <v>113</v>
      </c>
      <c r="L2272" t="s">
        <v>45</v>
      </c>
      <c r="M2272">
        <v>0</v>
      </c>
      <c r="N2272">
        <v>0</v>
      </c>
      <c r="O2272" s="5">
        <v>50860</v>
      </c>
      <c r="P2272" s="5">
        <v>50859</v>
      </c>
      <c r="Q2272">
        <f>40-13.5</f>
        <v>26.5</v>
      </c>
      <c r="R2272" t="s">
        <v>77</v>
      </c>
      <c r="S2272" t="s">
        <v>39</v>
      </c>
      <c r="T2272">
        <v>20</v>
      </c>
      <c r="U2272">
        <v>95</v>
      </c>
      <c r="V2272">
        <v>16</v>
      </c>
      <c r="W2272">
        <v>13.2</v>
      </c>
      <c r="X2272">
        <v>27.6</v>
      </c>
      <c r="Z2272" t="s">
        <v>39</v>
      </c>
      <c r="AB2272" t="s">
        <v>86</v>
      </c>
      <c r="AC2272" t="s">
        <v>87</v>
      </c>
    </row>
    <row r="2273" spans="1:29" x14ac:dyDescent="0.35">
      <c r="A2273" s="4">
        <v>42576</v>
      </c>
      <c r="B2273" t="s">
        <v>30</v>
      </c>
      <c r="C2273">
        <v>803</v>
      </c>
      <c r="D2273">
        <v>9</v>
      </c>
      <c r="E2273">
        <v>1</v>
      </c>
      <c r="F2273" t="s">
        <v>281</v>
      </c>
      <c r="G2273" t="s">
        <v>32</v>
      </c>
      <c r="H2273" t="s">
        <v>33</v>
      </c>
      <c r="I2273" t="s">
        <v>43</v>
      </c>
      <c r="J2273" t="s">
        <v>44</v>
      </c>
      <c r="K2273" t="s">
        <v>36</v>
      </c>
      <c r="L2273" t="s">
        <v>45</v>
      </c>
      <c r="M2273">
        <v>0</v>
      </c>
      <c r="N2273">
        <v>0</v>
      </c>
      <c r="O2273" s="5">
        <v>50862</v>
      </c>
      <c r="P2273" s="5">
        <v>50861</v>
      </c>
      <c r="Q2273">
        <v>21</v>
      </c>
      <c r="R2273" t="s">
        <v>46</v>
      </c>
      <c r="S2273" t="s">
        <v>39</v>
      </c>
      <c r="T2273">
        <v>19</v>
      </c>
      <c r="U2273">
        <v>91</v>
      </c>
      <c r="V2273">
        <v>16</v>
      </c>
      <c r="W2273">
        <v>13.2</v>
      </c>
      <c r="X2273">
        <v>28.5</v>
      </c>
      <c r="Z2273" t="s">
        <v>39</v>
      </c>
      <c r="AB2273" t="s">
        <v>86</v>
      </c>
      <c r="AC2273" t="s">
        <v>87</v>
      </c>
    </row>
    <row r="2274" spans="1:29" x14ac:dyDescent="0.35">
      <c r="A2274" s="4">
        <v>42576</v>
      </c>
      <c r="B2274" t="s">
        <v>30</v>
      </c>
      <c r="C2274">
        <v>803</v>
      </c>
      <c r="D2274">
        <v>7</v>
      </c>
      <c r="E2274">
        <v>2</v>
      </c>
      <c r="F2274" t="s">
        <v>42</v>
      </c>
      <c r="G2274" t="s">
        <v>32</v>
      </c>
      <c r="H2274" t="s">
        <v>33</v>
      </c>
      <c r="I2274" t="s">
        <v>43</v>
      </c>
      <c r="J2274" t="s">
        <v>44</v>
      </c>
      <c r="K2274" t="s">
        <v>113</v>
      </c>
      <c r="L2274" t="s">
        <v>37</v>
      </c>
      <c r="M2274">
        <v>0</v>
      </c>
      <c r="N2274">
        <v>0</v>
      </c>
      <c r="O2274" s="5">
        <v>50864</v>
      </c>
      <c r="P2274" s="5">
        <v>50863</v>
      </c>
      <c r="Q2274">
        <f>26.5-10</f>
        <v>16.5</v>
      </c>
      <c r="R2274" t="s">
        <v>64</v>
      </c>
      <c r="T2274">
        <v>19</v>
      </c>
      <c r="U2274">
        <v>82</v>
      </c>
      <c r="V2274">
        <v>16</v>
      </c>
      <c r="W2274">
        <v>13.1</v>
      </c>
      <c r="X2274">
        <v>27</v>
      </c>
      <c r="Z2274" t="s">
        <v>39</v>
      </c>
      <c r="AB2274" t="s">
        <v>86</v>
      </c>
      <c r="AC2274" t="s">
        <v>87</v>
      </c>
    </row>
    <row r="2275" spans="1:29" x14ac:dyDescent="0.35">
      <c r="A2275" s="4">
        <v>42576</v>
      </c>
      <c r="B2275" t="s">
        <v>30</v>
      </c>
      <c r="C2275">
        <v>801</v>
      </c>
      <c r="D2275">
        <v>1</v>
      </c>
      <c r="E2275">
        <v>1</v>
      </c>
      <c r="F2275" t="s">
        <v>281</v>
      </c>
      <c r="G2275" t="s">
        <v>32</v>
      </c>
      <c r="H2275" t="s">
        <v>33</v>
      </c>
      <c r="I2275" t="s">
        <v>43</v>
      </c>
      <c r="J2275" t="s">
        <v>44</v>
      </c>
      <c r="K2275" t="s">
        <v>113</v>
      </c>
      <c r="L2275" t="s">
        <v>45</v>
      </c>
      <c r="M2275">
        <v>0</v>
      </c>
      <c r="N2275">
        <v>0</v>
      </c>
      <c r="O2275" s="5">
        <v>50868</v>
      </c>
      <c r="P2275" s="5">
        <v>50867</v>
      </c>
      <c r="Q2275">
        <f>24-9</f>
        <v>15</v>
      </c>
      <c r="R2275" t="s">
        <v>46</v>
      </c>
      <c r="S2275" t="s">
        <v>39</v>
      </c>
      <c r="T2275">
        <v>19</v>
      </c>
      <c r="U2275">
        <v>71</v>
      </c>
      <c r="V2275">
        <v>16</v>
      </c>
      <c r="W2275">
        <v>11.4</v>
      </c>
      <c r="X2275">
        <v>28.8</v>
      </c>
      <c r="Z2275" t="s">
        <v>39</v>
      </c>
      <c r="AB2275" t="s">
        <v>86</v>
      </c>
      <c r="AC2275" t="s">
        <v>87</v>
      </c>
    </row>
    <row r="2276" spans="1:29" x14ac:dyDescent="0.35">
      <c r="A2276" s="4">
        <v>42576</v>
      </c>
      <c r="B2276" t="s">
        <v>30</v>
      </c>
      <c r="C2276">
        <v>801</v>
      </c>
      <c r="D2276">
        <v>2</v>
      </c>
      <c r="E2276">
        <v>2</v>
      </c>
      <c r="F2276" t="s">
        <v>42</v>
      </c>
      <c r="G2276" t="s">
        <v>32</v>
      </c>
      <c r="H2276" t="s">
        <v>33</v>
      </c>
      <c r="I2276" t="s">
        <v>43</v>
      </c>
      <c r="J2276" t="s">
        <v>35</v>
      </c>
      <c r="K2276" t="s">
        <v>88</v>
      </c>
      <c r="L2276" t="s">
        <v>45</v>
      </c>
      <c r="M2276">
        <v>0</v>
      </c>
      <c r="N2276">
        <v>1</v>
      </c>
      <c r="O2276" s="5">
        <v>50872</v>
      </c>
      <c r="P2276" s="5">
        <v>50871</v>
      </c>
      <c r="Q2276">
        <f>24.5-12.5</f>
        <v>12</v>
      </c>
      <c r="R2276" t="s">
        <v>46</v>
      </c>
      <c r="S2276" t="s">
        <v>39</v>
      </c>
      <c r="T2276">
        <v>20</v>
      </c>
      <c r="U2276">
        <v>74.5</v>
      </c>
      <c r="V2276">
        <v>15</v>
      </c>
      <c r="W2276">
        <v>12.3</v>
      </c>
      <c r="X2276">
        <v>27.9</v>
      </c>
      <c r="Z2276" t="s">
        <v>39</v>
      </c>
      <c r="AB2276" t="s">
        <v>86</v>
      </c>
      <c r="AC2276" t="s">
        <v>87</v>
      </c>
    </row>
    <row r="2277" spans="1:29" x14ac:dyDescent="0.35">
      <c r="A2277" s="4">
        <v>42576</v>
      </c>
      <c r="B2277" t="s">
        <v>30</v>
      </c>
      <c r="C2277">
        <v>801</v>
      </c>
      <c r="D2277">
        <v>4</v>
      </c>
      <c r="E2277">
        <v>1</v>
      </c>
      <c r="F2277" t="s">
        <v>42</v>
      </c>
      <c r="G2277" t="s">
        <v>32</v>
      </c>
      <c r="H2277" t="s">
        <v>33</v>
      </c>
      <c r="I2277" t="s">
        <v>43</v>
      </c>
      <c r="J2277" t="s">
        <v>35</v>
      </c>
      <c r="K2277" t="s">
        <v>88</v>
      </c>
      <c r="L2277" t="s">
        <v>45</v>
      </c>
      <c r="M2277">
        <v>0</v>
      </c>
      <c r="N2277">
        <v>1</v>
      </c>
      <c r="O2277" s="5">
        <v>50874</v>
      </c>
      <c r="P2277" s="5">
        <v>50873</v>
      </c>
      <c r="Q2277">
        <f>22.5-10.5</f>
        <v>12</v>
      </c>
      <c r="R2277" t="s">
        <v>46</v>
      </c>
      <c r="S2277" t="s">
        <v>39</v>
      </c>
      <c r="T2277">
        <v>19</v>
      </c>
      <c r="U2277">
        <v>77.5</v>
      </c>
      <c r="V2277">
        <v>15</v>
      </c>
      <c r="W2277">
        <v>12.3</v>
      </c>
      <c r="X2277">
        <v>26.3</v>
      </c>
      <c r="Z2277" t="s">
        <v>39</v>
      </c>
      <c r="AB2277" t="s">
        <v>86</v>
      </c>
      <c r="AC2277" t="s">
        <v>87</v>
      </c>
    </row>
    <row r="2278" spans="1:29" x14ac:dyDescent="0.35">
      <c r="A2278" s="4">
        <v>42576</v>
      </c>
      <c r="B2278" t="s">
        <v>30</v>
      </c>
      <c r="C2278">
        <v>801</v>
      </c>
      <c r="D2278">
        <v>4</v>
      </c>
      <c r="E2278">
        <v>2</v>
      </c>
      <c r="F2278" t="s">
        <v>42</v>
      </c>
      <c r="G2278" t="s">
        <v>32</v>
      </c>
      <c r="H2278" t="s">
        <v>33</v>
      </c>
      <c r="I2278" t="s">
        <v>43</v>
      </c>
      <c r="J2278" t="s">
        <v>35</v>
      </c>
      <c r="K2278" t="s">
        <v>88</v>
      </c>
      <c r="L2278" t="s">
        <v>45</v>
      </c>
      <c r="M2278">
        <v>0</v>
      </c>
      <c r="N2278">
        <v>1</v>
      </c>
      <c r="O2278" s="5">
        <v>50875</v>
      </c>
      <c r="P2278" s="5">
        <v>50925</v>
      </c>
      <c r="Q2278">
        <v>11</v>
      </c>
      <c r="R2278" t="s">
        <v>46</v>
      </c>
      <c r="S2278" t="s">
        <v>39</v>
      </c>
      <c r="T2278">
        <v>19</v>
      </c>
      <c r="U2278">
        <v>77</v>
      </c>
      <c r="V2278">
        <v>17</v>
      </c>
      <c r="W2278">
        <v>12.3</v>
      </c>
      <c r="X2278">
        <v>27.4</v>
      </c>
      <c r="Z2278" t="s">
        <v>39</v>
      </c>
      <c r="AB2278" t="s">
        <v>86</v>
      </c>
      <c r="AC2278" t="s">
        <v>87</v>
      </c>
    </row>
    <row r="2279" spans="1:29" x14ac:dyDescent="0.35">
      <c r="A2279" s="4">
        <v>42576</v>
      </c>
      <c r="B2279" t="s">
        <v>30</v>
      </c>
      <c r="C2279">
        <v>901</v>
      </c>
      <c r="D2279">
        <v>4</v>
      </c>
      <c r="E2279">
        <v>1</v>
      </c>
      <c r="F2279" t="s">
        <v>42</v>
      </c>
      <c r="G2279" t="s">
        <v>32</v>
      </c>
      <c r="H2279" t="s">
        <v>33</v>
      </c>
      <c r="I2279" t="s">
        <v>43</v>
      </c>
      <c r="J2279" t="s">
        <v>35</v>
      </c>
      <c r="K2279" t="s">
        <v>36</v>
      </c>
      <c r="L2279" t="s">
        <v>37</v>
      </c>
      <c r="M2279">
        <v>0</v>
      </c>
      <c r="N2279">
        <v>1</v>
      </c>
      <c r="O2279" s="5">
        <v>50920</v>
      </c>
      <c r="P2279" s="5">
        <v>50921</v>
      </c>
      <c r="Q2279">
        <f>32.5-12</f>
        <v>20.5</v>
      </c>
      <c r="R2279" t="s">
        <v>64</v>
      </c>
      <c r="T2279">
        <v>17</v>
      </c>
      <c r="U2279">
        <v>83</v>
      </c>
      <c r="V2279">
        <v>17</v>
      </c>
      <c r="W2279">
        <v>13.7</v>
      </c>
      <c r="X2279">
        <v>27</v>
      </c>
      <c r="Y2279" t="s">
        <v>283</v>
      </c>
      <c r="Z2279" t="s">
        <v>39</v>
      </c>
      <c r="AB2279" t="s">
        <v>86</v>
      </c>
      <c r="AC2279" t="s">
        <v>87</v>
      </c>
    </row>
    <row r="2280" spans="1:29" x14ac:dyDescent="0.35">
      <c r="A2280" s="4">
        <v>42576</v>
      </c>
      <c r="B2280" t="s">
        <v>30</v>
      </c>
      <c r="C2280">
        <v>801</v>
      </c>
      <c r="D2280">
        <v>9</v>
      </c>
      <c r="E2280">
        <v>1</v>
      </c>
      <c r="F2280" t="s">
        <v>42</v>
      </c>
      <c r="G2280" t="s">
        <v>32</v>
      </c>
      <c r="H2280" t="s">
        <v>33</v>
      </c>
      <c r="I2280" t="s">
        <v>43</v>
      </c>
      <c r="J2280" t="s">
        <v>35</v>
      </c>
      <c r="K2280" t="s">
        <v>88</v>
      </c>
      <c r="L2280" t="s">
        <v>45</v>
      </c>
      <c r="M2280">
        <v>0</v>
      </c>
      <c r="N2280">
        <v>1</v>
      </c>
      <c r="O2280" s="5">
        <v>50923</v>
      </c>
      <c r="P2280" s="5">
        <v>50922</v>
      </c>
      <c r="Q2280">
        <f>27-15.5</f>
        <v>11.5</v>
      </c>
      <c r="R2280" t="s">
        <v>46</v>
      </c>
      <c r="S2280" t="s">
        <v>39</v>
      </c>
      <c r="T2280">
        <v>19</v>
      </c>
      <c r="U2280">
        <v>81</v>
      </c>
      <c r="V2280">
        <v>16</v>
      </c>
      <c r="W2280">
        <v>12.8</v>
      </c>
      <c r="X2280">
        <v>26.7</v>
      </c>
      <c r="Z2280" t="s">
        <v>39</v>
      </c>
      <c r="AB2280" t="s">
        <v>86</v>
      </c>
      <c r="AC2280" t="s">
        <v>87</v>
      </c>
    </row>
    <row r="2281" spans="1:29" x14ac:dyDescent="0.35">
      <c r="A2281" s="4">
        <v>42576</v>
      </c>
      <c r="B2281" t="s">
        <v>30</v>
      </c>
      <c r="C2281">
        <v>503</v>
      </c>
      <c r="D2281">
        <v>9</v>
      </c>
      <c r="E2281">
        <v>1</v>
      </c>
      <c r="F2281" t="s">
        <v>31</v>
      </c>
      <c r="G2281" t="s">
        <v>32</v>
      </c>
      <c r="H2281" t="s">
        <v>33</v>
      </c>
      <c r="I2281" t="s">
        <v>43</v>
      </c>
      <c r="J2281" t="s">
        <v>35</v>
      </c>
      <c r="K2281" t="s">
        <v>113</v>
      </c>
      <c r="L2281" t="s">
        <v>37</v>
      </c>
      <c r="M2281">
        <v>0</v>
      </c>
      <c r="N2281">
        <v>1</v>
      </c>
      <c r="O2281" s="5">
        <v>50962</v>
      </c>
      <c r="P2281" s="5">
        <v>50961</v>
      </c>
      <c r="Q2281">
        <f>29-13</f>
        <v>16</v>
      </c>
      <c r="R2281" t="s">
        <v>38</v>
      </c>
      <c r="T2281">
        <v>20</v>
      </c>
      <c r="U2281">
        <v>84</v>
      </c>
      <c r="V2281">
        <v>16</v>
      </c>
      <c r="W2281">
        <v>12.8</v>
      </c>
      <c r="X2281">
        <v>27.3</v>
      </c>
      <c r="Z2281" t="s">
        <v>102</v>
      </c>
      <c r="AA2281" t="s">
        <v>201</v>
      </c>
      <c r="AB2281" t="s">
        <v>86</v>
      </c>
      <c r="AC2281" t="s">
        <v>87</v>
      </c>
    </row>
    <row r="2282" spans="1:29" x14ac:dyDescent="0.35">
      <c r="A2282" s="4">
        <v>42576</v>
      </c>
      <c r="B2282" t="s">
        <v>30</v>
      </c>
      <c r="C2282">
        <v>503</v>
      </c>
      <c r="D2282">
        <v>8</v>
      </c>
      <c r="E2282">
        <v>1</v>
      </c>
      <c r="F2282" t="s">
        <v>31</v>
      </c>
      <c r="G2282" t="s">
        <v>32</v>
      </c>
      <c r="H2282" t="s">
        <v>33</v>
      </c>
      <c r="I2282" t="s">
        <v>43</v>
      </c>
      <c r="J2282" t="s">
        <v>35</v>
      </c>
      <c r="K2282" t="s">
        <v>88</v>
      </c>
      <c r="L2282" t="s">
        <v>37</v>
      </c>
      <c r="M2282">
        <v>0</v>
      </c>
      <c r="N2282">
        <v>1</v>
      </c>
      <c r="O2282" s="5">
        <v>50964</v>
      </c>
      <c r="P2282" s="5">
        <v>50963</v>
      </c>
      <c r="Q2282">
        <f>26.5-14</f>
        <v>12.5</v>
      </c>
      <c r="R2282" t="s">
        <v>64</v>
      </c>
      <c r="T2282">
        <v>17</v>
      </c>
      <c r="U2282">
        <v>76</v>
      </c>
      <c r="V2282">
        <v>16</v>
      </c>
      <c r="W2282">
        <v>12.8</v>
      </c>
      <c r="X2282">
        <v>25.4</v>
      </c>
      <c r="Z2282" t="s">
        <v>102</v>
      </c>
      <c r="AA2282" t="s">
        <v>201</v>
      </c>
      <c r="AB2282" t="s">
        <v>86</v>
      </c>
      <c r="AC2282" t="s">
        <v>87</v>
      </c>
    </row>
    <row r="2283" spans="1:29" x14ac:dyDescent="0.35">
      <c r="A2283" s="4">
        <v>42576</v>
      </c>
      <c r="B2283" t="s">
        <v>30</v>
      </c>
      <c r="C2283">
        <v>503</v>
      </c>
      <c r="D2283">
        <v>7</v>
      </c>
      <c r="E2283">
        <v>2</v>
      </c>
      <c r="F2283" t="s">
        <v>31</v>
      </c>
      <c r="G2283" t="s">
        <v>32</v>
      </c>
      <c r="H2283" t="s">
        <v>33</v>
      </c>
      <c r="I2283" t="s">
        <v>43</v>
      </c>
      <c r="J2283" t="s">
        <v>35</v>
      </c>
      <c r="K2283" t="s">
        <v>88</v>
      </c>
      <c r="L2283" t="s">
        <v>45</v>
      </c>
      <c r="M2283">
        <v>0</v>
      </c>
      <c r="N2283">
        <v>1</v>
      </c>
      <c r="O2283" s="5">
        <v>50966</v>
      </c>
      <c r="P2283" s="5">
        <v>50965</v>
      </c>
      <c r="Q2283">
        <f>32-17</f>
        <v>15</v>
      </c>
      <c r="R2283" t="s">
        <v>46</v>
      </c>
      <c r="S2283" t="s">
        <v>39</v>
      </c>
      <c r="T2283">
        <v>17</v>
      </c>
      <c r="U2283">
        <v>76</v>
      </c>
      <c r="V2283">
        <v>15</v>
      </c>
      <c r="W2283">
        <v>12.9</v>
      </c>
      <c r="X2283">
        <v>25.2</v>
      </c>
      <c r="Z2283" t="s">
        <v>102</v>
      </c>
      <c r="AA2283" t="s">
        <v>201</v>
      </c>
      <c r="AB2283" t="s">
        <v>86</v>
      </c>
      <c r="AC2283" t="s">
        <v>87</v>
      </c>
    </row>
    <row r="2284" spans="1:29" x14ac:dyDescent="0.35">
      <c r="A2284" s="4">
        <v>42576</v>
      </c>
      <c r="B2284" t="s">
        <v>30</v>
      </c>
      <c r="C2284">
        <v>503</v>
      </c>
      <c r="D2284">
        <v>7</v>
      </c>
      <c r="E2284">
        <v>1</v>
      </c>
      <c r="F2284" t="s">
        <v>31</v>
      </c>
      <c r="G2284" t="s">
        <v>32</v>
      </c>
      <c r="H2284" t="s">
        <v>33</v>
      </c>
      <c r="I2284" t="s">
        <v>43</v>
      </c>
      <c r="J2284" t="s">
        <v>44</v>
      </c>
      <c r="K2284" t="s">
        <v>36</v>
      </c>
      <c r="L2284" t="s">
        <v>45</v>
      </c>
      <c r="M2284">
        <v>0</v>
      </c>
      <c r="N2284">
        <v>0</v>
      </c>
      <c r="O2284" s="5">
        <v>50968</v>
      </c>
      <c r="P2284" s="5">
        <v>50467</v>
      </c>
      <c r="Q2284">
        <v>20</v>
      </c>
      <c r="R2284" t="s">
        <v>161</v>
      </c>
      <c r="S2284" t="s">
        <v>102</v>
      </c>
      <c r="T2284">
        <v>19</v>
      </c>
      <c r="U2284">
        <v>84</v>
      </c>
      <c r="V2284">
        <v>17</v>
      </c>
      <c r="W2284">
        <v>12.9</v>
      </c>
      <c r="X2284">
        <v>27.4</v>
      </c>
      <c r="Z2284" t="s">
        <v>102</v>
      </c>
      <c r="AA2284" t="s">
        <v>201</v>
      </c>
      <c r="AB2284" t="s">
        <v>86</v>
      </c>
      <c r="AC2284" t="s">
        <v>87</v>
      </c>
    </row>
    <row r="2285" spans="1:29" x14ac:dyDescent="0.35">
      <c r="A2285" s="4">
        <v>42576</v>
      </c>
      <c r="B2285" t="s">
        <v>30</v>
      </c>
      <c r="C2285">
        <v>503</v>
      </c>
      <c r="D2285">
        <v>1</v>
      </c>
      <c r="E2285">
        <v>2</v>
      </c>
      <c r="F2285" t="s">
        <v>31</v>
      </c>
      <c r="G2285" t="s">
        <v>32</v>
      </c>
      <c r="H2285" t="s">
        <v>33</v>
      </c>
      <c r="I2285" t="s">
        <v>43</v>
      </c>
      <c r="J2285" t="s">
        <v>35</v>
      </c>
      <c r="K2285" t="s">
        <v>88</v>
      </c>
      <c r="L2285" t="s">
        <v>37</v>
      </c>
      <c r="M2285">
        <v>0</v>
      </c>
      <c r="N2285">
        <v>1</v>
      </c>
      <c r="O2285" s="5">
        <v>50971</v>
      </c>
      <c r="P2285" s="5">
        <v>50970</v>
      </c>
      <c r="Q2285">
        <v>15</v>
      </c>
      <c r="R2285" t="s">
        <v>64</v>
      </c>
      <c r="T2285">
        <v>19</v>
      </c>
      <c r="U2285">
        <v>81</v>
      </c>
      <c r="V2285">
        <v>16</v>
      </c>
      <c r="W2285">
        <v>12.6</v>
      </c>
      <c r="X2285">
        <v>26.7</v>
      </c>
      <c r="Z2285" t="s">
        <v>39</v>
      </c>
      <c r="AB2285" t="s">
        <v>86</v>
      </c>
      <c r="AC2285" t="s">
        <v>87</v>
      </c>
    </row>
    <row r="2286" spans="1:29" x14ac:dyDescent="0.35">
      <c r="A2286" s="4">
        <v>42576</v>
      </c>
      <c r="B2286" t="s">
        <v>30</v>
      </c>
      <c r="C2286">
        <v>501</v>
      </c>
      <c r="D2286">
        <v>9</v>
      </c>
      <c r="E2286">
        <v>1</v>
      </c>
      <c r="F2286" t="s">
        <v>31</v>
      </c>
      <c r="G2286" t="s">
        <v>32</v>
      </c>
      <c r="H2286" t="s">
        <v>33</v>
      </c>
      <c r="I2286" t="s">
        <v>43</v>
      </c>
      <c r="J2286" t="s">
        <v>35</v>
      </c>
      <c r="K2286" t="s">
        <v>88</v>
      </c>
      <c r="L2286" t="s">
        <v>37</v>
      </c>
      <c r="M2286">
        <v>0</v>
      </c>
      <c r="N2286">
        <v>1</v>
      </c>
      <c r="O2286" s="5">
        <v>50973</v>
      </c>
      <c r="P2286" s="5">
        <v>50972</v>
      </c>
      <c r="Q2286">
        <f>27-13</f>
        <v>14</v>
      </c>
      <c r="R2286" t="s">
        <v>64</v>
      </c>
      <c r="T2286">
        <v>20</v>
      </c>
      <c r="U2286">
        <v>86</v>
      </c>
      <c r="V2286">
        <v>16</v>
      </c>
      <c r="W2286">
        <v>12.7</v>
      </c>
      <c r="X2286">
        <v>27.2</v>
      </c>
      <c r="Z2286" t="s">
        <v>39</v>
      </c>
      <c r="AB2286" t="s">
        <v>86</v>
      </c>
      <c r="AC2286" t="s">
        <v>87</v>
      </c>
    </row>
    <row r="2287" spans="1:29" x14ac:dyDescent="0.35">
      <c r="A2287" s="4">
        <v>42576</v>
      </c>
      <c r="B2287" t="s">
        <v>30</v>
      </c>
      <c r="C2287">
        <v>501</v>
      </c>
      <c r="D2287">
        <v>4</v>
      </c>
      <c r="E2287">
        <v>1</v>
      </c>
      <c r="F2287" t="s">
        <v>31</v>
      </c>
      <c r="G2287" t="s">
        <v>32</v>
      </c>
      <c r="H2287" t="s">
        <v>33</v>
      </c>
      <c r="I2287" t="s">
        <v>43</v>
      </c>
      <c r="J2287" t="s">
        <v>35</v>
      </c>
      <c r="K2287" t="s">
        <v>36</v>
      </c>
      <c r="L2287" t="s">
        <v>45</v>
      </c>
      <c r="M2287">
        <v>0</v>
      </c>
      <c r="N2287">
        <v>1</v>
      </c>
      <c r="O2287" s="5">
        <v>50975</v>
      </c>
      <c r="P2287" s="5">
        <v>50974</v>
      </c>
      <c r="Q2287">
        <f>31.5-12</f>
        <v>19.5</v>
      </c>
      <c r="R2287" t="s">
        <v>61</v>
      </c>
      <c r="S2287" t="s">
        <v>39</v>
      </c>
      <c r="T2287">
        <v>18</v>
      </c>
      <c r="U2287">
        <v>87</v>
      </c>
      <c r="V2287">
        <v>15</v>
      </c>
      <c r="W2287">
        <v>13.1</v>
      </c>
      <c r="X2287">
        <v>27</v>
      </c>
      <c r="Z2287" t="s">
        <v>39</v>
      </c>
      <c r="AB2287" t="s">
        <v>86</v>
      </c>
      <c r="AC2287" t="s">
        <v>87</v>
      </c>
    </row>
    <row r="2288" spans="1:29" x14ac:dyDescent="0.35">
      <c r="A2288" s="4">
        <v>42576</v>
      </c>
      <c r="B2288" t="s">
        <v>30</v>
      </c>
      <c r="C2288">
        <v>801</v>
      </c>
      <c r="D2288">
        <v>3</v>
      </c>
      <c r="E2288">
        <v>2</v>
      </c>
      <c r="F2288" t="s">
        <v>281</v>
      </c>
      <c r="G2288" t="s">
        <v>32</v>
      </c>
      <c r="H2288" t="s">
        <v>33</v>
      </c>
      <c r="I2288" t="s">
        <v>43</v>
      </c>
      <c r="J2288" t="s">
        <v>35</v>
      </c>
      <c r="K2288" t="s">
        <v>88</v>
      </c>
      <c r="L2288" t="s">
        <v>45</v>
      </c>
      <c r="M2288">
        <v>0</v>
      </c>
      <c r="N2288">
        <v>1</v>
      </c>
      <c r="O2288" s="5">
        <v>50998</v>
      </c>
      <c r="P2288" s="5">
        <v>50999</v>
      </c>
      <c r="Q2288">
        <v>13</v>
      </c>
      <c r="R2288" t="s">
        <v>46</v>
      </c>
      <c r="S2288" t="s">
        <v>39</v>
      </c>
      <c r="T2288">
        <v>19.5</v>
      </c>
      <c r="U2288">
        <v>80</v>
      </c>
      <c r="V2288">
        <v>14</v>
      </c>
      <c r="W2288">
        <v>12.6</v>
      </c>
      <c r="X2288">
        <v>28.3</v>
      </c>
      <c r="Z2288" t="s">
        <v>39</v>
      </c>
      <c r="AB2288" t="s">
        <v>86</v>
      </c>
      <c r="AC2288" t="s">
        <v>87</v>
      </c>
    </row>
    <row r="2289" spans="1:30" x14ac:dyDescent="0.35">
      <c r="A2289" s="4">
        <v>42576</v>
      </c>
      <c r="B2289" t="s">
        <v>30</v>
      </c>
      <c r="C2289">
        <v>901</v>
      </c>
      <c r="D2289">
        <v>2</v>
      </c>
      <c r="E2289">
        <v>2</v>
      </c>
      <c r="F2289" t="s">
        <v>281</v>
      </c>
      <c r="G2289" t="s">
        <v>32</v>
      </c>
      <c r="H2289" t="s">
        <v>33</v>
      </c>
      <c r="I2289" t="s">
        <v>43</v>
      </c>
      <c r="J2289" t="s">
        <v>44</v>
      </c>
      <c r="K2289" t="s">
        <v>36</v>
      </c>
      <c r="L2289" t="s">
        <v>45</v>
      </c>
      <c r="M2289">
        <v>0</v>
      </c>
      <c r="N2289">
        <v>0</v>
      </c>
      <c r="O2289" s="5" t="s">
        <v>99</v>
      </c>
      <c r="P2289" s="5" t="s">
        <v>171</v>
      </c>
      <c r="Q2289">
        <f>31-12</f>
        <v>19</v>
      </c>
      <c r="R2289" t="s">
        <v>46</v>
      </c>
      <c r="S2289" t="s">
        <v>39</v>
      </c>
      <c r="T2289">
        <v>19</v>
      </c>
      <c r="U2289">
        <v>89</v>
      </c>
      <c r="V2289">
        <v>19</v>
      </c>
      <c r="W2289">
        <v>12.6</v>
      </c>
      <c r="X2289">
        <v>24.1</v>
      </c>
      <c r="Z2289" t="s">
        <v>39</v>
      </c>
      <c r="AB2289" t="s">
        <v>86</v>
      </c>
      <c r="AC2289" t="s">
        <v>87</v>
      </c>
    </row>
    <row r="2290" spans="1:30" x14ac:dyDescent="0.35">
      <c r="A2290" s="4">
        <v>42576</v>
      </c>
      <c r="B2290" t="s">
        <v>30</v>
      </c>
      <c r="C2290">
        <v>801</v>
      </c>
      <c r="D2290">
        <v>7</v>
      </c>
      <c r="E2290">
        <v>2</v>
      </c>
      <c r="F2290" t="s">
        <v>281</v>
      </c>
      <c r="G2290" t="s">
        <v>32</v>
      </c>
      <c r="H2290" t="s">
        <v>33</v>
      </c>
      <c r="I2290" t="s">
        <v>34</v>
      </c>
      <c r="J2290" t="s">
        <v>44</v>
      </c>
      <c r="K2290" t="s">
        <v>36</v>
      </c>
      <c r="L2290" t="s">
        <v>37</v>
      </c>
      <c r="M2290">
        <v>0</v>
      </c>
      <c r="N2290">
        <v>0</v>
      </c>
      <c r="O2290" s="5" t="s">
        <v>168</v>
      </c>
      <c r="P2290" s="5">
        <v>50392</v>
      </c>
      <c r="Q2290">
        <f>238-130</f>
        <v>108</v>
      </c>
      <c r="R2290" t="s">
        <v>38</v>
      </c>
      <c r="T2290">
        <v>32</v>
      </c>
      <c r="W2290">
        <v>27.4</v>
      </c>
      <c r="X2290">
        <v>45.3</v>
      </c>
      <c r="Z2290" t="s">
        <v>39</v>
      </c>
      <c r="AB2290" t="s">
        <v>86</v>
      </c>
      <c r="AC2290" t="s">
        <v>87</v>
      </c>
    </row>
    <row r="2291" spans="1:30" x14ac:dyDescent="0.35">
      <c r="A2291" s="4">
        <v>42576</v>
      </c>
      <c r="B2291" t="s">
        <v>30</v>
      </c>
      <c r="C2291">
        <v>501</v>
      </c>
      <c r="D2291">
        <v>3</v>
      </c>
      <c r="E2291">
        <v>2</v>
      </c>
      <c r="F2291" t="s">
        <v>31</v>
      </c>
      <c r="G2291" t="s">
        <v>32</v>
      </c>
      <c r="H2291" t="s">
        <v>33</v>
      </c>
      <c r="I2291" t="s">
        <v>34</v>
      </c>
      <c r="J2291" t="s">
        <v>122</v>
      </c>
      <c r="O2291" s="5"/>
      <c r="P2291" s="5"/>
    </row>
    <row r="2292" spans="1:30" x14ac:dyDescent="0.35">
      <c r="A2292" s="4">
        <v>42576</v>
      </c>
      <c r="B2292" t="s">
        <v>30</v>
      </c>
      <c r="C2292">
        <v>801</v>
      </c>
      <c r="D2292">
        <v>9</v>
      </c>
      <c r="E2292">
        <v>2</v>
      </c>
      <c r="F2292" t="s">
        <v>281</v>
      </c>
      <c r="G2292" t="s">
        <v>32</v>
      </c>
      <c r="H2292" t="s">
        <v>33</v>
      </c>
      <c r="I2292" t="s">
        <v>34</v>
      </c>
      <c r="J2292" t="s">
        <v>122</v>
      </c>
      <c r="O2292" s="5"/>
      <c r="P2292" s="5"/>
      <c r="Q2292">
        <f>215-130</f>
        <v>85</v>
      </c>
    </row>
    <row r="2293" spans="1:30" x14ac:dyDescent="0.35">
      <c r="A2293" s="4">
        <v>42576</v>
      </c>
      <c r="B2293" t="s">
        <v>30</v>
      </c>
      <c r="C2293">
        <v>401</v>
      </c>
      <c r="D2293">
        <v>6</v>
      </c>
      <c r="E2293">
        <v>1</v>
      </c>
      <c r="F2293" t="s">
        <v>31</v>
      </c>
      <c r="G2293" t="s">
        <v>32</v>
      </c>
      <c r="H2293" t="s">
        <v>33</v>
      </c>
      <c r="I2293" t="s">
        <v>104</v>
      </c>
      <c r="J2293" t="s">
        <v>122</v>
      </c>
      <c r="O2293" s="5"/>
      <c r="P2293" s="5"/>
    </row>
    <row r="2294" spans="1:30" x14ac:dyDescent="0.35">
      <c r="A2294" s="4">
        <v>42576</v>
      </c>
      <c r="B2294" t="s">
        <v>30</v>
      </c>
      <c r="C2294">
        <v>303</v>
      </c>
      <c r="D2294">
        <v>7</v>
      </c>
      <c r="E2294">
        <v>1</v>
      </c>
      <c r="F2294" t="s">
        <v>31</v>
      </c>
      <c r="G2294" t="s">
        <v>32</v>
      </c>
      <c r="H2294" t="s">
        <v>33</v>
      </c>
      <c r="I2294" t="s">
        <v>58</v>
      </c>
      <c r="J2294" t="s">
        <v>44</v>
      </c>
      <c r="K2294" t="s">
        <v>36</v>
      </c>
      <c r="L2294" t="s">
        <v>37</v>
      </c>
      <c r="M2294">
        <v>0</v>
      </c>
      <c r="N2294">
        <v>0</v>
      </c>
      <c r="O2294" s="5">
        <v>50344</v>
      </c>
      <c r="P2294" s="5"/>
      <c r="Q2294">
        <f>34-12</f>
        <v>22</v>
      </c>
      <c r="R2294" t="s">
        <v>38</v>
      </c>
      <c r="T2294">
        <v>17</v>
      </c>
      <c r="W2294">
        <v>12.7</v>
      </c>
      <c r="X2294">
        <v>26.9</v>
      </c>
      <c r="Z2294" t="s">
        <v>102</v>
      </c>
      <c r="AA2294" t="s">
        <v>201</v>
      </c>
      <c r="AB2294" t="s">
        <v>86</v>
      </c>
      <c r="AC2294" t="s">
        <v>87</v>
      </c>
      <c r="AD2294" t="s">
        <v>284</v>
      </c>
    </row>
    <row r="2295" spans="1:30" x14ac:dyDescent="0.35">
      <c r="A2295" s="4">
        <v>42576</v>
      </c>
      <c r="B2295" t="s">
        <v>30</v>
      </c>
      <c r="C2295">
        <v>303</v>
      </c>
      <c r="D2295">
        <v>10</v>
      </c>
      <c r="E2295">
        <v>1</v>
      </c>
      <c r="F2295" t="s">
        <v>31</v>
      </c>
      <c r="G2295" t="s">
        <v>32</v>
      </c>
      <c r="H2295" t="s">
        <v>33</v>
      </c>
      <c r="I2295" t="s">
        <v>58</v>
      </c>
      <c r="J2295" t="s">
        <v>44</v>
      </c>
      <c r="K2295" t="s">
        <v>36</v>
      </c>
      <c r="L2295" t="s">
        <v>37</v>
      </c>
      <c r="M2295">
        <v>0</v>
      </c>
      <c r="N2295">
        <v>0</v>
      </c>
      <c r="O2295" s="5">
        <v>50439</v>
      </c>
      <c r="P2295" s="5"/>
      <c r="Q2295">
        <v>23</v>
      </c>
      <c r="R2295" t="s">
        <v>38</v>
      </c>
      <c r="T2295">
        <v>18.5</v>
      </c>
      <c r="W2295">
        <v>12.9</v>
      </c>
      <c r="X2295">
        <v>27.5</v>
      </c>
      <c r="Z2295" t="s">
        <v>102</v>
      </c>
      <c r="AA2295" t="s">
        <v>285</v>
      </c>
      <c r="AB2295" t="s">
        <v>86</v>
      </c>
      <c r="AC2295" t="s">
        <v>87</v>
      </c>
    </row>
    <row r="2296" spans="1:30" x14ac:dyDescent="0.35">
      <c r="A2296" s="4">
        <v>42576</v>
      </c>
      <c r="B2296" t="s">
        <v>30</v>
      </c>
      <c r="C2296">
        <v>703</v>
      </c>
      <c r="D2296">
        <v>1</v>
      </c>
      <c r="E2296">
        <v>1</v>
      </c>
      <c r="F2296" t="s">
        <v>281</v>
      </c>
      <c r="G2296" t="s">
        <v>32</v>
      </c>
      <c r="H2296" t="s">
        <v>33</v>
      </c>
      <c r="I2296" t="s">
        <v>58</v>
      </c>
      <c r="J2296" t="s">
        <v>44</v>
      </c>
      <c r="K2296" t="s">
        <v>36</v>
      </c>
      <c r="L2296" t="s">
        <v>37</v>
      </c>
      <c r="M2296">
        <v>0</v>
      </c>
      <c r="N2296">
        <v>0</v>
      </c>
      <c r="O2296" s="5">
        <v>50505</v>
      </c>
      <c r="P2296" s="5" t="s">
        <v>168</v>
      </c>
      <c r="Q2296">
        <v>20</v>
      </c>
      <c r="R2296" t="s">
        <v>38</v>
      </c>
      <c r="T2296">
        <v>18</v>
      </c>
      <c r="W2296">
        <v>13.8</v>
      </c>
      <c r="X2296">
        <v>30.2</v>
      </c>
      <c r="Z2296" t="s">
        <v>39</v>
      </c>
      <c r="AB2296" t="s">
        <v>86</v>
      </c>
      <c r="AC2296" t="s">
        <v>87</v>
      </c>
    </row>
    <row r="2297" spans="1:30" x14ac:dyDescent="0.35">
      <c r="A2297" s="4">
        <v>42576</v>
      </c>
      <c r="B2297" t="s">
        <v>30</v>
      </c>
      <c r="C2297">
        <v>801</v>
      </c>
      <c r="D2297">
        <v>5</v>
      </c>
      <c r="E2297">
        <v>1</v>
      </c>
      <c r="F2297" t="s">
        <v>281</v>
      </c>
      <c r="G2297" t="s">
        <v>32</v>
      </c>
      <c r="H2297" t="s">
        <v>33</v>
      </c>
      <c r="I2297" t="s">
        <v>58</v>
      </c>
      <c r="J2297" t="s">
        <v>44</v>
      </c>
      <c r="K2297" t="s">
        <v>36</v>
      </c>
      <c r="L2297" t="s">
        <v>45</v>
      </c>
      <c r="M2297">
        <v>0</v>
      </c>
      <c r="N2297">
        <v>0</v>
      </c>
      <c r="O2297" s="5">
        <v>50756</v>
      </c>
      <c r="P2297" s="5"/>
      <c r="Q2297">
        <f>38-9.5</f>
        <v>28.5</v>
      </c>
      <c r="R2297" t="s">
        <v>74</v>
      </c>
      <c r="S2297" t="s">
        <v>102</v>
      </c>
      <c r="T2297">
        <v>17</v>
      </c>
      <c r="W2297">
        <v>13.5</v>
      </c>
      <c r="X2297">
        <v>30.8</v>
      </c>
      <c r="Z2297" t="s">
        <v>39</v>
      </c>
      <c r="AB2297" t="s">
        <v>86</v>
      </c>
      <c r="AC2297" t="s">
        <v>87</v>
      </c>
    </row>
    <row r="2298" spans="1:30" x14ac:dyDescent="0.35">
      <c r="A2298" s="4">
        <v>42576</v>
      </c>
      <c r="B2298" t="s">
        <v>30</v>
      </c>
      <c r="C2298">
        <v>503</v>
      </c>
      <c r="D2298">
        <v>2</v>
      </c>
      <c r="E2298">
        <v>2</v>
      </c>
      <c r="F2298" t="s">
        <v>31</v>
      </c>
      <c r="G2298" t="s">
        <v>32</v>
      </c>
      <c r="H2298" t="s">
        <v>33</v>
      </c>
      <c r="I2298" t="s">
        <v>58</v>
      </c>
      <c r="J2298" t="s">
        <v>35</v>
      </c>
      <c r="K2298" t="s">
        <v>36</v>
      </c>
      <c r="L2298" t="s">
        <v>45</v>
      </c>
      <c r="M2298">
        <v>0</v>
      </c>
      <c r="N2298">
        <v>1</v>
      </c>
      <c r="O2298" s="5">
        <v>50826</v>
      </c>
      <c r="P2298" s="5"/>
      <c r="Q2298">
        <f>33-11</f>
        <v>22</v>
      </c>
      <c r="R2298" t="s">
        <v>61</v>
      </c>
      <c r="S2298" t="s">
        <v>39</v>
      </c>
      <c r="T2298">
        <v>17</v>
      </c>
      <c r="W2298">
        <v>12.9</v>
      </c>
      <c r="X2298">
        <v>27.3</v>
      </c>
      <c r="Z2298" t="s">
        <v>102</v>
      </c>
      <c r="AA2298" t="s">
        <v>286</v>
      </c>
      <c r="AB2298" t="s">
        <v>86</v>
      </c>
      <c r="AC2298" t="s">
        <v>87</v>
      </c>
    </row>
    <row r="2299" spans="1:30" x14ac:dyDescent="0.35">
      <c r="A2299" s="4">
        <v>42576</v>
      </c>
      <c r="B2299" t="s">
        <v>30</v>
      </c>
      <c r="C2299">
        <v>801</v>
      </c>
      <c r="D2299">
        <v>6</v>
      </c>
      <c r="E2299">
        <v>1</v>
      </c>
      <c r="F2299" t="s">
        <v>42</v>
      </c>
      <c r="G2299" t="s">
        <v>32</v>
      </c>
      <c r="H2299" t="s">
        <v>33</v>
      </c>
      <c r="I2299" t="s">
        <v>58</v>
      </c>
      <c r="J2299" t="s">
        <v>35</v>
      </c>
      <c r="K2299" t="s">
        <v>88</v>
      </c>
      <c r="L2299" t="s">
        <v>37</v>
      </c>
      <c r="M2299">
        <v>0</v>
      </c>
      <c r="N2299">
        <v>1</v>
      </c>
      <c r="O2299" s="5">
        <v>50924</v>
      </c>
      <c r="P2299" s="5"/>
      <c r="Q2299">
        <v>17</v>
      </c>
      <c r="R2299" t="s">
        <v>64</v>
      </c>
      <c r="T2299">
        <v>17</v>
      </c>
      <c r="W2299">
        <v>13.2</v>
      </c>
      <c r="X2299">
        <v>26.1</v>
      </c>
      <c r="Z2299" t="s">
        <v>39</v>
      </c>
      <c r="AB2299" t="s">
        <v>86</v>
      </c>
      <c r="AC2299" t="s">
        <v>87</v>
      </c>
    </row>
    <row r="2300" spans="1:30" x14ac:dyDescent="0.35">
      <c r="A2300" s="4">
        <v>42576</v>
      </c>
      <c r="B2300" t="s">
        <v>30</v>
      </c>
      <c r="C2300">
        <v>401</v>
      </c>
      <c r="D2300">
        <v>5</v>
      </c>
      <c r="E2300">
        <v>2</v>
      </c>
      <c r="F2300" t="s">
        <v>31</v>
      </c>
      <c r="G2300" t="s">
        <v>32</v>
      </c>
      <c r="H2300" t="s">
        <v>33</v>
      </c>
      <c r="I2300" t="s">
        <v>58</v>
      </c>
      <c r="J2300" t="s">
        <v>35</v>
      </c>
      <c r="K2300" t="s">
        <v>113</v>
      </c>
      <c r="L2300" t="s">
        <v>37</v>
      </c>
      <c r="M2300">
        <v>0</v>
      </c>
      <c r="N2300">
        <v>1</v>
      </c>
      <c r="O2300" s="5">
        <v>50958</v>
      </c>
      <c r="P2300" s="5"/>
      <c r="Q2300">
        <f>27.5-9.5</f>
        <v>18</v>
      </c>
      <c r="R2300" t="s">
        <v>38</v>
      </c>
      <c r="T2300">
        <v>18</v>
      </c>
      <c r="Z2300" t="s">
        <v>102</v>
      </c>
      <c r="AA2300" t="s">
        <v>201</v>
      </c>
      <c r="AB2300" t="s">
        <v>86</v>
      </c>
      <c r="AC2300" t="s">
        <v>87</v>
      </c>
    </row>
    <row r="2301" spans="1:30" x14ac:dyDescent="0.35">
      <c r="A2301" s="4">
        <v>42576</v>
      </c>
      <c r="B2301" t="s">
        <v>30</v>
      </c>
      <c r="C2301">
        <v>401</v>
      </c>
      <c r="D2301">
        <v>3</v>
      </c>
      <c r="E2301">
        <v>1</v>
      </c>
      <c r="F2301" t="s">
        <v>31</v>
      </c>
      <c r="G2301" t="s">
        <v>32</v>
      </c>
      <c r="H2301" t="s">
        <v>33</v>
      </c>
      <c r="I2301" t="s">
        <v>58</v>
      </c>
      <c r="J2301" t="s">
        <v>35</v>
      </c>
      <c r="K2301" t="s">
        <v>36</v>
      </c>
      <c r="L2301" t="s">
        <v>45</v>
      </c>
      <c r="M2301">
        <v>0</v>
      </c>
      <c r="N2301">
        <v>1</v>
      </c>
      <c r="O2301" s="5">
        <v>50959</v>
      </c>
      <c r="P2301" s="5"/>
      <c r="Q2301">
        <f>36-14</f>
        <v>22</v>
      </c>
      <c r="R2301" t="s">
        <v>61</v>
      </c>
      <c r="S2301" t="s">
        <v>39</v>
      </c>
      <c r="Z2301" t="s">
        <v>102</v>
      </c>
      <c r="AA2301" t="s">
        <v>201</v>
      </c>
      <c r="AB2301" t="s">
        <v>86</v>
      </c>
      <c r="AC2301" t="s">
        <v>87</v>
      </c>
    </row>
    <row r="2302" spans="1:30" x14ac:dyDescent="0.35">
      <c r="A2302" s="4">
        <v>42576</v>
      </c>
      <c r="B2302" t="s">
        <v>30</v>
      </c>
      <c r="C2302">
        <v>303</v>
      </c>
      <c r="D2302">
        <v>2</v>
      </c>
      <c r="E2302">
        <v>1</v>
      </c>
      <c r="F2302" t="s">
        <v>31</v>
      </c>
      <c r="G2302" t="s">
        <v>32</v>
      </c>
      <c r="H2302" t="s">
        <v>33</v>
      </c>
      <c r="I2302" t="s">
        <v>58</v>
      </c>
      <c r="J2302" t="s">
        <v>35</v>
      </c>
      <c r="K2302" t="s">
        <v>36</v>
      </c>
      <c r="L2302" t="s">
        <v>37</v>
      </c>
      <c r="M2302">
        <v>0</v>
      </c>
      <c r="N2302">
        <v>1</v>
      </c>
      <c r="O2302" s="5">
        <v>50960</v>
      </c>
      <c r="P2302" s="5"/>
      <c r="Q2302">
        <f>35-11</f>
        <v>24</v>
      </c>
      <c r="R2302" t="s">
        <v>38</v>
      </c>
      <c r="T2302">
        <v>17</v>
      </c>
      <c r="W2302">
        <v>12.8</v>
      </c>
      <c r="X2302">
        <v>27.6</v>
      </c>
      <c r="Z2302" t="s">
        <v>102</v>
      </c>
      <c r="AA2302" t="s">
        <v>287</v>
      </c>
      <c r="AB2302" t="s">
        <v>86</v>
      </c>
      <c r="AC2302" t="s">
        <v>87</v>
      </c>
      <c r="AD2302" t="s">
        <v>288</v>
      </c>
    </row>
    <row r="2303" spans="1:30" x14ac:dyDescent="0.35">
      <c r="A2303" s="4">
        <v>42576</v>
      </c>
      <c r="B2303" t="s">
        <v>30</v>
      </c>
      <c r="C2303">
        <v>701</v>
      </c>
      <c r="D2303">
        <v>6</v>
      </c>
      <c r="E2303">
        <v>1</v>
      </c>
      <c r="F2303" t="s">
        <v>281</v>
      </c>
      <c r="G2303" t="s">
        <v>32</v>
      </c>
      <c r="H2303" t="s">
        <v>33</v>
      </c>
      <c r="I2303" t="s">
        <v>58</v>
      </c>
      <c r="J2303" t="s">
        <v>35</v>
      </c>
      <c r="K2303" t="s">
        <v>36</v>
      </c>
      <c r="L2303" t="s">
        <v>45</v>
      </c>
      <c r="M2303">
        <v>0</v>
      </c>
      <c r="N2303">
        <v>1</v>
      </c>
      <c r="O2303" s="5">
        <v>51000</v>
      </c>
      <c r="P2303" s="5"/>
      <c r="Q2303">
        <f>46-19.5</f>
        <v>26.5</v>
      </c>
      <c r="R2303" t="s">
        <v>74</v>
      </c>
      <c r="S2303" t="s">
        <v>102</v>
      </c>
      <c r="T2303">
        <v>20</v>
      </c>
      <c r="W2303">
        <v>14.6</v>
      </c>
      <c r="X2303">
        <v>30.9</v>
      </c>
      <c r="Z2303" t="s">
        <v>102</v>
      </c>
      <c r="AB2303" t="s">
        <v>86</v>
      </c>
      <c r="AC2303" t="s">
        <v>87</v>
      </c>
    </row>
    <row r="2304" spans="1:30" x14ac:dyDescent="0.35">
      <c r="A2304" s="4">
        <v>42576</v>
      </c>
      <c r="B2304" t="s">
        <v>30</v>
      </c>
      <c r="C2304">
        <v>501</v>
      </c>
      <c r="D2304">
        <v>5</v>
      </c>
      <c r="E2304">
        <v>2</v>
      </c>
      <c r="F2304" t="s">
        <v>31</v>
      </c>
      <c r="G2304" t="s">
        <v>32</v>
      </c>
      <c r="H2304" t="s">
        <v>33</v>
      </c>
      <c r="I2304" t="s">
        <v>58</v>
      </c>
      <c r="J2304" t="s">
        <v>44</v>
      </c>
      <c r="K2304" t="s">
        <v>36</v>
      </c>
      <c r="L2304" t="s">
        <v>45</v>
      </c>
      <c r="M2304">
        <v>0</v>
      </c>
      <c r="N2304">
        <v>0</v>
      </c>
      <c r="O2304" s="5" t="s">
        <v>279</v>
      </c>
      <c r="P2304" s="5"/>
      <c r="Q2304">
        <v>29</v>
      </c>
      <c r="R2304" t="s">
        <v>145</v>
      </c>
      <c r="S2304" t="s">
        <v>102</v>
      </c>
      <c r="T2304">
        <v>18.5</v>
      </c>
      <c r="W2304">
        <v>13</v>
      </c>
      <c r="X2304">
        <v>26.9</v>
      </c>
      <c r="Z2304" t="s">
        <v>102</v>
      </c>
      <c r="AA2304" t="s">
        <v>201</v>
      </c>
      <c r="AB2304" t="s">
        <v>86</v>
      </c>
      <c r="AC2304" t="s">
        <v>87</v>
      </c>
    </row>
    <row r="2305" spans="1:29" x14ac:dyDescent="0.35">
      <c r="A2305" s="4">
        <v>42576</v>
      </c>
      <c r="B2305" t="s">
        <v>30</v>
      </c>
      <c r="C2305">
        <v>701</v>
      </c>
      <c r="D2305">
        <v>4</v>
      </c>
      <c r="E2305">
        <v>1</v>
      </c>
      <c r="F2305" t="s">
        <v>281</v>
      </c>
      <c r="G2305" t="s">
        <v>32</v>
      </c>
      <c r="H2305" t="s">
        <v>33</v>
      </c>
      <c r="I2305" t="s">
        <v>58</v>
      </c>
      <c r="J2305" t="s">
        <v>122</v>
      </c>
      <c r="O2305" s="5"/>
      <c r="P2305" s="5"/>
      <c r="Q2305">
        <f>35-10</f>
        <v>25</v>
      </c>
    </row>
    <row r="2306" spans="1:29" x14ac:dyDescent="0.35">
      <c r="A2306" s="4">
        <v>42576</v>
      </c>
      <c r="B2306" t="s">
        <v>30</v>
      </c>
      <c r="C2306">
        <v>501</v>
      </c>
      <c r="D2306">
        <v>4</v>
      </c>
      <c r="E2306">
        <v>2</v>
      </c>
      <c r="F2306" t="s">
        <v>31</v>
      </c>
      <c r="G2306" t="s">
        <v>32</v>
      </c>
      <c r="H2306" t="s">
        <v>33</v>
      </c>
      <c r="I2306" t="s">
        <v>55</v>
      </c>
      <c r="J2306" t="s">
        <v>66</v>
      </c>
      <c r="O2306" s="5"/>
      <c r="P2306" s="5"/>
    </row>
    <row r="2307" spans="1:29" x14ac:dyDescent="0.35">
      <c r="A2307" s="4">
        <v>42576</v>
      </c>
      <c r="B2307" t="s">
        <v>30</v>
      </c>
      <c r="C2307">
        <v>501</v>
      </c>
      <c r="D2307">
        <v>8</v>
      </c>
      <c r="E2307">
        <v>1</v>
      </c>
      <c r="F2307" t="s">
        <v>31</v>
      </c>
      <c r="G2307" t="s">
        <v>32</v>
      </c>
      <c r="H2307" t="s">
        <v>33</v>
      </c>
      <c r="I2307" t="s">
        <v>55</v>
      </c>
      <c r="J2307" t="s">
        <v>66</v>
      </c>
      <c r="O2307" s="5"/>
      <c r="P2307" s="5"/>
    </row>
    <row r="2308" spans="1:29" x14ac:dyDescent="0.35">
      <c r="A2308" s="4">
        <v>42576</v>
      </c>
      <c r="B2308" t="s">
        <v>30</v>
      </c>
      <c r="C2308">
        <v>303</v>
      </c>
      <c r="D2308">
        <v>1</v>
      </c>
      <c r="E2308">
        <v>2</v>
      </c>
      <c r="F2308" t="s">
        <v>31</v>
      </c>
      <c r="G2308" t="s">
        <v>32</v>
      </c>
      <c r="H2308" t="s">
        <v>33</v>
      </c>
      <c r="I2308" t="s">
        <v>55</v>
      </c>
      <c r="J2308" t="s">
        <v>66</v>
      </c>
      <c r="O2308" s="5"/>
      <c r="P2308" s="5"/>
    </row>
    <row r="2309" spans="1:29" x14ac:dyDescent="0.35">
      <c r="A2309" s="4">
        <v>42576</v>
      </c>
      <c r="B2309" t="s">
        <v>30</v>
      </c>
      <c r="C2309">
        <v>303</v>
      </c>
      <c r="D2309">
        <v>4</v>
      </c>
      <c r="E2309">
        <v>1</v>
      </c>
      <c r="F2309" t="s">
        <v>31</v>
      </c>
      <c r="G2309" t="s">
        <v>32</v>
      </c>
      <c r="H2309" t="s">
        <v>33</v>
      </c>
      <c r="I2309" t="s">
        <v>55</v>
      </c>
      <c r="J2309" t="s">
        <v>123</v>
      </c>
      <c r="O2309" s="5"/>
      <c r="P2309" s="5"/>
    </row>
    <row r="2310" spans="1:29" x14ac:dyDescent="0.35">
      <c r="A2310" s="4">
        <v>42576</v>
      </c>
      <c r="B2310" t="s">
        <v>30</v>
      </c>
      <c r="C2310">
        <v>401</v>
      </c>
      <c r="D2310">
        <v>5</v>
      </c>
      <c r="E2310">
        <v>1</v>
      </c>
      <c r="F2310" t="s">
        <v>31</v>
      </c>
      <c r="G2310" t="s">
        <v>32</v>
      </c>
      <c r="H2310" t="s">
        <v>33</v>
      </c>
      <c r="I2310" t="s">
        <v>55</v>
      </c>
      <c r="J2310" t="s">
        <v>66</v>
      </c>
      <c r="O2310" s="5"/>
      <c r="P2310" s="5"/>
    </row>
    <row r="2311" spans="1:29" x14ac:dyDescent="0.35">
      <c r="A2311" s="4">
        <v>42576</v>
      </c>
      <c r="B2311" t="s">
        <v>30</v>
      </c>
      <c r="C2311">
        <v>701</v>
      </c>
      <c r="D2311">
        <v>1</v>
      </c>
      <c r="E2311">
        <v>1</v>
      </c>
      <c r="F2311" t="s">
        <v>281</v>
      </c>
      <c r="G2311" t="s">
        <v>32</v>
      </c>
      <c r="H2311" t="s">
        <v>33</v>
      </c>
      <c r="I2311" t="s">
        <v>55</v>
      </c>
      <c r="J2311" t="s">
        <v>66</v>
      </c>
      <c r="O2311" s="5"/>
      <c r="P2311" s="5"/>
    </row>
    <row r="2312" spans="1:29" x14ac:dyDescent="0.35">
      <c r="A2312" s="4">
        <v>42576</v>
      </c>
      <c r="B2312" t="s">
        <v>30</v>
      </c>
      <c r="C2312">
        <v>701</v>
      </c>
      <c r="D2312">
        <v>8</v>
      </c>
      <c r="E2312">
        <v>2</v>
      </c>
      <c r="F2312" t="s">
        <v>281</v>
      </c>
      <c r="G2312" t="s">
        <v>32</v>
      </c>
      <c r="H2312" t="s">
        <v>33</v>
      </c>
      <c r="I2312" t="s">
        <v>55</v>
      </c>
      <c r="J2312" t="s">
        <v>66</v>
      </c>
      <c r="O2312" s="5"/>
      <c r="P2312" s="5"/>
    </row>
    <row r="2313" spans="1:29" x14ac:dyDescent="0.35">
      <c r="A2313" s="4">
        <v>42576</v>
      </c>
      <c r="B2313" t="s">
        <v>30</v>
      </c>
      <c r="C2313">
        <v>701</v>
      </c>
      <c r="D2313">
        <v>9</v>
      </c>
      <c r="E2313">
        <v>1</v>
      </c>
      <c r="F2313" t="s">
        <v>281</v>
      </c>
      <c r="G2313" t="s">
        <v>32</v>
      </c>
      <c r="H2313" t="s">
        <v>33</v>
      </c>
      <c r="I2313" t="s">
        <v>55</v>
      </c>
      <c r="J2313" t="s">
        <v>123</v>
      </c>
      <c r="O2313" s="5"/>
      <c r="P2313" s="5"/>
    </row>
    <row r="2314" spans="1:29" x14ac:dyDescent="0.35">
      <c r="A2314" s="4">
        <v>42576</v>
      </c>
      <c r="B2314" t="s">
        <v>30</v>
      </c>
      <c r="C2314">
        <v>801</v>
      </c>
      <c r="D2314">
        <v>8</v>
      </c>
      <c r="E2314">
        <v>1</v>
      </c>
      <c r="F2314" t="s">
        <v>281</v>
      </c>
      <c r="G2314" t="s">
        <v>32</v>
      </c>
      <c r="H2314" t="s">
        <v>33</v>
      </c>
      <c r="I2314" t="s">
        <v>55</v>
      </c>
      <c r="J2314" t="s">
        <v>66</v>
      </c>
      <c r="O2314" s="5"/>
      <c r="P2314" s="5"/>
    </row>
    <row r="2315" spans="1:29" x14ac:dyDescent="0.35">
      <c r="A2315" s="4">
        <v>42576</v>
      </c>
      <c r="B2315" t="s">
        <v>30</v>
      </c>
      <c r="C2315">
        <v>801</v>
      </c>
      <c r="D2315">
        <v>7</v>
      </c>
      <c r="E2315">
        <v>1</v>
      </c>
      <c r="F2315" t="s">
        <v>281</v>
      </c>
      <c r="G2315" t="s">
        <v>32</v>
      </c>
      <c r="H2315" t="s">
        <v>33</v>
      </c>
      <c r="I2315" t="s">
        <v>72</v>
      </c>
      <c r="J2315" t="s">
        <v>123</v>
      </c>
      <c r="O2315" s="5"/>
      <c r="P2315" s="5"/>
      <c r="AB2315" t="s">
        <v>86</v>
      </c>
      <c r="AC2315" t="s">
        <v>87</v>
      </c>
    </row>
    <row r="2316" spans="1:29" x14ac:dyDescent="0.35">
      <c r="A2316" s="4">
        <v>42576</v>
      </c>
      <c r="B2316" t="s">
        <v>30</v>
      </c>
      <c r="C2316">
        <v>801</v>
      </c>
      <c r="D2316">
        <v>10</v>
      </c>
      <c r="E2316">
        <v>2</v>
      </c>
      <c r="F2316" t="s">
        <v>281</v>
      </c>
      <c r="G2316" t="s">
        <v>32</v>
      </c>
      <c r="H2316" t="s">
        <v>33</v>
      </c>
      <c r="I2316" t="s">
        <v>72</v>
      </c>
      <c r="J2316" t="s">
        <v>123</v>
      </c>
      <c r="O2316" s="5"/>
      <c r="P2316" s="5"/>
    </row>
    <row r="2317" spans="1:29" x14ac:dyDescent="0.35">
      <c r="A2317" s="4">
        <v>42576</v>
      </c>
      <c r="B2317" t="s">
        <v>30</v>
      </c>
      <c r="C2317">
        <v>901</v>
      </c>
      <c r="D2317">
        <v>3</v>
      </c>
      <c r="E2317">
        <v>2</v>
      </c>
      <c r="F2317" t="s">
        <v>281</v>
      </c>
      <c r="G2317" t="s">
        <v>32</v>
      </c>
      <c r="H2317" t="s">
        <v>33</v>
      </c>
      <c r="I2317" t="s">
        <v>84</v>
      </c>
      <c r="O2317" s="5"/>
      <c r="P2317" s="5"/>
    </row>
    <row r="2318" spans="1:29" x14ac:dyDescent="0.35">
      <c r="A2318" s="4">
        <v>42576</v>
      </c>
      <c r="B2318" t="s">
        <v>30</v>
      </c>
      <c r="C2318">
        <v>901</v>
      </c>
      <c r="D2318">
        <v>10</v>
      </c>
      <c r="E2318">
        <v>1</v>
      </c>
      <c r="F2318" t="s">
        <v>281</v>
      </c>
      <c r="G2318" t="s">
        <v>32</v>
      </c>
      <c r="H2318" t="s">
        <v>33</v>
      </c>
      <c r="I2318" t="s">
        <v>84</v>
      </c>
      <c r="O2318" s="5"/>
      <c r="P2318" s="5"/>
    </row>
    <row r="2319" spans="1:29" x14ac:dyDescent="0.35">
      <c r="A2319" s="4">
        <v>42576</v>
      </c>
      <c r="B2319" t="s">
        <v>30</v>
      </c>
      <c r="C2319">
        <v>501</v>
      </c>
      <c r="D2319">
        <v>1</v>
      </c>
      <c r="E2319">
        <v>1</v>
      </c>
      <c r="F2319" t="s">
        <v>31</v>
      </c>
      <c r="G2319" t="s">
        <v>32</v>
      </c>
      <c r="H2319" t="s">
        <v>33</v>
      </c>
      <c r="I2319" t="s">
        <v>59</v>
      </c>
      <c r="O2319" s="5"/>
      <c r="P2319" s="5"/>
    </row>
    <row r="2320" spans="1:29" x14ac:dyDescent="0.35">
      <c r="A2320" s="4">
        <v>42576</v>
      </c>
      <c r="B2320" t="s">
        <v>30</v>
      </c>
      <c r="C2320">
        <v>501</v>
      </c>
      <c r="D2320">
        <v>2</v>
      </c>
      <c r="E2320">
        <v>1</v>
      </c>
      <c r="F2320" t="s">
        <v>31</v>
      </c>
      <c r="G2320" t="s">
        <v>32</v>
      </c>
      <c r="H2320" t="s">
        <v>33</v>
      </c>
      <c r="I2320" t="s">
        <v>59</v>
      </c>
      <c r="O2320" s="5"/>
      <c r="P2320" s="5"/>
    </row>
    <row r="2321" spans="1:16" x14ac:dyDescent="0.35">
      <c r="A2321" s="4">
        <v>42576</v>
      </c>
      <c r="B2321" t="s">
        <v>30</v>
      </c>
      <c r="C2321">
        <v>501</v>
      </c>
      <c r="D2321">
        <v>3</v>
      </c>
      <c r="E2321">
        <v>1</v>
      </c>
      <c r="F2321" t="s">
        <v>31</v>
      </c>
      <c r="G2321" t="s">
        <v>32</v>
      </c>
      <c r="H2321" t="s">
        <v>33</v>
      </c>
      <c r="I2321" t="s">
        <v>59</v>
      </c>
      <c r="O2321" s="5"/>
      <c r="P2321" s="5"/>
    </row>
    <row r="2322" spans="1:16" x14ac:dyDescent="0.35">
      <c r="A2322" s="4">
        <v>42576</v>
      </c>
      <c r="B2322" t="s">
        <v>30</v>
      </c>
      <c r="C2322">
        <v>501</v>
      </c>
      <c r="D2322">
        <v>5</v>
      </c>
      <c r="E2322">
        <v>1</v>
      </c>
      <c r="F2322" t="s">
        <v>31</v>
      </c>
      <c r="G2322" t="s">
        <v>32</v>
      </c>
      <c r="H2322" t="s">
        <v>33</v>
      </c>
      <c r="I2322" t="s">
        <v>59</v>
      </c>
      <c r="O2322" s="5"/>
      <c r="P2322" s="5"/>
    </row>
    <row r="2323" spans="1:16" x14ac:dyDescent="0.35">
      <c r="A2323" s="4">
        <v>42576</v>
      </c>
      <c r="B2323" t="s">
        <v>30</v>
      </c>
      <c r="C2323">
        <v>501</v>
      </c>
      <c r="D2323">
        <v>6</v>
      </c>
      <c r="E2323">
        <v>1</v>
      </c>
      <c r="F2323" t="s">
        <v>31</v>
      </c>
      <c r="G2323" t="s">
        <v>32</v>
      </c>
      <c r="H2323" t="s">
        <v>33</v>
      </c>
      <c r="I2323" t="s">
        <v>59</v>
      </c>
      <c r="O2323" s="5"/>
      <c r="P2323" s="5"/>
    </row>
    <row r="2324" spans="1:16" x14ac:dyDescent="0.35">
      <c r="A2324" s="4">
        <v>42576</v>
      </c>
      <c r="B2324" t="s">
        <v>30</v>
      </c>
      <c r="C2324">
        <v>501</v>
      </c>
      <c r="D2324">
        <v>7</v>
      </c>
      <c r="E2324">
        <v>1</v>
      </c>
      <c r="F2324" t="s">
        <v>31</v>
      </c>
      <c r="G2324" t="s">
        <v>32</v>
      </c>
      <c r="H2324" t="s">
        <v>33</v>
      </c>
      <c r="I2324" t="s">
        <v>59</v>
      </c>
      <c r="O2324" s="5"/>
      <c r="P2324" s="5"/>
    </row>
    <row r="2325" spans="1:16" x14ac:dyDescent="0.35">
      <c r="A2325" s="4">
        <v>42576</v>
      </c>
      <c r="B2325" t="s">
        <v>30</v>
      </c>
      <c r="C2325">
        <v>501</v>
      </c>
      <c r="D2325">
        <v>10</v>
      </c>
      <c r="E2325">
        <v>1</v>
      </c>
      <c r="F2325" t="s">
        <v>31</v>
      </c>
      <c r="G2325" t="s">
        <v>32</v>
      </c>
      <c r="H2325" t="s">
        <v>33</v>
      </c>
      <c r="I2325" t="s">
        <v>59</v>
      </c>
      <c r="O2325" s="5"/>
      <c r="P2325" s="5"/>
    </row>
    <row r="2326" spans="1:16" x14ac:dyDescent="0.35">
      <c r="A2326" s="4">
        <v>42576</v>
      </c>
      <c r="B2326" t="s">
        <v>30</v>
      </c>
      <c r="C2326">
        <v>501</v>
      </c>
      <c r="D2326">
        <v>10</v>
      </c>
      <c r="E2326">
        <v>2</v>
      </c>
      <c r="F2326" t="s">
        <v>31</v>
      </c>
      <c r="G2326" t="s">
        <v>32</v>
      </c>
      <c r="H2326" t="s">
        <v>33</v>
      </c>
      <c r="I2326" t="s">
        <v>59</v>
      </c>
      <c r="O2326" s="5"/>
      <c r="P2326" s="5"/>
    </row>
    <row r="2327" spans="1:16" x14ac:dyDescent="0.35">
      <c r="A2327" s="4">
        <v>42576</v>
      </c>
      <c r="B2327" t="s">
        <v>30</v>
      </c>
      <c r="C2327">
        <v>503</v>
      </c>
      <c r="D2327">
        <v>1</v>
      </c>
      <c r="E2327">
        <v>1</v>
      </c>
      <c r="F2327" t="s">
        <v>31</v>
      </c>
      <c r="G2327" t="s">
        <v>32</v>
      </c>
      <c r="H2327" t="s">
        <v>33</v>
      </c>
      <c r="I2327" t="s">
        <v>59</v>
      </c>
      <c r="O2327" s="5"/>
      <c r="P2327" s="5"/>
    </row>
    <row r="2328" spans="1:16" x14ac:dyDescent="0.35">
      <c r="A2328" s="4">
        <v>42576</v>
      </c>
      <c r="B2328" t="s">
        <v>30</v>
      </c>
      <c r="C2328">
        <v>503</v>
      </c>
      <c r="D2328">
        <v>2</v>
      </c>
      <c r="E2328">
        <v>1</v>
      </c>
      <c r="F2328" t="s">
        <v>31</v>
      </c>
      <c r="G2328" t="s">
        <v>32</v>
      </c>
      <c r="H2328" t="s">
        <v>33</v>
      </c>
      <c r="I2328" t="s">
        <v>59</v>
      </c>
      <c r="O2328" s="5"/>
      <c r="P2328" s="5"/>
    </row>
    <row r="2329" spans="1:16" x14ac:dyDescent="0.35">
      <c r="A2329" s="4">
        <v>42576</v>
      </c>
      <c r="B2329" t="s">
        <v>30</v>
      </c>
      <c r="C2329">
        <v>503</v>
      </c>
      <c r="D2329">
        <v>5</v>
      </c>
      <c r="E2329">
        <v>1</v>
      </c>
      <c r="F2329" t="s">
        <v>31</v>
      </c>
      <c r="G2329" t="s">
        <v>32</v>
      </c>
      <c r="H2329" t="s">
        <v>33</v>
      </c>
      <c r="I2329" t="s">
        <v>59</v>
      </c>
      <c r="O2329" s="5"/>
      <c r="P2329" s="5"/>
    </row>
    <row r="2330" spans="1:16" x14ac:dyDescent="0.35">
      <c r="A2330" s="4">
        <v>42576</v>
      </c>
      <c r="B2330" t="s">
        <v>30</v>
      </c>
      <c r="C2330">
        <v>503</v>
      </c>
      <c r="D2330">
        <v>6</v>
      </c>
      <c r="E2330">
        <v>1</v>
      </c>
      <c r="F2330" t="s">
        <v>31</v>
      </c>
      <c r="G2330" t="s">
        <v>32</v>
      </c>
      <c r="H2330" t="s">
        <v>33</v>
      </c>
      <c r="I2330" t="s">
        <v>59</v>
      </c>
      <c r="O2330" s="5"/>
      <c r="P2330" s="5"/>
    </row>
    <row r="2331" spans="1:16" x14ac:dyDescent="0.35">
      <c r="A2331" s="4">
        <v>42576</v>
      </c>
      <c r="B2331" t="s">
        <v>30</v>
      </c>
      <c r="C2331">
        <v>303</v>
      </c>
      <c r="D2331">
        <v>1</v>
      </c>
      <c r="E2331">
        <v>1</v>
      </c>
      <c r="F2331" t="s">
        <v>31</v>
      </c>
      <c r="G2331" t="s">
        <v>32</v>
      </c>
      <c r="H2331" t="s">
        <v>33</v>
      </c>
      <c r="I2331" t="s">
        <v>59</v>
      </c>
      <c r="O2331" s="5"/>
      <c r="P2331" s="5"/>
    </row>
    <row r="2332" spans="1:16" x14ac:dyDescent="0.35">
      <c r="A2332" s="4">
        <v>42576</v>
      </c>
      <c r="B2332" t="s">
        <v>30</v>
      </c>
      <c r="C2332">
        <v>303</v>
      </c>
      <c r="D2332">
        <v>2</v>
      </c>
      <c r="E2332">
        <v>2</v>
      </c>
      <c r="F2332" t="s">
        <v>31</v>
      </c>
      <c r="G2332" t="s">
        <v>32</v>
      </c>
      <c r="H2332" t="s">
        <v>33</v>
      </c>
      <c r="I2332" t="s">
        <v>59</v>
      </c>
      <c r="O2332" s="5"/>
      <c r="P2332" s="5"/>
    </row>
    <row r="2333" spans="1:16" x14ac:dyDescent="0.35">
      <c r="A2333" s="4">
        <v>42576</v>
      </c>
      <c r="B2333" t="s">
        <v>30</v>
      </c>
      <c r="C2333">
        <v>303</v>
      </c>
      <c r="D2333">
        <v>3</v>
      </c>
      <c r="E2333">
        <v>1</v>
      </c>
      <c r="F2333" t="s">
        <v>31</v>
      </c>
      <c r="G2333" t="s">
        <v>32</v>
      </c>
      <c r="H2333" t="s">
        <v>33</v>
      </c>
      <c r="I2333" t="s">
        <v>59</v>
      </c>
      <c r="O2333" s="5"/>
      <c r="P2333" s="5"/>
    </row>
    <row r="2334" spans="1:16" x14ac:dyDescent="0.35">
      <c r="A2334" s="4">
        <v>42576</v>
      </c>
      <c r="B2334" t="s">
        <v>30</v>
      </c>
      <c r="C2334">
        <v>303</v>
      </c>
      <c r="D2334">
        <v>3</v>
      </c>
      <c r="E2334">
        <v>2</v>
      </c>
      <c r="F2334" t="s">
        <v>31</v>
      </c>
      <c r="G2334" t="s">
        <v>32</v>
      </c>
      <c r="H2334" t="s">
        <v>33</v>
      </c>
      <c r="I2334" t="s">
        <v>59</v>
      </c>
      <c r="O2334" s="5"/>
      <c r="P2334" s="5"/>
    </row>
    <row r="2335" spans="1:16" x14ac:dyDescent="0.35">
      <c r="A2335" s="4">
        <v>42576</v>
      </c>
      <c r="B2335" t="s">
        <v>30</v>
      </c>
      <c r="C2335">
        <v>303</v>
      </c>
      <c r="D2335">
        <v>5</v>
      </c>
      <c r="E2335">
        <v>1</v>
      </c>
      <c r="F2335" t="s">
        <v>31</v>
      </c>
      <c r="G2335" t="s">
        <v>32</v>
      </c>
      <c r="H2335" t="s">
        <v>33</v>
      </c>
      <c r="I2335" t="s">
        <v>59</v>
      </c>
      <c r="O2335" s="5"/>
      <c r="P2335" s="5"/>
    </row>
    <row r="2336" spans="1:16" x14ac:dyDescent="0.35">
      <c r="A2336" s="4">
        <v>42576</v>
      </c>
      <c r="B2336" t="s">
        <v>30</v>
      </c>
      <c r="C2336">
        <v>303</v>
      </c>
      <c r="D2336">
        <v>5</v>
      </c>
      <c r="E2336">
        <v>2</v>
      </c>
      <c r="F2336" t="s">
        <v>31</v>
      </c>
      <c r="G2336" t="s">
        <v>32</v>
      </c>
      <c r="H2336" t="s">
        <v>33</v>
      </c>
      <c r="I2336" t="s">
        <v>59</v>
      </c>
      <c r="O2336" s="5"/>
      <c r="P2336" s="5"/>
    </row>
    <row r="2337" spans="1:16" x14ac:dyDescent="0.35">
      <c r="A2337" s="4">
        <v>42576</v>
      </c>
      <c r="B2337" t="s">
        <v>30</v>
      </c>
      <c r="C2337">
        <v>303</v>
      </c>
      <c r="D2337">
        <v>6</v>
      </c>
      <c r="E2337">
        <v>1</v>
      </c>
      <c r="F2337" t="s">
        <v>31</v>
      </c>
      <c r="G2337" t="s">
        <v>32</v>
      </c>
      <c r="H2337" t="s">
        <v>33</v>
      </c>
      <c r="I2337" t="s">
        <v>59</v>
      </c>
      <c r="O2337" s="5"/>
      <c r="P2337" s="5"/>
    </row>
    <row r="2338" spans="1:16" x14ac:dyDescent="0.35">
      <c r="A2338" s="4">
        <v>42576</v>
      </c>
      <c r="B2338" t="s">
        <v>30</v>
      </c>
      <c r="C2338">
        <v>303</v>
      </c>
      <c r="D2338">
        <v>6</v>
      </c>
      <c r="E2338">
        <v>2</v>
      </c>
      <c r="F2338" t="s">
        <v>31</v>
      </c>
      <c r="G2338" t="s">
        <v>32</v>
      </c>
      <c r="H2338" t="s">
        <v>33</v>
      </c>
      <c r="I2338" t="s">
        <v>59</v>
      </c>
      <c r="O2338" s="5"/>
      <c r="P2338" s="5"/>
    </row>
    <row r="2339" spans="1:16" x14ac:dyDescent="0.35">
      <c r="A2339" s="4">
        <v>42576</v>
      </c>
      <c r="B2339" t="s">
        <v>30</v>
      </c>
      <c r="C2339">
        <v>303</v>
      </c>
      <c r="D2339">
        <v>8</v>
      </c>
      <c r="E2339">
        <v>1</v>
      </c>
      <c r="F2339" t="s">
        <v>31</v>
      </c>
      <c r="G2339" t="s">
        <v>32</v>
      </c>
      <c r="H2339" t="s">
        <v>33</v>
      </c>
      <c r="I2339" t="s">
        <v>59</v>
      </c>
      <c r="O2339" s="5"/>
      <c r="P2339" s="5"/>
    </row>
    <row r="2340" spans="1:16" x14ac:dyDescent="0.35">
      <c r="A2340" s="4">
        <v>42576</v>
      </c>
      <c r="B2340" t="s">
        <v>30</v>
      </c>
      <c r="C2340">
        <v>303</v>
      </c>
      <c r="D2340">
        <v>8</v>
      </c>
      <c r="E2340">
        <v>2</v>
      </c>
      <c r="F2340" t="s">
        <v>31</v>
      </c>
      <c r="G2340" t="s">
        <v>32</v>
      </c>
      <c r="H2340" t="s">
        <v>33</v>
      </c>
      <c r="I2340" t="s">
        <v>59</v>
      </c>
      <c r="O2340" s="5"/>
      <c r="P2340" s="5"/>
    </row>
    <row r="2341" spans="1:16" x14ac:dyDescent="0.35">
      <c r="A2341" s="4">
        <v>42576</v>
      </c>
      <c r="B2341" t="s">
        <v>30</v>
      </c>
      <c r="C2341">
        <v>401</v>
      </c>
      <c r="D2341">
        <v>1</v>
      </c>
      <c r="E2341">
        <v>1</v>
      </c>
      <c r="F2341" t="s">
        <v>31</v>
      </c>
      <c r="G2341" t="s">
        <v>32</v>
      </c>
      <c r="H2341" t="s">
        <v>33</v>
      </c>
      <c r="I2341" t="s">
        <v>59</v>
      </c>
      <c r="O2341" s="5"/>
      <c r="P2341" s="5"/>
    </row>
    <row r="2342" spans="1:16" x14ac:dyDescent="0.35">
      <c r="A2342" s="4">
        <v>42576</v>
      </c>
      <c r="B2342" t="s">
        <v>30</v>
      </c>
      <c r="C2342">
        <v>401</v>
      </c>
      <c r="D2342">
        <v>4</v>
      </c>
      <c r="E2342">
        <v>1</v>
      </c>
      <c r="F2342" t="s">
        <v>31</v>
      </c>
      <c r="G2342" t="s">
        <v>32</v>
      </c>
      <c r="H2342" t="s">
        <v>33</v>
      </c>
      <c r="I2342" t="s">
        <v>59</v>
      </c>
      <c r="O2342" s="5"/>
      <c r="P2342" s="5"/>
    </row>
    <row r="2343" spans="1:16" x14ac:dyDescent="0.35">
      <c r="A2343" s="4">
        <v>42576</v>
      </c>
      <c r="B2343" t="s">
        <v>30</v>
      </c>
      <c r="C2343">
        <v>401</v>
      </c>
      <c r="D2343">
        <v>4</v>
      </c>
      <c r="E2343">
        <v>2</v>
      </c>
      <c r="F2343" t="s">
        <v>31</v>
      </c>
      <c r="G2343" t="s">
        <v>32</v>
      </c>
      <c r="H2343" t="s">
        <v>33</v>
      </c>
      <c r="I2343" t="s">
        <v>59</v>
      </c>
      <c r="O2343" s="5"/>
      <c r="P2343" s="5"/>
    </row>
    <row r="2344" spans="1:16" x14ac:dyDescent="0.35">
      <c r="A2344" s="4">
        <v>42576</v>
      </c>
      <c r="B2344" t="s">
        <v>30</v>
      </c>
      <c r="C2344">
        <v>703</v>
      </c>
      <c r="D2344">
        <v>1</v>
      </c>
      <c r="E2344">
        <v>2</v>
      </c>
      <c r="F2344" t="s">
        <v>281</v>
      </c>
      <c r="G2344" t="s">
        <v>32</v>
      </c>
      <c r="H2344" t="s">
        <v>33</v>
      </c>
      <c r="I2344" t="s">
        <v>59</v>
      </c>
      <c r="O2344" s="5"/>
      <c r="P2344" s="5"/>
    </row>
    <row r="2345" spans="1:16" x14ac:dyDescent="0.35">
      <c r="A2345" s="4">
        <v>42576</v>
      </c>
      <c r="B2345" t="s">
        <v>30</v>
      </c>
      <c r="C2345">
        <v>701</v>
      </c>
      <c r="D2345">
        <v>8</v>
      </c>
      <c r="E2345">
        <v>1</v>
      </c>
      <c r="F2345" t="s">
        <v>281</v>
      </c>
      <c r="G2345" t="s">
        <v>32</v>
      </c>
      <c r="H2345" t="s">
        <v>33</v>
      </c>
      <c r="I2345" t="s">
        <v>59</v>
      </c>
      <c r="O2345" s="5"/>
      <c r="P2345" s="5"/>
    </row>
    <row r="2346" spans="1:16" x14ac:dyDescent="0.35">
      <c r="A2346" s="4">
        <v>42576</v>
      </c>
      <c r="B2346" t="s">
        <v>30</v>
      </c>
      <c r="C2346">
        <v>801</v>
      </c>
      <c r="D2346">
        <v>8</v>
      </c>
      <c r="E2346">
        <v>1</v>
      </c>
      <c r="F2346" t="s">
        <v>281</v>
      </c>
      <c r="G2346" t="s">
        <v>32</v>
      </c>
      <c r="H2346" t="s">
        <v>33</v>
      </c>
      <c r="I2346" t="s">
        <v>59</v>
      </c>
      <c r="O2346" s="5"/>
      <c r="P2346" s="5"/>
    </row>
    <row r="2347" spans="1:16" x14ac:dyDescent="0.35">
      <c r="A2347" s="4">
        <v>42576</v>
      </c>
      <c r="B2347" t="s">
        <v>30</v>
      </c>
      <c r="C2347">
        <v>801</v>
      </c>
      <c r="D2347">
        <v>10</v>
      </c>
      <c r="E2347">
        <v>1</v>
      </c>
      <c r="F2347" t="s">
        <v>281</v>
      </c>
      <c r="G2347" t="s">
        <v>32</v>
      </c>
      <c r="H2347" t="s">
        <v>33</v>
      </c>
      <c r="I2347" t="s">
        <v>59</v>
      </c>
      <c r="O2347" s="5"/>
      <c r="P2347" s="5"/>
    </row>
    <row r="2348" spans="1:16" x14ac:dyDescent="0.35">
      <c r="A2348" s="4">
        <v>42576</v>
      </c>
      <c r="B2348" t="s">
        <v>30</v>
      </c>
      <c r="C2348">
        <v>803</v>
      </c>
      <c r="D2348">
        <v>6</v>
      </c>
      <c r="E2348">
        <v>1</v>
      </c>
      <c r="F2348" t="s">
        <v>281</v>
      </c>
      <c r="G2348" t="s">
        <v>32</v>
      </c>
      <c r="H2348" t="s">
        <v>33</v>
      </c>
      <c r="I2348" t="s">
        <v>59</v>
      </c>
      <c r="O2348" s="5"/>
      <c r="P2348" s="5"/>
    </row>
    <row r="2349" spans="1:16" x14ac:dyDescent="0.35">
      <c r="A2349" s="4">
        <v>42576</v>
      </c>
      <c r="B2349" t="s">
        <v>30</v>
      </c>
      <c r="C2349">
        <v>803</v>
      </c>
      <c r="D2349">
        <v>4</v>
      </c>
      <c r="E2349">
        <v>1</v>
      </c>
      <c r="F2349" t="s">
        <v>281</v>
      </c>
      <c r="G2349" t="s">
        <v>32</v>
      </c>
      <c r="H2349" t="s">
        <v>33</v>
      </c>
      <c r="I2349" t="s">
        <v>59</v>
      </c>
      <c r="O2349" s="5"/>
      <c r="P2349" s="5"/>
    </row>
    <row r="2350" spans="1:16" x14ac:dyDescent="0.35">
      <c r="A2350" s="4">
        <v>42576</v>
      </c>
      <c r="B2350" t="s">
        <v>30</v>
      </c>
      <c r="C2350">
        <v>803</v>
      </c>
      <c r="D2350">
        <v>3</v>
      </c>
      <c r="E2350">
        <v>1</v>
      </c>
      <c r="F2350" t="s">
        <v>281</v>
      </c>
      <c r="G2350" t="s">
        <v>32</v>
      </c>
      <c r="H2350" t="s">
        <v>33</v>
      </c>
      <c r="I2350" t="s">
        <v>59</v>
      </c>
      <c r="O2350" s="5"/>
      <c r="P2350" s="5"/>
    </row>
    <row r="2351" spans="1:16" x14ac:dyDescent="0.35">
      <c r="A2351" s="4">
        <v>42576</v>
      </c>
      <c r="B2351" t="s">
        <v>30</v>
      </c>
      <c r="C2351">
        <v>803</v>
      </c>
      <c r="D2351">
        <v>2</v>
      </c>
      <c r="E2351">
        <v>1</v>
      </c>
      <c r="F2351" t="s">
        <v>281</v>
      </c>
      <c r="G2351" t="s">
        <v>32</v>
      </c>
      <c r="H2351" t="s">
        <v>33</v>
      </c>
      <c r="I2351" t="s">
        <v>59</v>
      </c>
      <c r="O2351" s="5"/>
      <c r="P2351" s="5"/>
    </row>
    <row r="2352" spans="1:16" x14ac:dyDescent="0.35">
      <c r="A2352" s="4">
        <v>42576</v>
      </c>
      <c r="B2352" t="s">
        <v>30</v>
      </c>
      <c r="C2352">
        <v>901</v>
      </c>
      <c r="D2352">
        <v>8</v>
      </c>
      <c r="E2352">
        <v>1</v>
      </c>
      <c r="F2352" t="s">
        <v>281</v>
      </c>
      <c r="G2352" t="s">
        <v>32</v>
      </c>
      <c r="H2352" t="s">
        <v>33</v>
      </c>
      <c r="I2352" t="s">
        <v>59</v>
      </c>
      <c r="O2352" s="5"/>
      <c r="P2352" s="5"/>
    </row>
    <row r="2353" spans="1:30" x14ac:dyDescent="0.35">
      <c r="A2353" s="4">
        <v>42576</v>
      </c>
      <c r="B2353" t="s">
        <v>30</v>
      </c>
      <c r="C2353">
        <v>901</v>
      </c>
      <c r="D2353">
        <v>8</v>
      </c>
      <c r="E2353">
        <v>2</v>
      </c>
      <c r="F2353" t="s">
        <v>281</v>
      </c>
      <c r="G2353" t="s">
        <v>32</v>
      </c>
      <c r="H2353" t="s">
        <v>33</v>
      </c>
      <c r="I2353" t="s">
        <v>59</v>
      </c>
      <c r="O2353" s="5"/>
      <c r="P2353" s="5"/>
    </row>
    <row r="2354" spans="1:30" x14ac:dyDescent="0.35">
      <c r="A2354" s="4">
        <v>42576</v>
      </c>
      <c r="B2354" t="s">
        <v>30</v>
      </c>
      <c r="C2354">
        <v>803</v>
      </c>
      <c r="D2354">
        <v>7</v>
      </c>
      <c r="E2354">
        <v>1</v>
      </c>
      <c r="F2354" t="s">
        <v>42</v>
      </c>
      <c r="G2354" t="s">
        <v>32</v>
      </c>
      <c r="H2354" t="s">
        <v>33</v>
      </c>
      <c r="I2354" t="s">
        <v>59</v>
      </c>
      <c r="O2354" s="5"/>
      <c r="P2354" s="5"/>
    </row>
    <row r="2355" spans="1:30" x14ac:dyDescent="0.35">
      <c r="A2355" s="4">
        <v>42576</v>
      </c>
      <c r="B2355" t="s">
        <v>30</v>
      </c>
      <c r="C2355">
        <v>901</v>
      </c>
      <c r="D2355">
        <v>1</v>
      </c>
      <c r="E2355">
        <v>1</v>
      </c>
      <c r="F2355" t="s">
        <v>42</v>
      </c>
      <c r="G2355" t="s">
        <v>32</v>
      </c>
      <c r="H2355" t="s">
        <v>33</v>
      </c>
      <c r="I2355" t="s">
        <v>59</v>
      </c>
      <c r="O2355" s="5"/>
      <c r="P2355" s="5"/>
    </row>
    <row r="2356" spans="1:30" x14ac:dyDescent="0.35">
      <c r="A2356" s="4">
        <v>42576</v>
      </c>
      <c r="B2356" t="s">
        <v>30</v>
      </c>
      <c r="C2356">
        <v>901</v>
      </c>
      <c r="D2356">
        <v>1</v>
      </c>
      <c r="E2356">
        <v>2</v>
      </c>
      <c r="F2356" t="s">
        <v>42</v>
      </c>
      <c r="G2356" t="s">
        <v>32</v>
      </c>
      <c r="H2356" t="s">
        <v>33</v>
      </c>
      <c r="I2356" t="s">
        <v>59</v>
      </c>
      <c r="O2356" s="5"/>
      <c r="P2356" s="5"/>
    </row>
    <row r="2357" spans="1:30" x14ac:dyDescent="0.35">
      <c r="A2357" s="4">
        <v>42576</v>
      </c>
      <c r="B2357" t="s">
        <v>30</v>
      </c>
      <c r="C2357">
        <v>803</v>
      </c>
      <c r="D2357">
        <v>3</v>
      </c>
      <c r="E2357">
        <v>2</v>
      </c>
      <c r="F2357" t="s">
        <v>281</v>
      </c>
      <c r="G2357" t="s">
        <v>32</v>
      </c>
      <c r="H2357" t="s">
        <v>33</v>
      </c>
      <c r="I2357" t="s">
        <v>94</v>
      </c>
      <c r="J2357" t="s">
        <v>44</v>
      </c>
      <c r="K2357" t="s">
        <v>36</v>
      </c>
      <c r="L2357" t="s">
        <v>45</v>
      </c>
      <c r="M2357">
        <v>0</v>
      </c>
      <c r="N2357">
        <v>0</v>
      </c>
      <c r="O2357" s="5">
        <v>50751</v>
      </c>
      <c r="P2357" s="5"/>
      <c r="Q2357">
        <f>34-9</f>
        <v>25</v>
      </c>
      <c r="R2357" t="s">
        <v>74</v>
      </c>
      <c r="S2357" t="s">
        <v>102</v>
      </c>
      <c r="T2357">
        <v>28</v>
      </c>
      <c r="W2357">
        <v>13.2</v>
      </c>
      <c r="X2357">
        <v>29.3</v>
      </c>
      <c r="Z2357" t="s">
        <v>39</v>
      </c>
      <c r="AB2357" t="s">
        <v>86</v>
      </c>
      <c r="AC2357" t="s">
        <v>87</v>
      </c>
    </row>
    <row r="2358" spans="1:30" x14ac:dyDescent="0.35">
      <c r="A2358" s="4">
        <v>42576</v>
      </c>
      <c r="B2358" t="s">
        <v>30</v>
      </c>
      <c r="C2358">
        <v>701</v>
      </c>
      <c r="D2358">
        <v>7</v>
      </c>
      <c r="E2358">
        <v>1</v>
      </c>
      <c r="F2358" t="s">
        <v>42</v>
      </c>
      <c r="G2358" t="s">
        <v>32</v>
      </c>
      <c r="H2358" t="s">
        <v>33</v>
      </c>
      <c r="I2358" t="s">
        <v>94</v>
      </c>
      <c r="J2358" t="s">
        <v>44</v>
      </c>
      <c r="K2358" t="s">
        <v>36</v>
      </c>
      <c r="L2358" t="s">
        <v>45</v>
      </c>
      <c r="M2358">
        <v>0</v>
      </c>
      <c r="N2358">
        <v>0</v>
      </c>
      <c r="O2358" s="5">
        <v>50858</v>
      </c>
      <c r="P2358" s="5"/>
      <c r="Q2358">
        <f>34.5-9.5</f>
        <v>25</v>
      </c>
      <c r="R2358" t="s">
        <v>74</v>
      </c>
      <c r="S2358" t="s">
        <v>102</v>
      </c>
      <c r="T2358">
        <v>30</v>
      </c>
      <c r="W2358">
        <v>13.5</v>
      </c>
      <c r="X2358">
        <v>26.7</v>
      </c>
      <c r="Z2358" t="s">
        <v>39</v>
      </c>
      <c r="AB2358" t="s">
        <v>86</v>
      </c>
      <c r="AC2358" t="s">
        <v>87</v>
      </c>
    </row>
    <row r="2359" spans="1:30" x14ac:dyDescent="0.35">
      <c r="A2359" s="4">
        <v>42576</v>
      </c>
      <c r="B2359" t="s">
        <v>30</v>
      </c>
      <c r="C2359">
        <v>401</v>
      </c>
      <c r="D2359">
        <v>7</v>
      </c>
      <c r="E2359">
        <v>1</v>
      </c>
      <c r="F2359" t="s">
        <v>31</v>
      </c>
      <c r="G2359" t="s">
        <v>32</v>
      </c>
      <c r="H2359" t="s">
        <v>33</v>
      </c>
      <c r="I2359" t="s">
        <v>94</v>
      </c>
      <c r="J2359" t="s">
        <v>35</v>
      </c>
      <c r="K2359" t="s">
        <v>36</v>
      </c>
      <c r="L2359" t="s">
        <v>45</v>
      </c>
      <c r="M2359">
        <v>0</v>
      </c>
      <c r="N2359">
        <v>1</v>
      </c>
      <c r="O2359" s="5">
        <v>50957</v>
      </c>
      <c r="P2359" s="5"/>
      <c r="Q2359">
        <f>40.5-14.5</f>
        <v>26</v>
      </c>
      <c r="R2359" t="s">
        <v>145</v>
      </c>
      <c r="S2359" t="s">
        <v>102</v>
      </c>
      <c r="T2359">
        <v>28</v>
      </c>
      <c r="W2359">
        <v>13.1</v>
      </c>
      <c r="X2359">
        <v>27.3</v>
      </c>
      <c r="Z2359" t="s">
        <v>102</v>
      </c>
      <c r="AA2359" t="s">
        <v>201</v>
      </c>
      <c r="AB2359" t="s">
        <v>86</v>
      </c>
      <c r="AC2359" t="s">
        <v>87</v>
      </c>
    </row>
    <row r="2360" spans="1:30" x14ac:dyDescent="0.35">
      <c r="A2360" s="4">
        <v>42576</v>
      </c>
      <c r="B2360" t="s">
        <v>30</v>
      </c>
      <c r="C2360">
        <v>503</v>
      </c>
      <c r="D2360">
        <v>6</v>
      </c>
      <c r="E2360">
        <v>2</v>
      </c>
      <c r="F2360" t="s">
        <v>31</v>
      </c>
      <c r="G2360" t="s">
        <v>32</v>
      </c>
      <c r="H2360" t="s">
        <v>33</v>
      </c>
      <c r="I2360" t="s">
        <v>94</v>
      </c>
      <c r="J2360" t="s">
        <v>35</v>
      </c>
      <c r="K2360" t="s">
        <v>36</v>
      </c>
      <c r="L2360" t="s">
        <v>37</v>
      </c>
      <c r="M2360">
        <v>0</v>
      </c>
      <c r="N2360">
        <v>1</v>
      </c>
      <c r="O2360" s="5">
        <v>50969</v>
      </c>
      <c r="P2360" s="5"/>
      <c r="Q2360">
        <f>35-11</f>
        <v>24</v>
      </c>
      <c r="R2360" t="s">
        <v>38</v>
      </c>
      <c r="T2360">
        <v>31</v>
      </c>
      <c r="W2360">
        <v>12.9</v>
      </c>
      <c r="X2360">
        <v>28.6</v>
      </c>
      <c r="Z2360" t="s">
        <v>39</v>
      </c>
      <c r="AB2360" t="s">
        <v>86</v>
      </c>
      <c r="AC2360" t="s">
        <v>87</v>
      </c>
    </row>
    <row r="2361" spans="1:30" x14ac:dyDescent="0.35">
      <c r="A2361" s="4">
        <v>42576</v>
      </c>
      <c r="B2361" t="s">
        <v>30</v>
      </c>
      <c r="C2361">
        <v>803</v>
      </c>
      <c r="D2361">
        <v>2</v>
      </c>
      <c r="E2361">
        <v>2</v>
      </c>
      <c r="F2361" t="s">
        <v>281</v>
      </c>
      <c r="G2361" t="s">
        <v>32</v>
      </c>
      <c r="H2361" t="s">
        <v>33</v>
      </c>
      <c r="I2361" t="s">
        <v>94</v>
      </c>
      <c r="J2361" t="s">
        <v>44</v>
      </c>
      <c r="K2361" t="s">
        <v>88</v>
      </c>
      <c r="L2361" t="s">
        <v>45</v>
      </c>
      <c r="M2361">
        <v>0</v>
      </c>
      <c r="N2361">
        <v>0</v>
      </c>
      <c r="O2361" s="5">
        <v>50994</v>
      </c>
      <c r="P2361" s="5"/>
      <c r="Q2361">
        <f>26-10.5</f>
        <v>15.5</v>
      </c>
      <c r="R2361" t="s">
        <v>46</v>
      </c>
      <c r="S2361" t="s">
        <v>39</v>
      </c>
      <c r="T2361">
        <v>31</v>
      </c>
      <c r="W2361">
        <v>12.6</v>
      </c>
      <c r="X2361">
        <v>24.1</v>
      </c>
      <c r="Z2361" t="s">
        <v>39</v>
      </c>
      <c r="AB2361" t="s">
        <v>86</v>
      </c>
      <c r="AC2361" t="s">
        <v>87</v>
      </c>
    </row>
    <row r="2362" spans="1:30" x14ac:dyDescent="0.35">
      <c r="A2362" s="4">
        <v>42576</v>
      </c>
      <c r="B2362" t="s">
        <v>30</v>
      </c>
      <c r="C2362">
        <v>803</v>
      </c>
      <c r="D2362">
        <v>10</v>
      </c>
      <c r="E2362">
        <v>1</v>
      </c>
      <c r="F2362" t="s">
        <v>42</v>
      </c>
      <c r="G2362" t="s">
        <v>32</v>
      </c>
      <c r="H2362" t="s">
        <v>33</v>
      </c>
      <c r="I2362" t="s">
        <v>94</v>
      </c>
      <c r="J2362" t="s">
        <v>44</v>
      </c>
      <c r="K2362" t="s">
        <v>88</v>
      </c>
      <c r="L2362" t="s">
        <v>45</v>
      </c>
      <c r="M2362">
        <v>0</v>
      </c>
      <c r="N2362">
        <v>0</v>
      </c>
      <c r="O2362" s="5"/>
      <c r="P2362" s="5">
        <v>50771</v>
      </c>
      <c r="Q2362">
        <f>35.5-9.5</f>
        <v>26</v>
      </c>
      <c r="R2362" t="s">
        <v>74</v>
      </c>
      <c r="S2362" t="s">
        <v>102</v>
      </c>
      <c r="T2362">
        <v>29</v>
      </c>
      <c r="W2362">
        <v>13.3</v>
      </c>
      <c r="X2362">
        <v>27.1</v>
      </c>
      <c r="Z2362" t="s">
        <v>39</v>
      </c>
      <c r="AB2362" t="s">
        <v>86</v>
      </c>
      <c r="AC2362" t="s">
        <v>87</v>
      </c>
    </row>
    <row r="2363" spans="1:30" x14ac:dyDescent="0.35">
      <c r="A2363" s="4">
        <v>42576</v>
      </c>
      <c r="B2363" t="s">
        <v>30</v>
      </c>
      <c r="C2363">
        <v>803</v>
      </c>
      <c r="D2363">
        <v>1</v>
      </c>
      <c r="E2363">
        <v>1</v>
      </c>
      <c r="F2363" t="s">
        <v>42</v>
      </c>
      <c r="G2363" t="s">
        <v>32</v>
      </c>
      <c r="H2363" t="s">
        <v>33</v>
      </c>
      <c r="I2363" t="s">
        <v>94</v>
      </c>
      <c r="J2363" t="s">
        <v>44</v>
      </c>
      <c r="K2363" t="s">
        <v>36</v>
      </c>
      <c r="L2363" t="s">
        <v>45</v>
      </c>
      <c r="M2363">
        <v>0</v>
      </c>
      <c r="N2363">
        <v>0</v>
      </c>
      <c r="O2363" s="5"/>
      <c r="P2363" s="5">
        <v>50615</v>
      </c>
      <c r="Q2363">
        <v>27</v>
      </c>
      <c r="R2363" t="s">
        <v>74</v>
      </c>
      <c r="S2363" t="s">
        <v>102</v>
      </c>
      <c r="T2363">
        <v>30</v>
      </c>
      <c r="W2363">
        <v>13</v>
      </c>
      <c r="X2363">
        <v>26.8</v>
      </c>
      <c r="Z2363" t="s">
        <v>39</v>
      </c>
      <c r="AB2363" t="s">
        <v>86</v>
      </c>
      <c r="AC2363" t="s">
        <v>87</v>
      </c>
    </row>
    <row r="2364" spans="1:30" x14ac:dyDescent="0.35">
      <c r="A2364" s="4">
        <v>42576</v>
      </c>
      <c r="B2364" t="s">
        <v>30</v>
      </c>
      <c r="C2364">
        <v>703</v>
      </c>
      <c r="D2364">
        <v>2</v>
      </c>
      <c r="E2364">
        <v>2</v>
      </c>
      <c r="F2364" t="s">
        <v>42</v>
      </c>
      <c r="G2364" t="s">
        <v>32</v>
      </c>
      <c r="H2364" t="s">
        <v>33</v>
      </c>
      <c r="O2364" s="5"/>
      <c r="P2364" s="5"/>
      <c r="AB2364" t="s">
        <v>86</v>
      </c>
      <c r="AC2364" t="s">
        <v>87</v>
      </c>
      <c r="AD2364" t="s">
        <v>289</v>
      </c>
    </row>
    <row r="2365" spans="1:30" x14ac:dyDescent="0.35">
      <c r="A2365" s="4">
        <v>42584</v>
      </c>
      <c r="B2365" t="s">
        <v>30</v>
      </c>
      <c r="C2365">
        <v>203</v>
      </c>
      <c r="D2365">
        <v>2</v>
      </c>
      <c r="E2365">
        <v>2</v>
      </c>
      <c r="F2365" t="s">
        <v>42</v>
      </c>
      <c r="G2365" t="s">
        <v>32</v>
      </c>
      <c r="H2365" t="s">
        <v>33</v>
      </c>
      <c r="I2365" t="s">
        <v>43</v>
      </c>
      <c r="J2365" t="s">
        <v>48</v>
      </c>
      <c r="K2365" t="s">
        <v>113</v>
      </c>
      <c r="L2365" t="s">
        <v>45</v>
      </c>
      <c r="M2365">
        <v>1</v>
      </c>
      <c r="N2365">
        <v>0</v>
      </c>
      <c r="O2365" s="5">
        <v>50342</v>
      </c>
      <c r="P2365" s="5">
        <v>50932</v>
      </c>
      <c r="Q2365">
        <f>34.5-15</f>
        <v>19.5</v>
      </c>
      <c r="R2365" t="s">
        <v>79</v>
      </c>
      <c r="S2365" t="s">
        <v>39</v>
      </c>
      <c r="T2365">
        <v>17</v>
      </c>
      <c r="U2365">
        <v>86</v>
      </c>
      <c r="V2365">
        <v>18</v>
      </c>
      <c r="W2365">
        <v>13.1</v>
      </c>
      <c r="X2365">
        <v>25.5</v>
      </c>
      <c r="Z2365" t="s">
        <v>102</v>
      </c>
      <c r="AA2365" t="s">
        <v>201</v>
      </c>
      <c r="AB2365" t="s">
        <v>47</v>
      </c>
      <c r="AC2365" t="s">
        <v>41</v>
      </c>
    </row>
    <row r="2366" spans="1:30" x14ac:dyDescent="0.35">
      <c r="A2366" s="4">
        <v>42584</v>
      </c>
      <c r="B2366" t="s">
        <v>30</v>
      </c>
      <c r="C2366">
        <v>111</v>
      </c>
      <c r="D2366">
        <v>4</v>
      </c>
      <c r="E2366">
        <v>2</v>
      </c>
      <c r="F2366" t="s">
        <v>31</v>
      </c>
      <c r="G2366" t="s">
        <v>32</v>
      </c>
      <c r="H2366" t="s">
        <v>33</v>
      </c>
      <c r="I2366" t="s">
        <v>43</v>
      </c>
      <c r="J2366" t="s">
        <v>44</v>
      </c>
      <c r="K2366" t="s">
        <v>36</v>
      </c>
      <c r="L2366" t="s">
        <v>45</v>
      </c>
      <c r="M2366">
        <v>0</v>
      </c>
      <c r="N2366">
        <v>0</v>
      </c>
      <c r="O2366" s="5">
        <v>50348</v>
      </c>
      <c r="P2366" s="5">
        <v>50347</v>
      </c>
      <c r="Q2366">
        <f>32-11.5</f>
        <v>20.5</v>
      </c>
      <c r="R2366" t="s">
        <v>161</v>
      </c>
      <c r="S2366" t="s">
        <v>102</v>
      </c>
      <c r="T2366">
        <v>19</v>
      </c>
      <c r="U2366">
        <v>90</v>
      </c>
      <c r="V2366">
        <v>16</v>
      </c>
      <c r="W2366">
        <v>13</v>
      </c>
      <c r="X2366">
        <v>28.3</v>
      </c>
      <c r="Z2366" t="s">
        <v>39</v>
      </c>
      <c r="AB2366" t="s">
        <v>86</v>
      </c>
      <c r="AC2366" t="s">
        <v>41</v>
      </c>
    </row>
    <row r="2367" spans="1:30" x14ac:dyDescent="0.35">
      <c r="A2367" s="4">
        <v>42584</v>
      </c>
      <c r="B2367" t="s">
        <v>30</v>
      </c>
      <c r="C2367">
        <v>111</v>
      </c>
      <c r="D2367">
        <v>3</v>
      </c>
      <c r="E2367">
        <v>1</v>
      </c>
      <c r="F2367" t="s">
        <v>31</v>
      </c>
      <c r="G2367" t="s">
        <v>32</v>
      </c>
      <c r="H2367" t="s">
        <v>33</v>
      </c>
      <c r="I2367" t="s">
        <v>43</v>
      </c>
      <c r="J2367" t="s">
        <v>44</v>
      </c>
      <c r="K2367" t="s">
        <v>36</v>
      </c>
      <c r="L2367" t="s">
        <v>37</v>
      </c>
      <c r="M2367">
        <v>0</v>
      </c>
      <c r="N2367">
        <v>0</v>
      </c>
      <c r="O2367" s="5">
        <v>50475</v>
      </c>
      <c r="P2367" s="5">
        <v>50308</v>
      </c>
      <c r="Q2367">
        <f>31-12</f>
        <v>19</v>
      </c>
      <c r="R2367" t="s">
        <v>38</v>
      </c>
      <c r="T2367">
        <v>19</v>
      </c>
      <c r="U2367">
        <v>90</v>
      </c>
      <c r="V2367">
        <v>16</v>
      </c>
      <c r="W2367">
        <v>12.9</v>
      </c>
      <c r="X2367">
        <v>27.5</v>
      </c>
      <c r="Z2367" t="s">
        <v>39</v>
      </c>
      <c r="AB2367" t="s">
        <v>86</v>
      </c>
      <c r="AC2367" t="s">
        <v>41</v>
      </c>
    </row>
    <row r="2368" spans="1:30" x14ac:dyDescent="0.35">
      <c r="A2368" s="4">
        <v>42584</v>
      </c>
      <c r="B2368" t="s">
        <v>30</v>
      </c>
      <c r="C2368">
        <v>113</v>
      </c>
      <c r="D2368">
        <v>6</v>
      </c>
      <c r="E2368">
        <v>1</v>
      </c>
      <c r="F2368" t="s">
        <v>31</v>
      </c>
      <c r="G2368" t="s">
        <v>32</v>
      </c>
      <c r="H2368" t="s">
        <v>33</v>
      </c>
      <c r="I2368" t="s">
        <v>43</v>
      </c>
      <c r="J2368" t="s">
        <v>44</v>
      </c>
      <c r="K2368" t="s">
        <v>36</v>
      </c>
      <c r="L2368" t="s">
        <v>45</v>
      </c>
      <c r="M2368">
        <v>0</v>
      </c>
      <c r="N2368">
        <v>0</v>
      </c>
      <c r="O2368" s="5">
        <v>50520</v>
      </c>
      <c r="P2368" s="5">
        <v>50519</v>
      </c>
      <c r="Q2368">
        <f>31.5-11</f>
        <v>20.5</v>
      </c>
      <c r="R2368" t="s">
        <v>145</v>
      </c>
      <c r="S2368" t="s">
        <v>102</v>
      </c>
      <c r="T2368">
        <v>18.5</v>
      </c>
      <c r="U2368">
        <v>82</v>
      </c>
      <c r="V2368">
        <v>15</v>
      </c>
      <c r="W2368">
        <v>12.8</v>
      </c>
      <c r="X2368">
        <v>28.2</v>
      </c>
      <c r="Z2368" t="s">
        <v>39</v>
      </c>
      <c r="AB2368" t="s">
        <v>86</v>
      </c>
      <c r="AC2368" t="s">
        <v>41</v>
      </c>
    </row>
    <row r="2369" spans="1:30" x14ac:dyDescent="0.35">
      <c r="A2369" s="4">
        <v>42584</v>
      </c>
      <c r="B2369" t="s">
        <v>30</v>
      </c>
      <c r="C2369">
        <v>111</v>
      </c>
      <c r="D2369">
        <v>8</v>
      </c>
      <c r="E2369">
        <v>1</v>
      </c>
      <c r="F2369" t="s">
        <v>31</v>
      </c>
      <c r="G2369" t="s">
        <v>32</v>
      </c>
      <c r="H2369" t="s">
        <v>33</v>
      </c>
      <c r="I2369" t="s">
        <v>43</v>
      </c>
      <c r="J2369" t="s">
        <v>44</v>
      </c>
      <c r="K2369" t="s">
        <v>113</v>
      </c>
      <c r="L2369" t="s">
        <v>37</v>
      </c>
      <c r="M2369">
        <v>0</v>
      </c>
      <c r="N2369">
        <v>0</v>
      </c>
      <c r="O2369" s="5">
        <v>50530</v>
      </c>
      <c r="P2369" s="5">
        <v>50529</v>
      </c>
      <c r="Q2369">
        <f>35-16</f>
        <v>19</v>
      </c>
      <c r="R2369" t="s">
        <v>64</v>
      </c>
      <c r="T2369">
        <v>19</v>
      </c>
      <c r="V2369">
        <v>17</v>
      </c>
      <c r="W2369">
        <v>12.8</v>
      </c>
      <c r="X2369">
        <v>28.9</v>
      </c>
      <c r="Z2369" t="s">
        <v>102</v>
      </c>
      <c r="AA2369" t="s">
        <v>201</v>
      </c>
      <c r="AB2369" t="s">
        <v>86</v>
      </c>
      <c r="AC2369" t="s">
        <v>41</v>
      </c>
    </row>
    <row r="2370" spans="1:30" x14ac:dyDescent="0.35">
      <c r="A2370" s="4">
        <v>42584</v>
      </c>
      <c r="B2370" t="s">
        <v>30</v>
      </c>
      <c r="C2370">
        <v>111</v>
      </c>
      <c r="D2370">
        <v>5</v>
      </c>
      <c r="E2370">
        <v>1</v>
      </c>
      <c r="F2370" t="s">
        <v>31</v>
      </c>
      <c r="G2370" t="s">
        <v>32</v>
      </c>
      <c r="H2370" t="s">
        <v>33</v>
      </c>
      <c r="I2370" t="s">
        <v>43</v>
      </c>
      <c r="J2370" t="s">
        <v>44</v>
      </c>
      <c r="K2370" t="s">
        <v>36</v>
      </c>
      <c r="L2370" t="s">
        <v>37</v>
      </c>
      <c r="M2370">
        <v>0</v>
      </c>
      <c r="N2370">
        <v>0</v>
      </c>
      <c r="O2370" s="5">
        <v>50572</v>
      </c>
      <c r="P2370" s="5">
        <v>50571</v>
      </c>
      <c r="Q2370">
        <f>32-11.5</f>
        <v>20.5</v>
      </c>
      <c r="R2370" t="s">
        <v>38</v>
      </c>
      <c r="T2370">
        <v>21</v>
      </c>
      <c r="U2370">
        <v>91</v>
      </c>
      <c r="V2370">
        <v>18</v>
      </c>
      <c r="W2370">
        <v>13.1</v>
      </c>
      <c r="X2370">
        <v>27.8</v>
      </c>
      <c r="Y2370" t="s">
        <v>290</v>
      </c>
      <c r="Z2370" t="s">
        <v>102</v>
      </c>
      <c r="AA2370" t="s">
        <v>201</v>
      </c>
      <c r="AB2370" t="s">
        <v>86</v>
      </c>
      <c r="AC2370" t="s">
        <v>41</v>
      </c>
    </row>
    <row r="2371" spans="1:30" x14ac:dyDescent="0.35">
      <c r="A2371" s="4">
        <v>42584</v>
      </c>
      <c r="B2371" t="s">
        <v>30</v>
      </c>
      <c r="C2371">
        <v>112</v>
      </c>
      <c r="D2371">
        <v>6</v>
      </c>
      <c r="E2371">
        <v>1</v>
      </c>
      <c r="F2371" t="s">
        <v>31</v>
      </c>
      <c r="G2371" t="s">
        <v>32</v>
      </c>
      <c r="H2371" t="s">
        <v>33</v>
      </c>
      <c r="I2371" t="s">
        <v>43</v>
      </c>
      <c r="J2371" t="s">
        <v>44</v>
      </c>
      <c r="K2371" t="s">
        <v>36</v>
      </c>
      <c r="L2371" t="s">
        <v>37</v>
      </c>
      <c r="M2371">
        <v>0</v>
      </c>
      <c r="N2371">
        <v>0</v>
      </c>
      <c r="O2371" s="5">
        <v>50574</v>
      </c>
      <c r="P2371" s="5">
        <v>50573</v>
      </c>
      <c r="Q2371">
        <f>30.5-12</f>
        <v>18.5</v>
      </c>
      <c r="R2371" t="s">
        <v>38</v>
      </c>
      <c r="T2371">
        <v>19</v>
      </c>
      <c r="U2371">
        <v>94</v>
      </c>
      <c r="V2371">
        <v>16</v>
      </c>
      <c r="W2371">
        <v>13</v>
      </c>
      <c r="X2371">
        <v>26.9</v>
      </c>
      <c r="Z2371" t="s">
        <v>102</v>
      </c>
      <c r="AA2371" t="s">
        <v>201</v>
      </c>
      <c r="AB2371" t="s">
        <v>86</v>
      </c>
      <c r="AC2371" t="s">
        <v>41</v>
      </c>
    </row>
    <row r="2372" spans="1:30" x14ac:dyDescent="0.35">
      <c r="A2372" s="4">
        <v>42584</v>
      </c>
      <c r="B2372" t="s">
        <v>30</v>
      </c>
      <c r="C2372">
        <v>112</v>
      </c>
      <c r="D2372">
        <v>9</v>
      </c>
      <c r="E2372">
        <v>1</v>
      </c>
      <c r="F2372" t="s">
        <v>31</v>
      </c>
      <c r="G2372" t="s">
        <v>32</v>
      </c>
      <c r="H2372" t="s">
        <v>33</v>
      </c>
      <c r="I2372" t="s">
        <v>43</v>
      </c>
      <c r="J2372" t="s">
        <v>44</v>
      </c>
      <c r="K2372" t="s">
        <v>36</v>
      </c>
      <c r="L2372" t="s">
        <v>37</v>
      </c>
      <c r="M2372">
        <v>0</v>
      </c>
      <c r="N2372">
        <v>0</v>
      </c>
      <c r="O2372" s="5">
        <v>50595</v>
      </c>
      <c r="P2372" s="5">
        <v>50594</v>
      </c>
      <c r="Q2372">
        <v>21</v>
      </c>
      <c r="R2372" t="s">
        <v>38</v>
      </c>
      <c r="T2372">
        <v>20</v>
      </c>
      <c r="U2372">
        <v>89</v>
      </c>
      <c r="V2372">
        <v>16</v>
      </c>
      <c r="W2372">
        <v>12.8</v>
      </c>
      <c r="X2372">
        <v>27.6</v>
      </c>
      <c r="Z2372" t="s">
        <v>102</v>
      </c>
      <c r="AA2372" t="s">
        <v>201</v>
      </c>
      <c r="AB2372" t="s">
        <v>86</v>
      </c>
      <c r="AC2372" t="s">
        <v>41</v>
      </c>
    </row>
    <row r="2373" spans="1:30" x14ac:dyDescent="0.35">
      <c r="A2373" s="4">
        <v>42584</v>
      </c>
      <c r="B2373" t="s">
        <v>30</v>
      </c>
      <c r="C2373">
        <v>111</v>
      </c>
      <c r="D2373">
        <v>3</v>
      </c>
      <c r="E2373">
        <v>2</v>
      </c>
      <c r="F2373" t="s">
        <v>31</v>
      </c>
      <c r="G2373" t="s">
        <v>32</v>
      </c>
      <c r="H2373" t="s">
        <v>33</v>
      </c>
      <c r="I2373" t="s">
        <v>43</v>
      </c>
      <c r="J2373" t="s">
        <v>44</v>
      </c>
      <c r="K2373" t="s">
        <v>36</v>
      </c>
      <c r="L2373" t="s">
        <v>37</v>
      </c>
      <c r="M2373">
        <v>0</v>
      </c>
      <c r="N2373">
        <v>0</v>
      </c>
      <c r="O2373" s="5">
        <v>50602</v>
      </c>
      <c r="P2373" s="5">
        <v>50601</v>
      </c>
      <c r="Q2373">
        <f>31.5-10.5</f>
        <v>21</v>
      </c>
      <c r="R2373" t="s">
        <v>38</v>
      </c>
      <c r="T2373">
        <v>18.5</v>
      </c>
      <c r="U2373">
        <v>93</v>
      </c>
      <c r="V2373">
        <v>16</v>
      </c>
      <c r="W2373">
        <v>12.9</v>
      </c>
      <c r="X2373">
        <v>27.5</v>
      </c>
      <c r="Z2373" t="s">
        <v>102</v>
      </c>
      <c r="AA2373" t="s">
        <v>201</v>
      </c>
      <c r="AB2373" t="s">
        <v>86</v>
      </c>
      <c r="AC2373" t="s">
        <v>41</v>
      </c>
      <c r="AD2373" t="s">
        <v>291</v>
      </c>
    </row>
    <row r="2374" spans="1:30" x14ac:dyDescent="0.35">
      <c r="A2374" s="4">
        <v>42584</v>
      </c>
      <c r="B2374" t="s">
        <v>30</v>
      </c>
      <c r="C2374">
        <v>203</v>
      </c>
      <c r="D2374">
        <v>10</v>
      </c>
      <c r="E2374">
        <v>1</v>
      </c>
      <c r="F2374" t="s">
        <v>42</v>
      </c>
      <c r="G2374" t="s">
        <v>32</v>
      </c>
      <c r="H2374" t="s">
        <v>33</v>
      </c>
      <c r="I2374" t="s">
        <v>43</v>
      </c>
      <c r="J2374" t="s">
        <v>44</v>
      </c>
      <c r="K2374" t="s">
        <v>113</v>
      </c>
      <c r="L2374" t="s">
        <v>45</v>
      </c>
      <c r="M2374">
        <v>0</v>
      </c>
      <c r="N2374">
        <v>0</v>
      </c>
      <c r="O2374" s="5">
        <v>50633</v>
      </c>
      <c r="P2374" s="5">
        <v>50634</v>
      </c>
      <c r="Q2374">
        <f>35-14</f>
        <v>21</v>
      </c>
      <c r="R2374" t="s">
        <v>149</v>
      </c>
      <c r="S2374" t="s">
        <v>102</v>
      </c>
      <c r="T2374">
        <v>20.5</v>
      </c>
      <c r="U2374">
        <v>80.5</v>
      </c>
      <c r="V2374">
        <v>15</v>
      </c>
      <c r="W2374">
        <v>32</v>
      </c>
      <c r="X2374">
        <v>29</v>
      </c>
      <c r="Z2374" t="s">
        <v>102</v>
      </c>
      <c r="AB2374" t="s">
        <v>47</v>
      </c>
      <c r="AC2374" t="s">
        <v>41</v>
      </c>
    </row>
    <row r="2375" spans="1:30" x14ac:dyDescent="0.35">
      <c r="A2375" s="4">
        <v>42584</v>
      </c>
      <c r="B2375" t="s">
        <v>30</v>
      </c>
      <c r="C2375">
        <v>203</v>
      </c>
      <c r="D2375">
        <v>9</v>
      </c>
      <c r="E2375">
        <v>2</v>
      </c>
      <c r="F2375" t="s">
        <v>42</v>
      </c>
      <c r="G2375" t="s">
        <v>32</v>
      </c>
      <c r="H2375" t="s">
        <v>33</v>
      </c>
      <c r="I2375" t="s">
        <v>43</v>
      </c>
      <c r="J2375" t="s">
        <v>44</v>
      </c>
      <c r="K2375" t="s">
        <v>113</v>
      </c>
      <c r="L2375" t="s">
        <v>37</v>
      </c>
      <c r="M2375">
        <v>0</v>
      </c>
      <c r="N2375">
        <v>0</v>
      </c>
      <c r="O2375" s="5">
        <v>50665</v>
      </c>
      <c r="P2375" s="5">
        <v>50664</v>
      </c>
      <c r="Q2375">
        <f>30-13</f>
        <v>17</v>
      </c>
      <c r="R2375" t="s">
        <v>64</v>
      </c>
      <c r="T2375">
        <v>18</v>
      </c>
      <c r="U2375">
        <v>96</v>
      </c>
      <c r="V2375">
        <v>17</v>
      </c>
      <c r="W2375">
        <v>13.2</v>
      </c>
      <c r="X2375">
        <v>25.3</v>
      </c>
      <c r="Z2375" t="s">
        <v>39</v>
      </c>
      <c r="AB2375" t="s">
        <v>47</v>
      </c>
      <c r="AC2375" t="s">
        <v>41</v>
      </c>
    </row>
    <row r="2376" spans="1:30" x14ac:dyDescent="0.35">
      <c r="A2376" s="4">
        <v>42584</v>
      </c>
      <c r="B2376" t="s">
        <v>30</v>
      </c>
      <c r="C2376">
        <v>112</v>
      </c>
      <c r="D2376">
        <v>2</v>
      </c>
      <c r="E2376">
        <v>2</v>
      </c>
      <c r="F2376" t="s">
        <v>31</v>
      </c>
      <c r="G2376" t="s">
        <v>32</v>
      </c>
      <c r="H2376" t="s">
        <v>33</v>
      </c>
      <c r="I2376" t="s">
        <v>43</v>
      </c>
      <c r="J2376" t="s">
        <v>44</v>
      </c>
      <c r="K2376" t="s">
        <v>113</v>
      </c>
      <c r="L2376" t="s">
        <v>45</v>
      </c>
      <c r="M2376">
        <v>0</v>
      </c>
      <c r="N2376">
        <v>0</v>
      </c>
      <c r="O2376" s="5">
        <v>50709</v>
      </c>
      <c r="P2376" s="5">
        <v>50708</v>
      </c>
      <c r="Q2376">
        <f>33-16</f>
        <v>17</v>
      </c>
      <c r="R2376" t="s">
        <v>161</v>
      </c>
      <c r="S2376" t="s">
        <v>102</v>
      </c>
      <c r="T2376">
        <v>19</v>
      </c>
      <c r="U2376">
        <v>85</v>
      </c>
      <c r="V2376">
        <v>16</v>
      </c>
      <c r="W2376">
        <v>12.7</v>
      </c>
      <c r="X2376">
        <v>27</v>
      </c>
      <c r="Z2376" t="s">
        <v>39</v>
      </c>
      <c r="AB2376" t="s">
        <v>86</v>
      </c>
      <c r="AC2376" t="s">
        <v>41</v>
      </c>
    </row>
    <row r="2377" spans="1:30" x14ac:dyDescent="0.35">
      <c r="A2377" s="4">
        <v>42584</v>
      </c>
      <c r="B2377" t="s">
        <v>30</v>
      </c>
      <c r="C2377">
        <v>113</v>
      </c>
      <c r="D2377">
        <v>4</v>
      </c>
      <c r="E2377">
        <v>1</v>
      </c>
      <c r="F2377" t="s">
        <v>31</v>
      </c>
      <c r="G2377" t="s">
        <v>32</v>
      </c>
      <c r="H2377" t="s">
        <v>33</v>
      </c>
      <c r="I2377" t="s">
        <v>43</v>
      </c>
      <c r="J2377" t="s">
        <v>44</v>
      </c>
      <c r="K2377" t="s">
        <v>36</v>
      </c>
      <c r="L2377" t="s">
        <v>37</v>
      </c>
      <c r="M2377">
        <v>0</v>
      </c>
      <c r="N2377">
        <v>0</v>
      </c>
      <c r="O2377" s="5">
        <v>50716</v>
      </c>
      <c r="P2377" s="5">
        <v>50715</v>
      </c>
      <c r="Q2377">
        <f>35-14.5</f>
        <v>20.5</v>
      </c>
      <c r="R2377" t="s">
        <v>38</v>
      </c>
      <c r="T2377">
        <v>19</v>
      </c>
      <c r="U2377">
        <v>85</v>
      </c>
      <c r="V2377">
        <v>17</v>
      </c>
      <c r="W2377">
        <v>13</v>
      </c>
      <c r="X2377">
        <v>27.4</v>
      </c>
      <c r="Z2377" t="s">
        <v>39</v>
      </c>
      <c r="AB2377" t="s">
        <v>86</v>
      </c>
      <c r="AC2377" t="s">
        <v>41</v>
      </c>
    </row>
    <row r="2378" spans="1:30" x14ac:dyDescent="0.35">
      <c r="A2378" s="4">
        <v>42584</v>
      </c>
      <c r="B2378" t="s">
        <v>30</v>
      </c>
      <c r="C2378">
        <v>111</v>
      </c>
      <c r="D2378">
        <v>10</v>
      </c>
      <c r="E2378">
        <v>1</v>
      </c>
      <c r="F2378" t="s">
        <v>31</v>
      </c>
      <c r="G2378" t="s">
        <v>32</v>
      </c>
      <c r="H2378" t="s">
        <v>33</v>
      </c>
      <c r="I2378" t="s">
        <v>43</v>
      </c>
      <c r="J2378" t="s">
        <v>44</v>
      </c>
      <c r="K2378" t="s">
        <v>88</v>
      </c>
      <c r="L2378" t="s">
        <v>45</v>
      </c>
      <c r="M2378">
        <v>0</v>
      </c>
      <c r="N2378">
        <v>0</v>
      </c>
      <c r="O2378" s="5">
        <v>50721</v>
      </c>
      <c r="P2378" s="5">
        <v>50720</v>
      </c>
      <c r="Q2378">
        <f>28-12.5</f>
        <v>15.5</v>
      </c>
      <c r="R2378" t="s">
        <v>46</v>
      </c>
      <c r="S2378" t="s">
        <v>39</v>
      </c>
      <c r="T2378">
        <v>19</v>
      </c>
      <c r="V2378">
        <v>17</v>
      </c>
      <c r="W2378">
        <v>12.8</v>
      </c>
      <c r="X2378">
        <v>26.7</v>
      </c>
      <c r="Z2378" t="s">
        <v>39</v>
      </c>
      <c r="AB2378" t="s">
        <v>86</v>
      </c>
      <c r="AC2378" t="s">
        <v>41</v>
      </c>
    </row>
    <row r="2379" spans="1:30" x14ac:dyDescent="0.35">
      <c r="A2379" s="4">
        <v>42584</v>
      </c>
      <c r="B2379" t="s">
        <v>30</v>
      </c>
      <c r="C2379">
        <v>202</v>
      </c>
      <c r="D2379">
        <v>1</v>
      </c>
      <c r="E2379">
        <v>1</v>
      </c>
      <c r="F2379" t="s">
        <v>42</v>
      </c>
      <c r="G2379" t="s">
        <v>32</v>
      </c>
      <c r="H2379" t="s">
        <v>33</v>
      </c>
      <c r="I2379" t="s">
        <v>43</v>
      </c>
      <c r="J2379" t="s">
        <v>44</v>
      </c>
      <c r="K2379" t="s">
        <v>113</v>
      </c>
      <c r="L2379" t="s">
        <v>45</v>
      </c>
      <c r="M2379">
        <v>0</v>
      </c>
      <c r="N2379">
        <v>0</v>
      </c>
      <c r="O2379" s="5">
        <v>50778</v>
      </c>
      <c r="P2379" s="5">
        <v>50777</v>
      </c>
      <c r="Q2379">
        <v>16</v>
      </c>
      <c r="R2379" t="s">
        <v>77</v>
      </c>
      <c r="S2379" t="s">
        <v>39</v>
      </c>
      <c r="T2379">
        <v>18</v>
      </c>
      <c r="U2379">
        <v>75</v>
      </c>
      <c r="V2379">
        <v>16</v>
      </c>
      <c r="W2379">
        <v>12.3</v>
      </c>
      <c r="X2379">
        <v>24.7</v>
      </c>
      <c r="Z2379" t="s">
        <v>102</v>
      </c>
      <c r="AB2379" t="s">
        <v>47</v>
      </c>
      <c r="AC2379" t="s">
        <v>41</v>
      </c>
    </row>
    <row r="2380" spans="1:30" x14ac:dyDescent="0.35">
      <c r="A2380" s="4">
        <v>42584</v>
      </c>
      <c r="B2380" t="s">
        <v>30</v>
      </c>
      <c r="C2380">
        <v>201</v>
      </c>
      <c r="D2380">
        <v>1</v>
      </c>
      <c r="E2380">
        <v>1</v>
      </c>
      <c r="F2380" t="s">
        <v>42</v>
      </c>
      <c r="G2380" t="s">
        <v>32</v>
      </c>
      <c r="H2380" t="s">
        <v>33</v>
      </c>
      <c r="I2380" t="s">
        <v>43</v>
      </c>
      <c r="J2380" t="s">
        <v>44</v>
      </c>
      <c r="K2380" t="s">
        <v>113</v>
      </c>
      <c r="L2380" t="s">
        <v>45</v>
      </c>
      <c r="M2380">
        <v>0</v>
      </c>
      <c r="N2380">
        <v>0</v>
      </c>
      <c r="O2380" s="5">
        <v>50780</v>
      </c>
      <c r="P2380" s="5">
        <v>50779</v>
      </c>
      <c r="Q2380">
        <f>31-12.5</f>
        <v>18.5</v>
      </c>
      <c r="R2380" t="s">
        <v>46</v>
      </c>
      <c r="S2380" t="s">
        <v>39</v>
      </c>
      <c r="T2380">
        <v>17</v>
      </c>
      <c r="U2380">
        <v>86</v>
      </c>
      <c r="V2380">
        <v>16</v>
      </c>
      <c r="W2380">
        <v>13.3</v>
      </c>
      <c r="X2380">
        <v>27.8</v>
      </c>
      <c r="Z2380" t="s">
        <v>102</v>
      </c>
      <c r="AA2380" t="s">
        <v>201</v>
      </c>
      <c r="AB2380" t="s">
        <v>47</v>
      </c>
      <c r="AC2380" t="s">
        <v>41</v>
      </c>
    </row>
    <row r="2381" spans="1:30" x14ac:dyDescent="0.35">
      <c r="A2381" s="4">
        <v>42584</v>
      </c>
      <c r="B2381" t="s">
        <v>30</v>
      </c>
      <c r="C2381">
        <v>111</v>
      </c>
      <c r="D2381">
        <v>2</v>
      </c>
      <c r="E2381">
        <v>1</v>
      </c>
      <c r="F2381" t="s">
        <v>31</v>
      </c>
      <c r="G2381" t="s">
        <v>32</v>
      </c>
      <c r="H2381" t="s">
        <v>33</v>
      </c>
      <c r="I2381" t="s">
        <v>43</v>
      </c>
      <c r="J2381" t="s">
        <v>44</v>
      </c>
      <c r="K2381" t="s">
        <v>88</v>
      </c>
      <c r="L2381" t="s">
        <v>37</v>
      </c>
      <c r="M2381">
        <v>0</v>
      </c>
      <c r="N2381">
        <v>0</v>
      </c>
      <c r="O2381" s="5">
        <v>50809</v>
      </c>
      <c r="P2381" s="5">
        <v>50808</v>
      </c>
      <c r="Q2381">
        <f>25-10</f>
        <v>15</v>
      </c>
      <c r="R2381" t="s">
        <v>64</v>
      </c>
      <c r="T2381">
        <v>19</v>
      </c>
      <c r="V2381">
        <v>15</v>
      </c>
      <c r="W2381">
        <v>12.9</v>
      </c>
      <c r="X2381">
        <v>27.7</v>
      </c>
      <c r="Z2381" t="s">
        <v>39</v>
      </c>
      <c r="AB2381" t="s">
        <v>86</v>
      </c>
      <c r="AC2381" t="s">
        <v>41</v>
      </c>
    </row>
    <row r="2382" spans="1:30" x14ac:dyDescent="0.35">
      <c r="A2382" s="4">
        <v>42584</v>
      </c>
      <c r="B2382" t="s">
        <v>30</v>
      </c>
      <c r="C2382">
        <v>111</v>
      </c>
      <c r="D2382">
        <v>4</v>
      </c>
      <c r="E2382">
        <v>1</v>
      </c>
      <c r="F2382" t="s">
        <v>31</v>
      </c>
      <c r="G2382" t="s">
        <v>32</v>
      </c>
      <c r="H2382" t="s">
        <v>33</v>
      </c>
      <c r="I2382" t="s">
        <v>43</v>
      </c>
      <c r="J2382" t="s">
        <v>44</v>
      </c>
      <c r="K2382" t="s">
        <v>36</v>
      </c>
      <c r="L2382" t="s">
        <v>45</v>
      </c>
      <c r="M2382">
        <v>0</v>
      </c>
      <c r="N2382">
        <v>0</v>
      </c>
      <c r="O2382" s="5">
        <v>50811</v>
      </c>
      <c r="P2382" s="5">
        <v>50810</v>
      </c>
      <c r="Q2382">
        <f>31.5-10.5</f>
        <v>21</v>
      </c>
      <c r="R2382" t="s">
        <v>145</v>
      </c>
      <c r="S2382" t="s">
        <v>102</v>
      </c>
      <c r="T2382">
        <v>20</v>
      </c>
      <c r="U2382">
        <v>96</v>
      </c>
      <c r="V2382">
        <v>17</v>
      </c>
      <c r="W2382">
        <v>13</v>
      </c>
      <c r="X2382">
        <v>28</v>
      </c>
      <c r="Z2382" t="s">
        <v>39</v>
      </c>
      <c r="AB2382" t="s">
        <v>86</v>
      </c>
      <c r="AC2382" t="s">
        <v>41</v>
      </c>
    </row>
    <row r="2383" spans="1:30" x14ac:dyDescent="0.35">
      <c r="A2383" s="4">
        <v>42584</v>
      </c>
      <c r="B2383" t="s">
        <v>30</v>
      </c>
      <c r="C2383">
        <v>111</v>
      </c>
      <c r="D2383">
        <v>9</v>
      </c>
      <c r="E2383">
        <v>1</v>
      </c>
      <c r="F2383" t="s">
        <v>31</v>
      </c>
      <c r="G2383" t="s">
        <v>32</v>
      </c>
      <c r="H2383" t="s">
        <v>33</v>
      </c>
      <c r="I2383" t="s">
        <v>43</v>
      </c>
      <c r="J2383" t="s">
        <v>44</v>
      </c>
      <c r="K2383" t="s">
        <v>88</v>
      </c>
      <c r="L2383" t="s">
        <v>37</v>
      </c>
      <c r="M2383">
        <v>0</v>
      </c>
      <c r="N2383">
        <v>0</v>
      </c>
      <c r="O2383" s="5">
        <v>50813</v>
      </c>
      <c r="P2383" s="5">
        <v>50812</v>
      </c>
      <c r="Q2383">
        <f>24-10.5</f>
        <v>13.5</v>
      </c>
      <c r="R2383" t="s">
        <v>64</v>
      </c>
      <c r="T2383">
        <v>19</v>
      </c>
      <c r="V2383">
        <v>17</v>
      </c>
      <c r="W2383">
        <v>12.6</v>
      </c>
      <c r="X2383">
        <v>25</v>
      </c>
      <c r="Z2383" t="s">
        <v>39</v>
      </c>
      <c r="AB2383" t="s">
        <v>86</v>
      </c>
      <c r="AC2383" t="s">
        <v>41</v>
      </c>
    </row>
    <row r="2384" spans="1:30" x14ac:dyDescent="0.35">
      <c r="A2384" s="4">
        <v>42584</v>
      </c>
      <c r="B2384" t="s">
        <v>30</v>
      </c>
      <c r="C2384">
        <v>304</v>
      </c>
      <c r="D2384">
        <v>7</v>
      </c>
      <c r="E2384">
        <v>2</v>
      </c>
      <c r="F2384" t="s">
        <v>42</v>
      </c>
      <c r="G2384" t="s">
        <v>32</v>
      </c>
      <c r="H2384" t="s">
        <v>33</v>
      </c>
      <c r="I2384" t="s">
        <v>43</v>
      </c>
      <c r="J2384" t="s">
        <v>44</v>
      </c>
      <c r="K2384" t="s">
        <v>113</v>
      </c>
      <c r="L2384" t="s">
        <v>37</v>
      </c>
      <c r="M2384">
        <v>0</v>
      </c>
      <c r="N2384">
        <v>0</v>
      </c>
      <c r="O2384" s="5">
        <v>50829</v>
      </c>
      <c r="P2384" s="5">
        <v>50828</v>
      </c>
      <c r="Q2384">
        <f>31-13</f>
        <v>18</v>
      </c>
      <c r="R2384" t="s">
        <v>64</v>
      </c>
      <c r="T2384">
        <v>20</v>
      </c>
      <c r="U2384">
        <v>86</v>
      </c>
      <c r="V2384">
        <v>17</v>
      </c>
      <c r="W2384">
        <v>13.2</v>
      </c>
      <c r="X2384">
        <v>26.5</v>
      </c>
      <c r="Z2384" t="s">
        <v>102</v>
      </c>
      <c r="AA2384" t="s">
        <v>292</v>
      </c>
      <c r="AB2384" t="s">
        <v>47</v>
      </c>
      <c r="AC2384" t="s">
        <v>41</v>
      </c>
    </row>
    <row r="2385" spans="1:29" x14ac:dyDescent="0.35">
      <c r="A2385" s="4">
        <v>42584</v>
      </c>
      <c r="B2385" t="s">
        <v>30</v>
      </c>
      <c r="C2385">
        <v>203</v>
      </c>
      <c r="D2385">
        <v>9</v>
      </c>
      <c r="E2385">
        <v>1</v>
      </c>
      <c r="F2385" t="s">
        <v>42</v>
      </c>
      <c r="G2385" t="s">
        <v>32</v>
      </c>
      <c r="H2385" t="s">
        <v>33</v>
      </c>
      <c r="I2385" t="s">
        <v>43</v>
      </c>
      <c r="J2385" t="s">
        <v>48</v>
      </c>
      <c r="K2385" t="s">
        <v>113</v>
      </c>
      <c r="L2385" t="s">
        <v>45</v>
      </c>
      <c r="M2385">
        <v>1</v>
      </c>
      <c r="N2385">
        <v>0</v>
      </c>
      <c r="O2385" s="5">
        <v>50836</v>
      </c>
      <c r="P2385" s="5">
        <v>50935</v>
      </c>
      <c r="Q2385">
        <f>29.5-14</f>
        <v>15.5</v>
      </c>
      <c r="R2385" t="s">
        <v>46</v>
      </c>
      <c r="S2385" t="s">
        <v>39</v>
      </c>
      <c r="T2385">
        <v>17</v>
      </c>
      <c r="U2385">
        <v>89</v>
      </c>
      <c r="V2385">
        <v>17</v>
      </c>
      <c r="W2385">
        <v>13.3</v>
      </c>
      <c r="X2385">
        <v>26.9</v>
      </c>
      <c r="Z2385" t="s">
        <v>39</v>
      </c>
      <c r="AB2385" t="s">
        <v>47</v>
      </c>
      <c r="AC2385" t="s">
        <v>41</v>
      </c>
    </row>
    <row r="2386" spans="1:29" x14ac:dyDescent="0.35">
      <c r="A2386" s="4">
        <v>42584</v>
      </c>
      <c r="B2386" t="s">
        <v>30</v>
      </c>
      <c r="C2386">
        <v>203</v>
      </c>
      <c r="D2386">
        <v>4</v>
      </c>
      <c r="E2386">
        <v>2</v>
      </c>
      <c r="F2386" t="s">
        <v>42</v>
      </c>
      <c r="G2386" t="s">
        <v>32</v>
      </c>
      <c r="H2386" t="s">
        <v>33</v>
      </c>
      <c r="I2386" t="s">
        <v>43</v>
      </c>
      <c r="J2386" t="s">
        <v>48</v>
      </c>
      <c r="K2386" t="s">
        <v>113</v>
      </c>
      <c r="L2386" t="s">
        <v>37</v>
      </c>
      <c r="M2386">
        <v>1</v>
      </c>
      <c r="N2386">
        <v>0</v>
      </c>
      <c r="O2386" s="5">
        <v>50840</v>
      </c>
      <c r="P2386" s="5">
        <v>50933</v>
      </c>
      <c r="Q2386">
        <f>31.5-13.5</f>
        <v>18</v>
      </c>
      <c r="R2386" t="s">
        <v>38</v>
      </c>
      <c r="T2386">
        <v>19</v>
      </c>
      <c r="U2386">
        <v>90</v>
      </c>
      <c r="V2386">
        <v>18</v>
      </c>
      <c r="W2386">
        <v>13.3</v>
      </c>
      <c r="X2386">
        <v>27.7</v>
      </c>
      <c r="Z2386" t="s">
        <v>39</v>
      </c>
      <c r="AA2386" t="s">
        <v>201</v>
      </c>
      <c r="AB2386" t="s">
        <v>47</v>
      </c>
      <c r="AC2386" t="s">
        <v>41</v>
      </c>
    </row>
    <row r="2387" spans="1:29" x14ac:dyDescent="0.35">
      <c r="A2387" s="4">
        <v>42584</v>
      </c>
      <c r="B2387" t="s">
        <v>30</v>
      </c>
      <c r="C2387">
        <v>203</v>
      </c>
      <c r="D2387">
        <v>1</v>
      </c>
      <c r="E2387">
        <v>1</v>
      </c>
      <c r="F2387" t="s">
        <v>42</v>
      </c>
      <c r="G2387" t="s">
        <v>32</v>
      </c>
      <c r="H2387" t="s">
        <v>33</v>
      </c>
      <c r="I2387" t="s">
        <v>43</v>
      </c>
      <c r="J2387" t="s">
        <v>48</v>
      </c>
      <c r="K2387" t="s">
        <v>113</v>
      </c>
      <c r="L2387" t="s">
        <v>45</v>
      </c>
      <c r="M2387">
        <v>1</v>
      </c>
      <c r="N2387">
        <v>0</v>
      </c>
      <c r="O2387" s="5">
        <v>50841</v>
      </c>
      <c r="P2387" s="5">
        <v>50950</v>
      </c>
      <c r="Q2387">
        <f>31-14</f>
        <v>17</v>
      </c>
      <c r="R2387" t="s">
        <v>46</v>
      </c>
      <c r="S2387" t="s">
        <v>39</v>
      </c>
      <c r="T2387">
        <v>18</v>
      </c>
      <c r="U2387">
        <v>93</v>
      </c>
      <c r="V2387">
        <v>15</v>
      </c>
      <c r="W2387">
        <v>12.8</v>
      </c>
      <c r="X2387">
        <v>25.3</v>
      </c>
      <c r="Z2387" t="s">
        <v>102</v>
      </c>
      <c r="AA2387" t="s">
        <v>201</v>
      </c>
      <c r="AB2387" t="s">
        <v>47</v>
      </c>
      <c r="AC2387" t="s">
        <v>41</v>
      </c>
    </row>
    <row r="2388" spans="1:29" x14ac:dyDescent="0.35">
      <c r="A2388" s="4">
        <v>42584</v>
      </c>
      <c r="B2388" t="s">
        <v>30</v>
      </c>
      <c r="C2388">
        <v>201</v>
      </c>
      <c r="D2388">
        <v>8</v>
      </c>
      <c r="E2388">
        <v>1</v>
      </c>
      <c r="F2388" t="s">
        <v>42</v>
      </c>
      <c r="G2388" t="s">
        <v>32</v>
      </c>
      <c r="H2388" t="s">
        <v>33</v>
      </c>
      <c r="I2388" t="s">
        <v>43</v>
      </c>
      <c r="J2388" t="s">
        <v>44</v>
      </c>
      <c r="K2388" t="s">
        <v>88</v>
      </c>
      <c r="L2388" t="s">
        <v>45</v>
      </c>
      <c r="M2388">
        <v>0</v>
      </c>
      <c r="N2388">
        <v>0</v>
      </c>
      <c r="O2388" s="5">
        <v>50846</v>
      </c>
      <c r="P2388" s="5">
        <v>50845</v>
      </c>
      <c r="Q2388">
        <f>29-15.5</f>
        <v>13.5</v>
      </c>
      <c r="R2388" t="s">
        <v>46</v>
      </c>
      <c r="S2388" t="s">
        <v>39</v>
      </c>
      <c r="T2388">
        <v>18</v>
      </c>
      <c r="U2388">
        <v>72</v>
      </c>
      <c r="V2388">
        <v>18</v>
      </c>
      <c r="W2388">
        <v>12.7</v>
      </c>
      <c r="X2388">
        <v>26.5</v>
      </c>
      <c r="Z2388" t="s">
        <v>39</v>
      </c>
      <c r="AA2388" t="s">
        <v>201</v>
      </c>
      <c r="AB2388" t="s">
        <v>47</v>
      </c>
      <c r="AC2388" t="s">
        <v>41</v>
      </c>
    </row>
    <row r="2389" spans="1:29" x14ac:dyDescent="0.35">
      <c r="A2389" s="4">
        <v>42584</v>
      </c>
      <c r="B2389" t="s">
        <v>30</v>
      </c>
      <c r="C2389">
        <v>201</v>
      </c>
      <c r="D2389">
        <v>6</v>
      </c>
      <c r="E2389">
        <v>1</v>
      </c>
      <c r="F2389" t="s">
        <v>42</v>
      </c>
      <c r="G2389" t="s">
        <v>32</v>
      </c>
      <c r="H2389" t="s">
        <v>33</v>
      </c>
      <c r="I2389" t="s">
        <v>43</v>
      </c>
      <c r="J2389" t="s">
        <v>44</v>
      </c>
      <c r="K2389" t="s">
        <v>113</v>
      </c>
      <c r="L2389" t="s">
        <v>37</v>
      </c>
      <c r="M2389">
        <v>0</v>
      </c>
      <c r="N2389">
        <v>0</v>
      </c>
      <c r="O2389" s="5">
        <v>50848</v>
      </c>
      <c r="P2389" s="5">
        <v>50847</v>
      </c>
      <c r="Q2389">
        <f>30-13</f>
        <v>17</v>
      </c>
      <c r="R2389" t="s">
        <v>38</v>
      </c>
      <c r="T2389">
        <v>17</v>
      </c>
      <c r="U2389">
        <v>86</v>
      </c>
      <c r="V2389">
        <v>14</v>
      </c>
      <c r="W2389">
        <v>13.1</v>
      </c>
      <c r="X2389">
        <v>25.2</v>
      </c>
      <c r="Z2389" t="s">
        <v>102</v>
      </c>
      <c r="AA2389" t="s">
        <v>201</v>
      </c>
      <c r="AB2389" t="s">
        <v>47</v>
      </c>
      <c r="AC2389" t="s">
        <v>41</v>
      </c>
    </row>
    <row r="2390" spans="1:29" x14ac:dyDescent="0.35">
      <c r="A2390" s="4">
        <v>42584</v>
      </c>
      <c r="B2390" t="s">
        <v>30</v>
      </c>
      <c r="C2390">
        <v>201</v>
      </c>
      <c r="D2390">
        <v>7</v>
      </c>
      <c r="E2390">
        <v>1</v>
      </c>
      <c r="F2390" t="s">
        <v>42</v>
      </c>
      <c r="G2390" t="s">
        <v>32</v>
      </c>
      <c r="H2390" t="s">
        <v>33</v>
      </c>
      <c r="I2390" t="s">
        <v>43</v>
      </c>
      <c r="J2390" t="s">
        <v>44</v>
      </c>
      <c r="K2390" t="s">
        <v>113</v>
      </c>
      <c r="L2390" t="s">
        <v>37</v>
      </c>
      <c r="M2390">
        <v>0</v>
      </c>
      <c r="N2390">
        <v>0</v>
      </c>
      <c r="O2390" s="5">
        <v>50850</v>
      </c>
      <c r="P2390" s="5">
        <v>50849</v>
      </c>
      <c r="Q2390">
        <f>32.5-13.5</f>
        <v>19</v>
      </c>
      <c r="R2390" t="s">
        <v>38</v>
      </c>
      <c r="T2390">
        <v>18</v>
      </c>
      <c r="U2390">
        <v>81</v>
      </c>
      <c r="V2390">
        <v>17</v>
      </c>
      <c r="W2390">
        <v>13.2</v>
      </c>
      <c r="X2390">
        <v>26.8</v>
      </c>
      <c r="Y2390" t="s">
        <v>293</v>
      </c>
      <c r="Z2390" t="s">
        <v>39</v>
      </c>
      <c r="AA2390" t="s">
        <v>201</v>
      </c>
      <c r="AB2390" t="s">
        <v>47</v>
      </c>
      <c r="AC2390" t="s">
        <v>41</v>
      </c>
    </row>
    <row r="2391" spans="1:29" x14ac:dyDescent="0.35">
      <c r="A2391" s="4">
        <v>42584</v>
      </c>
      <c r="B2391" t="s">
        <v>30</v>
      </c>
      <c r="C2391">
        <v>112</v>
      </c>
      <c r="D2391">
        <v>9</v>
      </c>
      <c r="E2391">
        <v>2</v>
      </c>
      <c r="F2391" t="s">
        <v>31</v>
      </c>
      <c r="G2391" t="s">
        <v>32</v>
      </c>
      <c r="H2391" t="s">
        <v>33</v>
      </c>
      <c r="I2391" t="s">
        <v>43</v>
      </c>
      <c r="J2391" t="s">
        <v>35</v>
      </c>
      <c r="K2391" t="s">
        <v>88</v>
      </c>
      <c r="L2391" t="s">
        <v>37</v>
      </c>
      <c r="M2391">
        <v>0</v>
      </c>
      <c r="N2391">
        <v>1</v>
      </c>
      <c r="O2391" s="5">
        <v>50891</v>
      </c>
      <c r="P2391" s="5">
        <v>50890</v>
      </c>
      <c r="Q2391">
        <f>24-10</f>
        <v>14</v>
      </c>
      <c r="R2391" t="s">
        <v>64</v>
      </c>
      <c r="T2391">
        <v>19</v>
      </c>
      <c r="U2391">
        <v>85</v>
      </c>
      <c r="V2391">
        <v>15</v>
      </c>
      <c r="W2391">
        <v>12.9</v>
      </c>
      <c r="X2391">
        <v>27.2</v>
      </c>
      <c r="Z2391" t="s">
        <v>39</v>
      </c>
      <c r="AB2391" t="s">
        <v>86</v>
      </c>
      <c r="AC2391" t="s">
        <v>41</v>
      </c>
    </row>
    <row r="2392" spans="1:29" x14ac:dyDescent="0.35">
      <c r="A2392" s="4">
        <v>42584</v>
      </c>
      <c r="B2392" t="s">
        <v>30</v>
      </c>
      <c r="C2392">
        <v>113</v>
      </c>
      <c r="D2392">
        <v>2</v>
      </c>
      <c r="E2392">
        <v>1</v>
      </c>
      <c r="F2392" t="s">
        <v>31</v>
      </c>
      <c r="G2392" t="s">
        <v>32</v>
      </c>
      <c r="H2392" t="s">
        <v>33</v>
      </c>
      <c r="I2392" t="s">
        <v>43</v>
      </c>
      <c r="J2392" t="s">
        <v>35</v>
      </c>
      <c r="K2392" t="s">
        <v>88</v>
      </c>
      <c r="L2392" t="s">
        <v>45</v>
      </c>
      <c r="M2392">
        <v>0</v>
      </c>
      <c r="N2392">
        <v>1</v>
      </c>
      <c r="O2392" s="5">
        <v>50893</v>
      </c>
      <c r="P2392" s="5">
        <v>50892</v>
      </c>
      <c r="Q2392">
        <f>27.5-12</f>
        <v>15.5</v>
      </c>
      <c r="R2392" t="s">
        <v>46</v>
      </c>
      <c r="S2392" t="s">
        <v>39</v>
      </c>
      <c r="T2392">
        <v>19</v>
      </c>
      <c r="U2392">
        <v>85</v>
      </c>
      <c r="V2392">
        <v>14</v>
      </c>
      <c r="W2392">
        <v>12.9</v>
      </c>
      <c r="X2392">
        <v>26.7</v>
      </c>
      <c r="Z2392" t="s">
        <v>39</v>
      </c>
      <c r="AB2392" t="s">
        <v>86</v>
      </c>
      <c r="AC2392" t="s">
        <v>41</v>
      </c>
    </row>
    <row r="2393" spans="1:29" x14ac:dyDescent="0.35">
      <c r="A2393" s="4">
        <v>42584</v>
      </c>
      <c r="B2393" t="s">
        <v>30</v>
      </c>
      <c r="C2393">
        <v>113</v>
      </c>
      <c r="D2393">
        <v>10</v>
      </c>
      <c r="E2393">
        <v>1</v>
      </c>
      <c r="F2393" t="s">
        <v>31</v>
      </c>
      <c r="G2393" t="s">
        <v>32</v>
      </c>
      <c r="H2393" t="s">
        <v>33</v>
      </c>
      <c r="I2393" t="s">
        <v>43</v>
      </c>
      <c r="J2393" t="s">
        <v>35</v>
      </c>
      <c r="K2393" t="s">
        <v>88</v>
      </c>
      <c r="L2393" t="s">
        <v>45</v>
      </c>
      <c r="M2393">
        <v>0</v>
      </c>
      <c r="N2393">
        <v>1</v>
      </c>
      <c r="O2393" s="5">
        <v>50895</v>
      </c>
      <c r="P2393" s="5">
        <v>50894</v>
      </c>
      <c r="Q2393">
        <f>23-11</f>
        <v>12</v>
      </c>
      <c r="R2393" t="s">
        <v>46</v>
      </c>
      <c r="S2393" t="s">
        <v>39</v>
      </c>
      <c r="T2393">
        <v>19</v>
      </c>
      <c r="U2393">
        <v>75</v>
      </c>
      <c r="V2393">
        <v>14</v>
      </c>
      <c r="W2393">
        <v>12.6</v>
      </c>
      <c r="X2393">
        <v>25.7</v>
      </c>
      <c r="Z2393" t="s">
        <v>39</v>
      </c>
      <c r="AB2393" t="s">
        <v>86</v>
      </c>
      <c r="AC2393" t="s">
        <v>41</v>
      </c>
    </row>
    <row r="2394" spans="1:29" x14ac:dyDescent="0.35">
      <c r="A2394" s="4">
        <v>42584</v>
      </c>
      <c r="B2394" t="s">
        <v>30</v>
      </c>
      <c r="C2394">
        <v>113</v>
      </c>
      <c r="D2394">
        <v>10</v>
      </c>
      <c r="E2394">
        <v>2</v>
      </c>
      <c r="F2394" t="s">
        <v>31</v>
      </c>
      <c r="G2394" t="s">
        <v>32</v>
      </c>
      <c r="H2394" t="s">
        <v>33</v>
      </c>
      <c r="I2394" t="s">
        <v>43</v>
      </c>
      <c r="J2394" t="s">
        <v>35</v>
      </c>
      <c r="K2394" t="s">
        <v>88</v>
      </c>
      <c r="L2394" t="s">
        <v>37</v>
      </c>
      <c r="M2394">
        <v>0</v>
      </c>
      <c r="N2394">
        <v>1</v>
      </c>
      <c r="O2394" s="5">
        <v>50897</v>
      </c>
      <c r="P2394" s="5">
        <v>50896</v>
      </c>
      <c r="Q2394">
        <f>30-16</f>
        <v>14</v>
      </c>
      <c r="R2394" t="s">
        <v>64</v>
      </c>
      <c r="T2394">
        <v>19</v>
      </c>
      <c r="U2394">
        <v>81</v>
      </c>
      <c r="V2394">
        <v>16</v>
      </c>
      <c r="W2394">
        <v>12.9</v>
      </c>
      <c r="X2394">
        <v>27.3</v>
      </c>
      <c r="Z2394" t="s">
        <v>102</v>
      </c>
      <c r="AA2394" t="s">
        <v>201</v>
      </c>
      <c r="AB2394" t="s">
        <v>86</v>
      </c>
      <c r="AC2394" t="s">
        <v>41</v>
      </c>
    </row>
    <row r="2395" spans="1:29" x14ac:dyDescent="0.35">
      <c r="A2395" s="4">
        <v>42584</v>
      </c>
      <c r="B2395" t="s">
        <v>30</v>
      </c>
      <c r="C2395">
        <v>113</v>
      </c>
      <c r="D2395">
        <v>1</v>
      </c>
      <c r="E2395">
        <v>1</v>
      </c>
      <c r="F2395" t="s">
        <v>31</v>
      </c>
      <c r="G2395" t="s">
        <v>32</v>
      </c>
      <c r="H2395" t="s">
        <v>33</v>
      </c>
      <c r="I2395" t="s">
        <v>43</v>
      </c>
      <c r="J2395" t="s">
        <v>35</v>
      </c>
      <c r="K2395" t="s">
        <v>113</v>
      </c>
      <c r="L2395" t="s">
        <v>37</v>
      </c>
      <c r="M2395">
        <v>0</v>
      </c>
      <c r="N2395">
        <v>1</v>
      </c>
      <c r="O2395" s="5">
        <v>50900</v>
      </c>
      <c r="P2395" s="5">
        <v>50899</v>
      </c>
      <c r="Q2395">
        <f>31.5-13.5</f>
        <v>18</v>
      </c>
      <c r="R2395" t="s">
        <v>38</v>
      </c>
      <c r="T2395">
        <v>18</v>
      </c>
      <c r="U2395">
        <v>85</v>
      </c>
      <c r="V2395">
        <v>16</v>
      </c>
      <c r="W2395">
        <v>13</v>
      </c>
      <c r="X2395">
        <v>28.3</v>
      </c>
      <c r="Z2395" t="s">
        <v>102</v>
      </c>
      <c r="AA2395" t="s">
        <v>201</v>
      </c>
      <c r="AB2395" t="s">
        <v>86</v>
      </c>
      <c r="AC2395" t="s">
        <v>41</v>
      </c>
    </row>
    <row r="2396" spans="1:29" x14ac:dyDescent="0.35">
      <c r="A2396" s="4">
        <v>42584</v>
      </c>
      <c r="B2396" t="s">
        <v>30</v>
      </c>
      <c r="C2396">
        <v>201</v>
      </c>
      <c r="D2396">
        <v>5</v>
      </c>
      <c r="E2396">
        <v>2</v>
      </c>
      <c r="F2396" t="s">
        <v>42</v>
      </c>
      <c r="G2396" t="s">
        <v>32</v>
      </c>
      <c r="H2396" t="s">
        <v>33</v>
      </c>
      <c r="I2396" t="s">
        <v>43</v>
      </c>
      <c r="J2396" t="s">
        <v>35</v>
      </c>
      <c r="K2396" t="s">
        <v>113</v>
      </c>
      <c r="L2396" t="s">
        <v>37</v>
      </c>
      <c r="M2396">
        <v>0</v>
      </c>
      <c r="N2396">
        <v>1</v>
      </c>
      <c r="O2396" s="5">
        <v>50928</v>
      </c>
      <c r="P2396" s="5">
        <v>50927</v>
      </c>
      <c r="Q2396">
        <f>27-12.5</f>
        <v>14.5</v>
      </c>
      <c r="R2396" t="s">
        <v>64</v>
      </c>
      <c r="T2396">
        <v>17</v>
      </c>
      <c r="U2396">
        <v>80</v>
      </c>
      <c r="V2396">
        <v>15.5</v>
      </c>
      <c r="W2396">
        <v>12.6</v>
      </c>
      <c r="X2396">
        <v>25.3</v>
      </c>
      <c r="Z2396" t="s">
        <v>39</v>
      </c>
      <c r="AA2396" t="s">
        <v>201</v>
      </c>
      <c r="AB2396" t="s">
        <v>47</v>
      </c>
      <c r="AC2396" t="s">
        <v>41</v>
      </c>
    </row>
    <row r="2397" spans="1:29" x14ac:dyDescent="0.35">
      <c r="A2397" s="4">
        <v>42584</v>
      </c>
      <c r="B2397" t="s">
        <v>30</v>
      </c>
      <c r="C2397">
        <v>201</v>
      </c>
      <c r="D2397">
        <v>7</v>
      </c>
      <c r="E2397">
        <v>2</v>
      </c>
      <c r="F2397" t="s">
        <v>42</v>
      </c>
      <c r="G2397" t="s">
        <v>32</v>
      </c>
      <c r="H2397" t="s">
        <v>33</v>
      </c>
      <c r="I2397" t="s">
        <v>43</v>
      </c>
      <c r="J2397" t="s">
        <v>35</v>
      </c>
      <c r="K2397" t="s">
        <v>88</v>
      </c>
      <c r="L2397" t="s">
        <v>45</v>
      </c>
      <c r="M2397">
        <v>0</v>
      </c>
      <c r="N2397">
        <v>1</v>
      </c>
      <c r="O2397" s="5">
        <v>50930</v>
      </c>
      <c r="P2397" s="5">
        <v>50929</v>
      </c>
      <c r="Q2397">
        <f>27-14</f>
        <v>13</v>
      </c>
      <c r="R2397" t="s">
        <v>46</v>
      </c>
      <c r="S2397" t="s">
        <v>39</v>
      </c>
      <c r="T2397">
        <v>16</v>
      </c>
      <c r="U2397">
        <v>79</v>
      </c>
      <c r="V2397">
        <v>16</v>
      </c>
      <c r="W2397">
        <v>12.8</v>
      </c>
      <c r="X2397">
        <v>25</v>
      </c>
      <c r="Z2397" t="s">
        <v>39</v>
      </c>
      <c r="AA2397" t="s">
        <v>201</v>
      </c>
      <c r="AB2397" t="s">
        <v>47</v>
      </c>
      <c r="AC2397" t="s">
        <v>41</v>
      </c>
    </row>
    <row r="2398" spans="1:29" x14ac:dyDescent="0.35">
      <c r="A2398" s="4">
        <v>42584</v>
      </c>
      <c r="B2398" t="s">
        <v>30</v>
      </c>
      <c r="C2398">
        <v>202</v>
      </c>
      <c r="D2398">
        <v>2</v>
      </c>
      <c r="E2398">
        <v>2</v>
      </c>
      <c r="F2398" t="s">
        <v>42</v>
      </c>
      <c r="G2398" t="s">
        <v>32</v>
      </c>
      <c r="H2398" t="s">
        <v>33</v>
      </c>
      <c r="I2398" t="s">
        <v>43</v>
      </c>
      <c r="J2398" t="s">
        <v>35</v>
      </c>
      <c r="K2398" t="s">
        <v>113</v>
      </c>
      <c r="L2398" t="s">
        <v>37</v>
      </c>
      <c r="M2398">
        <v>0</v>
      </c>
      <c r="N2398">
        <v>1</v>
      </c>
      <c r="O2398" s="5">
        <v>50937</v>
      </c>
      <c r="P2398" s="5">
        <v>50936</v>
      </c>
      <c r="Q2398">
        <f>28-12.5</f>
        <v>15.5</v>
      </c>
      <c r="R2398" t="s">
        <v>64</v>
      </c>
      <c r="T2398">
        <v>19</v>
      </c>
      <c r="U2398">
        <v>86</v>
      </c>
      <c r="V2398">
        <v>16</v>
      </c>
      <c r="W2398">
        <v>12.8</v>
      </c>
      <c r="X2398">
        <v>26.4</v>
      </c>
      <c r="Z2398" t="s">
        <v>39</v>
      </c>
      <c r="AB2398" t="s">
        <v>47</v>
      </c>
      <c r="AC2398" t="s">
        <v>41</v>
      </c>
    </row>
    <row r="2399" spans="1:29" x14ac:dyDescent="0.35">
      <c r="A2399" s="4">
        <v>42584</v>
      </c>
      <c r="B2399" t="s">
        <v>30</v>
      </c>
      <c r="C2399">
        <v>304</v>
      </c>
      <c r="D2399">
        <v>1</v>
      </c>
      <c r="E2399">
        <v>2</v>
      </c>
      <c r="F2399" t="s">
        <v>42</v>
      </c>
      <c r="G2399" t="s">
        <v>32</v>
      </c>
      <c r="H2399" t="s">
        <v>33</v>
      </c>
      <c r="I2399" t="s">
        <v>43</v>
      </c>
      <c r="J2399" t="s">
        <v>35</v>
      </c>
      <c r="K2399" t="s">
        <v>113</v>
      </c>
      <c r="L2399" t="s">
        <v>37</v>
      </c>
      <c r="M2399">
        <v>0</v>
      </c>
      <c r="N2399">
        <v>1</v>
      </c>
      <c r="O2399" s="5">
        <v>50944</v>
      </c>
      <c r="P2399" s="5">
        <v>50943</v>
      </c>
      <c r="R2399" t="s">
        <v>64</v>
      </c>
      <c r="T2399">
        <v>20</v>
      </c>
      <c r="U2399">
        <v>83</v>
      </c>
      <c r="V2399">
        <v>16</v>
      </c>
      <c r="W2399">
        <v>13.1</v>
      </c>
      <c r="X2399">
        <v>29.1</v>
      </c>
      <c r="Z2399" t="s">
        <v>102</v>
      </c>
      <c r="AB2399" t="s">
        <v>47</v>
      </c>
      <c r="AC2399" t="s">
        <v>41</v>
      </c>
    </row>
    <row r="2400" spans="1:29" x14ac:dyDescent="0.35">
      <c r="A2400" s="4">
        <v>42584</v>
      </c>
      <c r="B2400" t="s">
        <v>30</v>
      </c>
      <c r="C2400">
        <v>111</v>
      </c>
      <c r="D2400">
        <v>9</v>
      </c>
      <c r="E2400">
        <v>2</v>
      </c>
      <c r="F2400" t="s">
        <v>31</v>
      </c>
      <c r="G2400" t="s">
        <v>32</v>
      </c>
      <c r="H2400" t="s">
        <v>33</v>
      </c>
      <c r="I2400" t="s">
        <v>43</v>
      </c>
      <c r="J2400" t="s">
        <v>35</v>
      </c>
      <c r="K2400" t="s">
        <v>88</v>
      </c>
      <c r="L2400" t="s">
        <v>37</v>
      </c>
      <c r="M2400">
        <v>0</v>
      </c>
      <c r="N2400">
        <v>1</v>
      </c>
      <c r="O2400" s="5">
        <v>50952</v>
      </c>
      <c r="P2400" s="5">
        <v>50951</v>
      </c>
      <c r="Q2400">
        <f>24-9.5</f>
        <v>14.5</v>
      </c>
      <c r="R2400" t="s">
        <v>64</v>
      </c>
      <c r="T2400">
        <v>19</v>
      </c>
      <c r="V2400">
        <v>17</v>
      </c>
      <c r="W2400">
        <v>12.9</v>
      </c>
      <c r="X2400">
        <v>25.6</v>
      </c>
      <c r="Z2400" t="s">
        <v>102</v>
      </c>
      <c r="AB2400" t="s">
        <v>86</v>
      </c>
      <c r="AC2400" t="s">
        <v>41</v>
      </c>
    </row>
    <row r="2401" spans="1:30" x14ac:dyDescent="0.35">
      <c r="A2401" s="4">
        <v>42584</v>
      </c>
      <c r="B2401" t="s">
        <v>30</v>
      </c>
      <c r="C2401">
        <v>112</v>
      </c>
      <c r="D2401">
        <v>4</v>
      </c>
      <c r="E2401">
        <v>1</v>
      </c>
      <c r="F2401" t="s">
        <v>31</v>
      </c>
      <c r="G2401" t="s">
        <v>32</v>
      </c>
      <c r="H2401" t="s">
        <v>33</v>
      </c>
      <c r="I2401" t="s">
        <v>43</v>
      </c>
      <c r="J2401" t="s">
        <v>35</v>
      </c>
      <c r="K2401" t="s">
        <v>36</v>
      </c>
      <c r="L2401" t="s">
        <v>45</v>
      </c>
      <c r="M2401">
        <v>0</v>
      </c>
      <c r="N2401">
        <v>1</v>
      </c>
      <c r="O2401" s="5">
        <v>50954</v>
      </c>
      <c r="P2401" s="5">
        <v>50953</v>
      </c>
      <c r="Q2401">
        <f>38-13</f>
        <v>25</v>
      </c>
      <c r="R2401" t="s">
        <v>119</v>
      </c>
      <c r="S2401" t="s">
        <v>39</v>
      </c>
      <c r="T2401">
        <v>19</v>
      </c>
      <c r="U2401">
        <v>90</v>
      </c>
      <c r="V2401">
        <v>16</v>
      </c>
      <c r="W2401">
        <v>12.9</v>
      </c>
      <c r="X2401">
        <v>28.9</v>
      </c>
      <c r="Y2401" t="s">
        <v>294</v>
      </c>
      <c r="Z2401" t="s">
        <v>39</v>
      </c>
      <c r="AB2401" t="s">
        <v>86</v>
      </c>
      <c r="AC2401" t="s">
        <v>41</v>
      </c>
    </row>
    <row r="2402" spans="1:30" x14ac:dyDescent="0.35">
      <c r="A2402" s="4">
        <v>42584</v>
      </c>
      <c r="B2402" t="s">
        <v>30</v>
      </c>
      <c r="C2402">
        <v>112</v>
      </c>
      <c r="D2402">
        <v>7</v>
      </c>
      <c r="E2402">
        <v>1</v>
      </c>
      <c r="F2402" t="s">
        <v>31</v>
      </c>
      <c r="G2402" t="s">
        <v>32</v>
      </c>
      <c r="H2402" t="s">
        <v>33</v>
      </c>
      <c r="I2402" t="s">
        <v>43</v>
      </c>
      <c r="J2402" t="s">
        <v>44</v>
      </c>
      <c r="K2402" t="s">
        <v>36</v>
      </c>
      <c r="L2402" t="s">
        <v>45</v>
      </c>
      <c r="M2402">
        <v>0</v>
      </c>
      <c r="N2402">
        <v>0</v>
      </c>
      <c r="O2402" s="5">
        <v>50956</v>
      </c>
      <c r="P2402" s="5">
        <v>50955</v>
      </c>
      <c r="Q2402">
        <f>36-17</f>
        <v>19</v>
      </c>
      <c r="R2402" t="s">
        <v>74</v>
      </c>
      <c r="S2402" t="s">
        <v>102</v>
      </c>
      <c r="T2402">
        <v>18</v>
      </c>
      <c r="U2402">
        <v>90</v>
      </c>
      <c r="V2402">
        <v>16</v>
      </c>
      <c r="W2402">
        <v>13</v>
      </c>
      <c r="X2402">
        <v>27.2</v>
      </c>
      <c r="Z2402" t="s">
        <v>102</v>
      </c>
      <c r="AA2402" t="s">
        <v>201</v>
      </c>
      <c r="AB2402" t="s">
        <v>86</v>
      </c>
      <c r="AC2402" t="s">
        <v>41</v>
      </c>
    </row>
    <row r="2403" spans="1:30" x14ac:dyDescent="0.35">
      <c r="A2403" s="4">
        <v>42584</v>
      </c>
      <c r="B2403" t="s">
        <v>30</v>
      </c>
      <c r="C2403">
        <v>304</v>
      </c>
      <c r="D2403">
        <v>4</v>
      </c>
      <c r="E2403">
        <v>2</v>
      </c>
      <c r="F2403" t="s">
        <v>42</v>
      </c>
      <c r="G2403" t="s">
        <v>32</v>
      </c>
      <c r="H2403" t="s">
        <v>33</v>
      </c>
      <c r="I2403" t="s">
        <v>34</v>
      </c>
      <c r="J2403" t="s">
        <v>44</v>
      </c>
      <c r="K2403" t="s">
        <v>88</v>
      </c>
      <c r="L2403" t="s">
        <v>37</v>
      </c>
      <c r="M2403">
        <v>0</v>
      </c>
      <c r="N2403">
        <v>0</v>
      </c>
      <c r="O2403" s="5">
        <v>50782</v>
      </c>
      <c r="P2403" s="5"/>
      <c r="Q2403">
        <f>183-90</f>
        <v>93</v>
      </c>
      <c r="R2403" t="s">
        <v>64</v>
      </c>
      <c r="T2403">
        <v>34</v>
      </c>
      <c r="W2403">
        <v>22.3</v>
      </c>
      <c r="X2403">
        <v>43.7</v>
      </c>
      <c r="Z2403" t="s">
        <v>39</v>
      </c>
      <c r="AB2403" t="s">
        <v>47</v>
      </c>
      <c r="AC2403" t="s">
        <v>41</v>
      </c>
    </row>
    <row r="2404" spans="1:30" x14ac:dyDescent="0.35">
      <c r="A2404" s="4">
        <v>42584</v>
      </c>
      <c r="B2404" t="s">
        <v>30</v>
      </c>
      <c r="C2404">
        <v>402</v>
      </c>
      <c r="D2404">
        <v>5</v>
      </c>
      <c r="E2404">
        <v>1</v>
      </c>
      <c r="F2404" t="s">
        <v>31</v>
      </c>
      <c r="G2404" t="s">
        <v>32</v>
      </c>
      <c r="H2404" t="s">
        <v>33</v>
      </c>
      <c r="I2404" t="s">
        <v>58</v>
      </c>
      <c r="J2404" t="s">
        <v>35</v>
      </c>
      <c r="K2404" t="s">
        <v>36</v>
      </c>
      <c r="L2404" t="s">
        <v>37</v>
      </c>
      <c r="M2404">
        <v>0</v>
      </c>
      <c r="N2404">
        <v>1</v>
      </c>
      <c r="O2404" s="5">
        <v>16350</v>
      </c>
      <c r="P2404" s="5"/>
      <c r="Q2404">
        <f>40-13</f>
        <v>27</v>
      </c>
      <c r="R2404" t="s">
        <v>119</v>
      </c>
      <c r="S2404" t="s">
        <v>39</v>
      </c>
      <c r="T2404">
        <v>18</v>
      </c>
      <c r="W2404">
        <v>12.9</v>
      </c>
      <c r="X2404">
        <v>28.5</v>
      </c>
      <c r="Z2404" t="s">
        <v>102</v>
      </c>
      <c r="AA2404" t="s">
        <v>201</v>
      </c>
      <c r="AB2404" t="s">
        <v>86</v>
      </c>
      <c r="AC2404" t="s">
        <v>41</v>
      </c>
    </row>
    <row r="2405" spans="1:30" x14ac:dyDescent="0.35">
      <c r="A2405" s="4">
        <v>42584</v>
      </c>
      <c r="B2405" t="s">
        <v>30</v>
      </c>
      <c r="C2405">
        <v>402</v>
      </c>
      <c r="D2405">
        <v>1</v>
      </c>
      <c r="E2405">
        <v>2</v>
      </c>
      <c r="F2405" t="s">
        <v>31</v>
      </c>
      <c r="G2405" t="s">
        <v>32</v>
      </c>
      <c r="H2405" t="s">
        <v>33</v>
      </c>
      <c r="I2405" t="s">
        <v>58</v>
      </c>
      <c r="J2405" t="s">
        <v>35</v>
      </c>
      <c r="K2405" t="s">
        <v>36</v>
      </c>
      <c r="L2405" t="s">
        <v>37</v>
      </c>
      <c r="M2405">
        <v>0</v>
      </c>
      <c r="N2405">
        <v>1</v>
      </c>
      <c r="O2405" s="5">
        <v>50776</v>
      </c>
      <c r="P2405" s="5"/>
      <c r="Q2405">
        <f>44-15</f>
        <v>29</v>
      </c>
      <c r="R2405" t="s">
        <v>38</v>
      </c>
      <c r="T2405">
        <v>18</v>
      </c>
      <c r="W2405">
        <v>13.1</v>
      </c>
      <c r="X2405">
        <v>28.7</v>
      </c>
      <c r="Z2405" t="s">
        <v>102</v>
      </c>
      <c r="AA2405" t="s">
        <v>295</v>
      </c>
      <c r="AB2405" t="s">
        <v>86</v>
      </c>
      <c r="AC2405" t="s">
        <v>41</v>
      </c>
      <c r="AD2405" t="s">
        <v>296</v>
      </c>
    </row>
    <row r="2406" spans="1:30" x14ac:dyDescent="0.35">
      <c r="A2406" s="4">
        <v>42584</v>
      </c>
      <c r="B2406" t="s">
        <v>30</v>
      </c>
      <c r="C2406">
        <v>402</v>
      </c>
      <c r="D2406">
        <v>2</v>
      </c>
      <c r="E2406">
        <v>1</v>
      </c>
      <c r="F2406" t="s">
        <v>31</v>
      </c>
      <c r="G2406" t="s">
        <v>32</v>
      </c>
      <c r="H2406" t="s">
        <v>33</v>
      </c>
      <c r="I2406" t="s">
        <v>58</v>
      </c>
      <c r="J2406" t="s">
        <v>35</v>
      </c>
      <c r="K2406" t="s">
        <v>36</v>
      </c>
      <c r="L2406" t="s">
        <v>45</v>
      </c>
      <c r="M2406">
        <v>0</v>
      </c>
      <c r="N2406">
        <v>1</v>
      </c>
      <c r="O2406" s="5">
        <v>50889</v>
      </c>
      <c r="P2406" s="5"/>
      <c r="Q2406">
        <f>29-5</f>
        <v>24</v>
      </c>
      <c r="R2406" t="s">
        <v>145</v>
      </c>
      <c r="S2406" t="s">
        <v>102</v>
      </c>
      <c r="T2406">
        <v>18</v>
      </c>
      <c r="W2406">
        <v>12.9</v>
      </c>
      <c r="X2406">
        <v>26.7</v>
      </c>
      <c r="Z2406" t="s">
        <v>102</v>
      </c>
      <c r="AA2406" t="s">
        <v>297</v>
      </c>
      <c r="AB2406" t="s">
        <v>86</v>
      </c>
      <c r="AC2406" t="s">
        <v>41</v>
      </c>
    </row>
    <row r="2407" spans="1:30" x14ac:dyDescent="0.35">
      <c r="A2407" s="4">
        <v>42584</v>
      </c>
      <c r="B2407" t="s">
        <v>30</v>
      </c>
      <c r="C2407">
        <v>201</v>
      </c>
      <c r="D2407">
        <v>4</v>
      </c>
      <c r="E2407">
        <v>1</v>
      </c>
      <c r="F2407" t="s">
        <v>42</v>
      </c>
      <c r="G2407" t="s">
        <v>32</v>
      </c>
      <c r="H2407" t="s">
        <v>33</v>
      </c>
      <c r="I2407" t="s">
        <v>58</v>
      </c>
      <c r="J2407" t="s">
        <v>35</v>
      </c>
      <c r="K2407" t="s">
        <v>36</v>
      </c>
      <c r="L2407" t="s">
        <v>45</v>
      </c>
      <c r="M2407">
        <v>0</v>
      </c>
      <c r="N2407">
        <v>1</v>
      </c>
      <c r="O2407" s="5">
        <v>50926</v>
      </c>
      <c r="P2407" s="5"/>
      <c r="Q2407">
        <f>41.5-14.5</f>
        <v>27</v>
      </c>
      <c r="R2407" t="s">
        <v>298</v>
      </c>
      <c r="S2407" t="s">
        <v>39</v>
      </c>
      <c r="T2407">
        <v>17</v>
      </c>
      <c r="W2407">
        <v>13</v>
      </c>
      <c r="X2407">
        <v>28.5</v>
      </c>
      <c r="Z2407" t="s">
        <v>102</v>
      </c>
      <c r="AA2407" t="s">
        <v>201</v>
      </c>
      <c r="AB2407" t="s">
        <v>47</v>
      </c>
      <c r="AC2407" t="s">
        <v>41</v>
      </c>
    </row>
    <row r="2408" spans="1:30" x14ac:dyDescent="0.35">
      <c r="A2408" s="4">
        <v>42584</v>
      </c>
      <c r="B2408" t="s">
        <v>30</v>
      </c>
      <c r="C2408">
        <v>203</v>
      </c>
      <c r="D2408">
        <v>7</v>
      </c>
      <c r="E2408">
        <v>1</v>
      </c>
      <c r="F2408" t="s">
        <v>42</v>
      </c>
      <c r="G2408" t="s">
        <v>32</v>
      </c>
      <c r="H2408" t="s">
        <v>33</v>
      </c>
      <c r="I2408" t="s">
        <v>58</v>
      </c>
      <c r="J2408" t="s">
        <v>35</v>
      </c>
      <c r="K2408" t="s">
        <v>36</v>
      </c>
      <c r="L2408" t="s">
        <v>37</v>
      </c>
      <c r="M2408">
        <v>0</v>
      </c>
      <c r="N2408">
        <v>1</v>
      </c>
      <c r="O2408" s="5">
        <v>50934</v>
      </c>
      <c r="P2408" s="5"/>
      <c r="Q2408">
        <f>31-14</f>
        <v>17</v>
      </c>
      <c r="R2408" t="s">
        <v>46</v>
      </c>
      <c r="S2408" t="s">
        <v>39</v>
      </c>
      <c r="T2408">
        <v>17.5</v>
      </c>
      <c r="W2408">
        <v>12.2</v>
      </c>
      <c r="X2408">
        <v>25.6</v>
      </c>
      <c r="Z2408" t="s">
        <v>102</v>
      </c>
      <c r="AA2408" t="s">
        <v>299</v>
      </c>
      <c r="AB2408" t="s">
        <v>47</v>
      </c>
      <c r="AC2408" t="s">
        <v>41</v>
      </c>
    </row>
    <row r="2409" spans="1:30" x14ac:dyDescent="0.35">
      <c r="A2409" s="4">
        <v>42584</v>
      </c>
      <c r="B2409" t="s">
        <v>30</v>
      </c>
      <c r="C2409">
        <v>304</v>
      </c>
      <c r="D2409">
        <v>9</v>
      </c>
      <c r="E2409">
        <v>2</v>
      </c>
      <c r="F2409" t="s">
        <v>42</v>
      </c>
      <c r="G2409" t="s">
        <v>32</v>
      </c>
      <c r="H2409" t="s">
        <v>33</v>
      </c>
      <c r="I2409" t="s">
        <v>58</v>
      </c>
      <c r="J2409" t="s">
        <v>35</v>
      </c>
      <c r="K2409" t="s">
        <v>88</v>
      </c>
      <c r="L2409" t="s">
        <v>45</v>
      </c>
      <c r="M2409">
        <v>0</v>
      </c>
      <c r="N2409">
        <v>1</v>
      </c>
      <c r="O2409" s="5">
        <v>50940</v>
      </c>
      <c r="P2409" s="5"/>
      <c r="Q2409">
        <f>26-13</f>
        <v>13</v>
      </c>
      <c r="R2409" t="s">
        <v>46</v>
      </c>
      <c r="S2409" t="s">
        <v>39</v>
      </c>
      <c r="T2409">
        <v>15</v>
      </c>
      <c r="W2409">
        <v>11.8</v>
      </c>
      <c r="X2409">
        <v>26</v>
      </c>
      <c r="Z2409" t="s">
        <v>102</v>
      </c>
      <c r="AA2409" t="s">
        <v>300</v>
      </c>
      <c r="AB2409" t="s">
        <v>47</v>
      </c>
      <c r="AC2409" t="s">
        <v>41</v>
      </c>
      <c r="AD2409" t="s">
        <v>301</v>
      </c>
    </row>
    <row r="2410" spans="1:30" x14ac:dyDescent="0.35">
      <c r="A2410" s="4">
        <v>42584</v>
      </c>
      <c r="B2410" t="s">
        <v>30</v>
      </c>
      <c r="C2410">
        <v>304</v>
      </c>
      <c r="D2410">
        <v>3</v>
      </c>
      <c r="E2410">
        <v>2</v>
      </c>
      <c r="F2410" t="s">
        <v>42</v>
      </c>
      <c r="G2410" t="s">
        <v>32</v>
      </c>
      <c r="H2410" t="s">
        <v>33</v>
      </c>
      <c r="I2410" t="s">
        <v>58</v>
      </c>
      <c r="J2410" t="s">
        <v>35</v>
      </c>
      <c r="K2410" t="s">
        <v>88</v>
      </c>
      <c r="L2410" t="s">
        <v>45</v>
      </c>
      <c r="M2410">
        <v>0</v>
      </c>
      <c r="N2410">
        <v>1</v>
      </c>
      <c r="O2410" s="5">
        <v>50941</v>
      </c>
      <c r="P2410" s="5"/>
      <c r="Q2410">
        <f>34-14</f>
        <v>20</v>
      </c>
      <c r="R2410" t="s">
        <v>46</v>
      </c>
      <c r="S2410" t="s">
        <v>39</v>
      </c>
      <c r="T2410">
        <v>17</v>
      </c>
      <c r="W2410">
        <v>12.5</v>
      </c>
      <c r="X2410">
        <v>24.5</v>
      </c>
      <c r="Z2410" t="s">
        <v>102</v>
      </c>
      <c r="AA2410" t="s">
        <v>302</v>
      </c>
      <c r="AB2410" t="s">
        <v>47</v>
      </c>
      <c r="AC2410" t="s">
        <v>41</v>
      </c>
    </row>
    <row r="2411" spans="1:30" x14ac:dyDescent="0.35">
      <c r="A2411" s="4">
        <v>42584</v>
      </c>
      <c r="B2411" t="s">
        <v>30</v>
      </c>
      <c r="C2411">
        <v>304</v>
      </c>
      <c r="D2411">
        <v>2</v>
      </c>
      <c r="E2411">
        <v>1</v>
      </c>
      <c r="F2411" t="s">
        <v>42</v>
      </c>
      <c r="G2411" t="s">
        <v>32</v>
      </c>
      <c r="H2411" t="s">
        <v>33</v>
      </c>
      <c r="I2411" t="s">
        <v>58</v>
      </c>
      <c r="J2411" t="s">
        <v>35</v>
      </c>
      <c r="K2411" t="s">
        <v>36</v>
      </c>
      <c r="L2411" t="s">
        <v>37</v>
      </c>
      <c r="M2411">
        <v>0</v>
      </c>
      <c r="N2411">
        <v>1</v>
      </c>
      <c r="O2411" s="5">
        <v>50942</v>
      </c>
      <c r="P2411" s="5"/>
      <c r="Q2411">
        <f>35.5-5</f>
        <v>30.5</v>
      </c>
      <c r="R2411" t="s">
        <v>38</v>
      </c>
      <c r="T2411">
        <v>18</v>
      </c>
      <c r="W2411">
        <v>13.2</v>
      </c>
      <c r="X2411">
        <v>26.4</v>
      </c>
      <c r="Z2411" t="s">
        <v>102</v>
      </c>
      <c r="AA2411" t="s">
        <v>303</v>
      </c>
      <c r="AB2411" t="s">
        <v>47</v>
      </c>
      <c r="AC2411" t="s">
        <v>41</v>
      </c>
      <c r="AD2411" t="s">
        <v>304</v>
      </c>
    </row>
    <row r="2412" spans="1:30" x14ac:dyDescent="0.35">
      <c r="A2412" s="4">
        <v>42584</v>
      </c>
      <c r="B2412" t="s">
        <v>30</v>
      </c>
      <c r="C2412">
        <v>113</v>
      </c>
      <c r="D2412">
        <v>3</v>
      </c>
      <c r="E2412">
        <v>1</v>
      </c>
      <c r="F2412" t="s">
        <v>31</v>
      </c>
      <c r="G2412" t="s">
        <v>32</v>
      </c>
      <c r="H2412" t="s">
        <v>33</v>
      </c>
      <c r="I2412" t="s">
        <v>55</v>
      </c>
      <c r="J2412" t="s">
        <v>66</v>
      </c>
      <c r="O2412" s="5"/>
      <c r="P2412" s="5"/>
    </row>
    <row r="2413" spans="1:30" x14ac:dyDescent="0.35">
      <c r="A2413" s="4">
        <v>42584</v>
      </c>
      <c r="B2413" t="s">
        <v>30</v>
      </c>
      <c r="C2413">
        <v>203</v>
      </c>
      <c r="D2413">
        <v>1</v>
      </c>
      <c r="E2413">
        <v>2</v>
      </c>
      <c r="F2413" t="s">
        <v>42</v>
      </c>
      <c r="G2413" t="s">
        <v>32</v>
      </c>
      <c r="H2413" t="s">
        <v>33</v>
      </c>
      <c r="I2413" t="s">
        <v>55</v>
      </c>
      <c r="J2413" t="s">
        <v>66</v>
      </c>
      <c r="O2413" s="5"/>
      <c r="P2413" s="5"/>
      <c r="AB2413" t="s">
        <v>47</v>
      </c>
      <c r="AC2413" t="s">
        <v>41</v>
      </c>
    </row>
    <row r="2414" spans="1:30" x14ac:dyDescent="0.35">
      <c r="A2414" s="4">
        <v>42584</v>
      </c>
      <c r="B2414" t="s">
        <v>30</v>
      </c>
      <c r="C2414">
        <v>202</v>
      </c>
      <c r="D2414">
        <v>4</v>
      </c>
      <c r="E2414">
        <v>2</v>
      </c>
      <c r="F2414" t="s">
        <v>42</v>
      </c>
      <c r="G2414" t="s">
        <v>32</v>
      </c>
      <c r="H2414" t="s">
        <v>33</v>
      </c>
      <c r="I2414" t="s">
        <v>55</v>
      </c>
      <c r="J2414" t="s">
        <v>66</v>
      </c>
      <c r="O2414" s="5"/>
      <c r="P2414" s="5"/>
    </row>
    <row r="2415" spans="1:30" x14ac:dyDescent="0.35">
      <c r="A2415" s="4">
        <v>42584</v>
      </c>
      <c r="B2415" t="s">
        <v>30</v>
      </c>
      <c r="C2415">
        <v>202</v>
      </c>
      <c r="D2415">
        <v>8</v>
      </c>
      <c r="E2415">
        <v>2</v>
      </c>
      <c r="F2415" t="s">
        <v>42</v>
      </c>
      <c r="G2415" t="s">
        <v>32</v>
      </c>
      <c r="H2415" t="s">
        <v>33</v>
      </c>
      <c r="I2415" t="s">
        <v>55</v>
      </c>
      <c r="J2415" t="s">
        <v>66</v>
      </c>
      <c r="O2415" s="5"/>
      <c r="P2415" s="5"/>
    </row>
    <row r="2416" spans="1:30" x14ac:dyDescent="0.35">
      <c r="A2416" s="4">
        <v>42584</v>
      </c>
      <c r="B2416" t="s">
        <v>30</v>
      </c>
      <c r="C2416">
        <v>304</v>
      </c>
      <c r="D2416">
        <v>9</v>
      </c>
      <c r="E2416">
        <v>1</v>
      </c>
      <c r="F2416" t="s">
        <v>42</v>
      </c>
      <c r="G2416" t="s">
        <v>32</v>
      </c>
      <c r="H2416" t="s">
        <v>33</v>
      </c>
      <c r="I2416" t="s">
        <v>55</v>
      </c>
      <c r="J2416" t="s">
        <v>66</v>
      </c>
      <c r="O2416" s="5"/>
      <c r="P2416" s="5"/>
    </row>
    <row r="2417" spans="1:16" x14ac:dyDescent="0.35">
      <c r="A2417" s="4">
        <v>42584</v>
      </c>
      <c r="B2417" t="s">
        <v>30</v>
      </c>
      <c r="C2417">
        <v>304</v>
      </c>
      <c r="D2417">
        <v>6</v>
      </c>
      <c r="E2417">
        <v>2</v>
      </c>
      <c r="F2417" t="s">
        <v>42</v>
      </c>
      <c r="G2417" t="s">
        <v>32</v>
      </c>
      <c r="H2417" t="s">
        <v>33</v>
      </c>
      <c r="I2417" t="s">
        <v>55</v>
      </c>
      <c r="J2417" t="s">
        <v>66</v>
      </c>
      <c r="O2417" s="5"/>
      <c r="P2417" s="5"/>
    </row>
    <row r="2418" spans="1:16" x14ac:dyDescent="0.35">
      <c r="A2418" s="4">
        <v>42584</v>
      </c>
      <c r="B2418" t="s">
        <v>30</v>
      </c>
      <c r="C2418">
        <v>304</v>
      </c>
      <c r="D2418">
        <v>5</v>
      </c>
      <c r="E2418">
        <v>2</v>
      </c>
      <c r="F2418" t="s">
        <v>42</v>
      </c>
      <c r="G2418" t="s">
        <v>32</v>
      </c>
      <c r="H2418" t="s">
        <v>33</v>
      </c>
      <c r="I2418" t="s">
        <v>55</v>
      </c>
      <c r="J2418" t="s">
        <v>66</v>
      </c>
      <c r="O2418" s="5"/>
      <c r="P2418" s="5"/>
    </row>
    <row r="2419" spans="1:16" x14ac:dyDescent="0.35">
      <c r="A2419" s="4">
        <v>42584</v>
      </c>
      <c r="B2419" t="s">
        <v>30</v>
      </c>
      <c r="C2419">
        <v>111</v>
      </c>
      <c r="D2419">
        <v>6</v>
      </c>
      <c r="E2419">
        <v>1</v>
      </c>
      <c r="F2419" t="s">
        <v>31</v>
      </c>
      <c r="G2419" t="s">
        <v>32</v>
      </c>
      <c r="H2419" t="s">
        <v>33</v>
      </c>
      <c r="I2419" t="s">
        <v>59</v>
      </c>
      <c r="O2419" s="5"/>
      <c r="P2419" s="5"/>
    </row>
    <row r="2420" spans="1:16" x14ac:dyDescent="0.35">
      <c r="A2420" s="4">
        <v>42584</v>
      </c>
      <c r="B2420" t="s">
        <v>30</v>
      </c>
      <c r="C2420">
        <v>111</v>
      </c>
      <c r="D2420">
        <v>7</v>
      </c>
      <c r="E2420">
        <v>1</v>
      </c>
      <c r="F2420" t="s">
        <v>31</v>
      </c>
      <c r="G2420" t="s">
        <v>32</v>
      </c>
      <c r="H2420" t="s">
        <v>33</v>
      </c>
      <c r="I2420" t="s">
        <v>59</v>
      </c>
      <c r="O2420" s="5"/>
      <c r="P2420" s="5"/>
    </row>
    <row r="2421" spans="1:16" x14ac:dyDescent="0.35">
      <c r="A2421" s="4">
        <v>42584</v>
      </c>
      <c r="B2421" t="s">
        <v>30</v>
      </c>
      <c r="C2421">
        <v>112</v>
      </c>
      <c r="D2421">
        <v>1</v>
      </c>
      <c r="E2421">
        <v>1</v>
      </c>
      <c r="F2421" t="s">
        <v>31</v>
      </c>
      <c r="G2421" t="s">
        <v>32</v>
      </c>
      <c r="H2421" t="s">
        <v>33</v>
      </c>
      <c r="I2421" t="s">
        <v>59</v>
      </c>
      <c r="O2421" s="5"/>
      <c r="P2421" s="5"/>
    </row>
    <row r="2422" spans="1:16" x14ac:dyDescent="0.35">
      <c r="A2422" s="4">
        <v>42584</v>
      </c>
      <c r="B2422" t="s">
        <v>30</v>
      </c>
      <c r="C2422">
        <v>112</v>
      </c>
      <c r="D2422">
        <v>1</v>
      </c>
      <c r="E2422">
        <v>2</v>
      </c>
      <c r="F2422" t="s">
        <v>31</v>
      </c>
      <c r="G2422" t="s">
        <v>32</v>
      </c>
      <c r="H2422" t="s">
        <v>33</v>
      </c>
      <c r="I2422" t="s">
        <v>59</v>
      </c>
      <c r="O2422" s="5"/>
      <c r="P2422" s="5"/>
    </row>
    <row r="2423" spans="1:16" x14ac:dyDescent="0.35">
      <c r="A2423" s="4">
        <v>42584</v>
      </c>
      <c r="B2423" t="s">
        <v>30</v>
      </c>
      <c r="C2423">
        <v>112</v>
      </c>
      <c r="D2423">
        <v>2</v>
      </c>
      <c r="E2423">
        <v>1</v>
      </c>
      <c r="F2423" t="s">
        <v>31</v>
      </c>
      <c r="G2423" t="s">
        <v>32</v>
      </c>
      <c r="H2423" t="s">
        <v>33</v>
      </c>
      <c r="I2423" t="s">
        <v>59</v>
      </c>
      <c r="O2423" s="5"/>
      <c r="P2423" s="5"/>
    </row>
    <row r="2424" spans="1:16" x14ac:dyDescent="0.35">
      <c r="A2424" s="4">
        <v>42584</v>
      </c>
      <c r="B2424" t="s">
        <v>30</v>
      </c>
      <c r="C2424">
        <v>112</v>
      </c>
      <c r="D2424">
        <v>3</v>
      </c>
      <c r="E2424">
        <v>1</v>
      </c>
      <c r="F2424" t="s">
        <v>31</v>
      </c>
      <c r="G2424" t="s">
        <v>32</v>
      </c>
      <c r="H2424" t="s">
        <v>33</v>
      </c>
      <c r="I2424" t="s">
        <v>59</v>
      </c>
      <c r="O2424" s="5"/>
      <c r="P2424" s="5"/>
    </row>
    <row r="2425" spans="1:16" x14ac:dyDescent="0.35">
      <c r="A2425" s="4">
        <v>42584</v>
      </c>
      <c r="B2425" t="s">
        <v>30</v>
      </c>
      <c r="C2425">
        <v>112</v>
      </c>
      <c r="D2425">
        <v>5</v>
      </c>
      <c r="E2425">
        <v>1</v>
      </c>
      <c r="F2425" t="s">
        <v>31</v>
      </c>
      <c r="G2425" t="s">
        <v>32</v>
      </c>
      <c r="H2425" t="s">
        <v>33</v>
      </c>
      <c r="I2425" t="s">
        <v>59</v>
      </c>
      <c r="O2425" s="5"/>
      <c r="P2425" s="5"/>
    </row>
    <row r="2426" spans="1:16" x14ac:dyDescent="0.35">
      <c r="A2426" s="4">
        <v>42584</v>
      </c>
      <c r="B2426" t="s">
        <v>30</v>
      </c>
      <c r="C2426">
        <v>112</v>
      </c>
      <c r="D2426">
        <v>5</v>
      </c>
      <c r="E2426">
        <v>2</v>
      </c>
      <c r="F2426" t="s">
        <v>31</v>
      </c>
      <c r="G2426" t="s">
        <v>32</v>
      </c>
      <c r="H2426" t="s">
        <v>33</v>
      </c>
      <c r="I2426" t="s">
        <v>59</v>
      </c>
      <c r="O2426" s="5"/>
      <c r="P2426" s="5"/>
    </row>
    <row r="2427" spans="1:16" x14ac:dyDescent="0.35">
      <c r="A2427" s="4">
        <v>42584</v>
      </c>
      <c r="B2427" t="s">
        <v>30</v>
      </c>
      <c r="C2427">
        <v>112</v>
      </c>
      <c r="D2427">
        <v>8</v>
      </c>
      <c r="E2427">
        <v>1</v>
      </c>
      <c r="F2427" t="s">
        <v>31</v>
      </c>
      <c r="G2427" t="s">
        <v>32</v>
      </c>
      <c r="H2427" t="s">
        <v>33</v>
      </c>
      <c r="I2427" t="s">
        <v>59</v>
      </c>
      <c r="O2427" s="5"/>
      <c r="P2427" s="5"/>
    </row>
    <row r="2428" spans="1:16" x14ac:dyDescent="0.35">
      <c r="A2428" s="4">
        <v>42584</v>
      </c>
      <c r="B2428" t="s">
        <v>30</v>
      </c>
      <c r="C2428">
        <v>112</v>
      </c>
      <c r="D2428">
        <v>8</v>
      </c>
      <c r="E2428">
        <v>2</v>
      </c>
      <c r="F2428" t="s">
        <v>31</v>
      </c>
      <c r="G2428" t="s">
        <v>32</v>
      </c>
      <c r="H2428" t="s">
        <v>33</v>
      </c>
      <c r="I2428" t="s">
        <v>59</v>
      </c>
      <c r="O2428" s="5"/>
      <c r="P2428" s="5"/>
    </row>
    <row r="2429" spans="1:16" x14ac:dyDescent="0.35">
      <c r="A2429" s="4">
        <v>42584</v>
      </c>
      <c r="B2429" t="s">
        <v>30</v>
      </c>
      <c r="C2429">
        <v>113</v>
      </c>
      <c r="D2429">
        <v>6</v>
      </c>
      <c r="E2429">
        <v>2</v>
      </c>
      <c r="F2429" t="s">
        <v>31</v>
      </c>
      <c r="G2429" t="s">
        <v>32</v>
      </c>
      <c r="H2429" t="s">
        <v>33</v>
      </c>
      <c r="I2429" t="s">
        <v>59</v>
      </c>
      <c r="O2429" s="5"/>
      <c r="P2429" s="5"/>
    </row>
    <row r="2430" spans="1:16" x14ac:dyDescent="0.35">
      <c r="A2430" s="4">
        <v>42584</v>
      </c>
      <c r="B2430" t="s">
        <v>30</v>
      </c>
      <c r="C2430">
        <v>113</v>
      </c>
      <c r="D2430">
        <v>7</v>
      </c>
      <c r="E2430">
        <v>1</v>
      </c>
      <c r="F2430" t="s">
        <v>31</v>
      </c>
      <c r="G2430" t="s">
        <v>32</v>
      </c>
      <c r="H2430" t="s">
        <v>33</v>
      </c>
      <c r="I2430" t="s">
        <v>59</v>
      </c>
      <c r="O2430" s="5"/>
      <c r="P2430" s="5"/>
    </row>
    <row r="2431" spans="1:16" x14ac:dyDescent="0.35">
      <c r="A2431" s="4">
        <v>42584</v>
      </c>
      <c r="B2431" t="s">
        <v>30</v>
      </c>
      <c r="C2431">
        <v>113</v>
      </c>
      <c r="D2431">
        <v>8</v>
      </c>
      <c r="E2431">
        <v>1</v>
      </c>
      <c r="F2431" t="s">
        <v>31</v>
      </c>
      <c r="G2431" t="s">
        <v>32</v>
      </c>
      <c r="H2431" t="s">
        <v>33</v>
      </c>
      <c r="I2431" t="s">
        <v>59</v>
      </c>
      <c r="O2431" s="5"/>
      <c r="P2431" s="5"/>
    </row>
    <row r="2432" spans="1:16" x14ac:dyDescent="0.35">
      <c r="A2432" s="4">
        <v>42584</v>
      </c>
      <c r="B2432" t="s">
        <v>30</v>
      </c>
      <c r="C2432">
        <v>113</v>
      </c>
      <c r="D2432">
        <v>8</v>
      </c>
      <c r="E2432">
        <v>2</v>
      </c>
      <c r="F2432" t="s">
        <v>31</v>
      </c>
      <c r="G2432" t="s">
        <v>32</v>
      </c>
      <c r="H2432" t="s">
        <v>33</v>
      </c>
      <c r="I2432" t="s">
        <v>59</v>
      </c>
      <c r="O2432" s="5"/>
      <c r="P2432" s="5"/>
    </row>
    <row r="2433" spans="1:16" x14ac:dyDescent="0.35">
      <c r="A2433" s="4">
        <v>42584</v>
      </c>
      <c r="B2433" t="s">
        <v>30</v>
      </c>
      <c r="C2433">
        <v>113</v>
      </c>
      <c r="D2433">
        <v>9</v>
      </c>
      <c r="E2433">
        <v>1</v>
      </c>
      <c r="F2433" t="s">
        <v>31</v>
      </c>
      <c r="G2433" t="s">
        <v>32</v>
      </c>
      <c r="H2433" t="s">
        <v>33</v>
      </c>
      <c r="I2433" t="s">
        <v>59</v>
      </c>
      <c r="O2433" s="5"/>
      <c r="P2433" s="5"/>
    </row>
    <row r="2434" spans="1:16" x14ac:dyDescent="0.35">
      <c r="A2434" s="4">
        <v>42584</v>
      </c>
      <c r="B2434" t="s">
        <v>30</v>
      </c>
      <c r="C2434">
        <v>113</v>
      </c>
      <c r="D2434">
        <v>9</v>
      </c>
      <c r="E2434">
        <v>2</v>
      </c>
      <c r="F2434" t="s">
        <v>31</v>
      </c>
      <c r="G2434" t="s">
        <v>32</v>
      </c>
      <c r="H2434" t="s">
        <v>33</v>
      </c>
      <c r="I2434" t="s">
        <v>59</v>
      </c>
      <c r="O2434" s="5"/>
      <c r="P2434" s="5"/>
    </row>
    <row r="2435" spans="1:16" x14ac:dyDescent="0.35">
      <c r="A2435" s="4">
        <v>42584</v>
      </c>
      <c r="B2435" t="s">
        <v>30</v>
      </c>
      <c r="C2435">
        <v>402</v>
      </c>
      <c r="D2435">
        <v>1</v>
      </c>
      <c r="E2435">
        <v>1</v>
      </c>
      <c r="F2435" t="s">
        <v>31</v>
      </c>
      <c r="G2435" t="s">
        <v>32</v>
      </c>
      <c r="H2435" t="s">
        <v>33</v>
      </c>
      <c r="I2435" t="s">
        <v>59</v>
      </c>
      <c r="O2435" s="5"/>
      <c r="P2435" s="5"/>
    </row>
    <row r="2436" spans="1:16" x14ac:dyDescent="0.35">
      <c r="A2436" s="4">
        <v>42584</v>
      </c>
      <c r="B2436" t="s">
        <v>30</v>
      </c>
      <c r="C2436">
        <v>402</v>
      </c>
      <c r="D2436">
        <v>3</v>
      </c>
      <c r="E2436">
        <v>1</v>
      </c>
      <c r="F2436" t="s">
        <v>31</v>
      </c>
      <c r="G2436" t="s">
        <v>32</v>
      </c>
      <c r="H2436" t="s">
        <v>33</v>
      </c>
      <c r="I2436" t="s">
        <v>59</v>
      </c>
      <c r="O2436" s="5"/>
      <c r="P2436" s="5"/>
    </row>
    <row r="2437" spans="1:16" x14ac:dyDescent="0.35">
      <c r="A2437" s="4">
        <v>42584</v>
      </c>
      <c r="B2437" t="s">
        <v>30</v>
      </c>
      <c r="C2437">
        <v>402</v>
      </c>
      <c r="D2437">
        <v>8</v>
      </c>
      <c r="E2437">
        <v>1</v>
      </c>
      <c r="F2437" t="s">
        <v>31</v>
      </c>
      <c r="G2437" t="s">
        <v>32</v>
      </c>
      <c r="H2437" t="s">
        <v>33</v>
      </c>
      <c r="I2437" t="s">
        <v>59</v>
      </c>
      <c r="O2437" s="5"/>
      <c r="P2437" s="5"/>
    </row>
    <row r="2438" spans="1:16" x14ac:dyDescent="0.35">
      <c r="A2438" s="4">
        <v>42584</v>
      </c>
      <c r="B2438" t="s">
        <v>30</v>
      </c>
      <c r="C2438">
        <v>402</v>
      </c>
      <c r="D2438">
        <v>9</v>
      </c>
      <c r="E2438">
        <v>1</v>
      </c>
      <c r="F2438" t="s">
        <v>31</v>
      </c>
      <c r="G2438" t="s">
        <v>32</v>
      </c>
      <c r="H2438" t="s">
        <v>33</v>
      </c>
      <c r="I2438" t="s">
        <v>59</v>
      </c>
      <c r="O2438" s="5"/>
      <c r="P2438" s="5"/>
    </row>
    <row r="2439" spans="1:16" x14ac:dyDescent="0.35">
      <c r="A2439" s="4">
        <v>42584</v>
      </c>
      <c r="B2439" t="s">
        <v>30</v>
      </c>
      <c r="C2439">
        <v>201</v>
      </c>
      <c r="D2439">
        <v>3</v>
      </c>
      <c r="E2439">
        <v>1</v>
      </c>
      <c r="F2439" t="s">
        <v>42</v>
      </c>
      <c r="G2439" t="s">
        <v>32</v>
      </c>
      <c r="H2439" t="s">
        <v>33</v>
      </c>
      <c r="I2439" t="s">
        <v>59</v>
      </c>
      <c r="O2439" s="5"/>
      <c r="P2439" s="5"/>
    </row>
    <row r="2440" spans="1:16" x14ac:dyDescent="0.35">
      <c r="A2440" s="4">
        <v>42584</v>
      </c>
      <c r="B2440" t="s">
        <v>30</v>
      </c>
      <c r="C2440">
        <v>201</v>
      </c>
      <c r="D2440">
        <v>3</v>
      </c>
      <c r="E2440">
        <v>2</v>
      </c>
      <c r="F2440" t="s">
        <v>42</v>
      </c>
      <c r="G2440" t="s">
        <v>32</v>
      </c>
      <c r="H2440" t="s">
        <v>33</v>
      </c>
      <c r="I2440" t="s">
        <v>59</v>
      </c>
      <c r="O2440" s="5"/>
      <c r="P2440" s="5"/>
    </row>
    <row r="2441" spans="1:16" x14ac:dyDescent="0.35">
      <c r="A2441" s="4">
        <v>42584</v>
      </c>
      <c r="B2441" t="s">
        <v>30</v>
      </c>
      <c r="C2441">
        <v>201</v>
      </c>
      <c r="D2441">
        <v>5</v>
      </c>
      <c r="E2441">
        <v>1</v>
      </c>
      <c r="F2441" t="s">
        <v>42</v>
      </c>
      <c r="G2441" t="s">
        <v>32</v>
      </c>
      <c r="H2441" t="s">
        <v>33</v>
      </c>
      <c r="I2441" t="s">
        <v>59</v>
      </c>
      <c r="O2441" s="5"/>
      <c r="P2441" s="5"/>
    </row>
    <row r="2442" spans="1:16" x14ac:dyDescent="0.35">
      <c r="A2442" s="4">
        <v>42584</v>
      </c>
      <c r="B2442" t="s">
        <v>30</v>
      </c>
      <c r="C2442">
        <v>203</v>
      </c>
      <c r="D2442">
        <v>2</v>
      </c>
      <c r="E2442">
        <v>1</v>
      </c>
      <c r="F2442" t="s">
        <v>42</v>
      </c>
      <c r="G2442" t="s">
        <v>32</v>
      </c>
      <c r="H2442" t="s">
        <v>33</v>
      </c>
      <c r="I2442" t="s">
        <v>59</v>
      </c>
      <c r="O2442" s="5"/>
      <c r="P2442" s="5"/>
    </row>
    <row r="2443" spans="1:16" x14ac:dyDescent="0.35">
      <c r="A2443" s="4">
        <v>42584</v>
      </c>
      <c r="B2443" t="s">
        <v>30</v>
      </c>
      <c r="C2443">
        <v>203</v>
      </c>
      <c r="D2443">
        <v>3</v>
      </c>
      <c r="E2443">
        <v>1</v>
      </c>
      <c r="F2443" t="s">
        <v>42</v>
      </c>
      <c r="G2443" t="s">
        <v>32</v>
      </c>
      <c r="H2443" t="s">
        <v>33</v>
      </c>
      <c r="I2443" t="s">
        <v>59</v>
      </c>
      <c r="O2443" s="5"/>
      <c r="P2443" s="5"/>
    </row>
    <row r="2444" spans="1:16" x14ac:dyDescent="0.35">
      <c r="A2444" s="4">
        <v>42584</v>
      </c>
      <c r="B2444" t="s">
        <v>30</v>
      </c>
      <c r="C2444">
        <v>203</v>
      </c>
      <c r="D2444">
        <v>3</v>
      </c>
      <c r="E2444">
        <v>2</v>
      </c>
      <c r="F2444" t="s">
        <v>42</v>
      </c>
      <c r="G2444" t="s">
        <v>32</v>
      </c>
      <c r="H2444" t="s">
        <v>33</v>
      </c>
      <c r="I2444" t="s">
        <v>59</v>
      </c>
      <c r="O2444" s="5"/>
      <c r="P2444" s="5"/>
    </row>
    <row r="2445" spans="1:16" x14ac:dyDescent="0.35">
      <c r="A2445" s="4">
        <v>42584</v>
      </c>
      <c r="B2445" t="s">
        <v>30</v>
      </c>
      <c r="C2445">
        <v>203</v>
      </c>
      <c r="D2445">
        <v>4</v>
      </c>
      <c r="E2445">
        <v>1</v>
      </c>
      <c r="F2445" t="s">
        <v>42</v>
      </c>
      <c r="G2445" t="s">
        <v>32</v>
      </c>
      <c r="H2445" t="s">
        <v>33</v>
      </c>
      <c r="I2445" t="s">
        <v>59</v>
      </c>
      <c r="O2445" s="5"/>
      <c r="P2445" s="5"/>
    </row>
    <row r="2446" spans="1:16" x14ac:dyDescent="0.35">
      <c r="A2446" s="4">
        <v>42584</v>
      </c>
      <c r="B2446" t="s">
        <v>30</v>
      </c>
      <c r="C2446">
        <v>203</v>
      </c>
      <c r="D2446">
        <v>5</v>
      </c>
      <c r="E2446">
        <v>1</v>
      </c>
      <c r="F2446" t="s">
        <v>42</v>
      </c>
      <c r="G2446" t="s">
        <v>32</v>
      </c>
      <c r="H2446" t="s">
        <v>33</v>
      </c>
      <c r="I2446" t="s">
        <v>59</v>
      </c>
      <c r="O2446" s="5"/>
      <c r="P2446" s="5"/>
    </row>
    <row r="2447" spans="1:16" x14ac:dyDescent="0.35">
      <c r="A2447" s="4">
        <v>42584</v>
      </c>
      <c r="B2447" t="s">
        <v>30</v>
      </c>
      <c r="C2447">
        <v>203</v>
      </c>
      <c r="D2447">
        <v>6</v>
      </c>
      <c r="E2447">
        <v>1</v>
      </c>
      <c r="F2447" t="s">
        <v>42</v>
      </c>
      <c r="G2447" t="s">
        <v>32</v>
      </c>
      <c r="H2447" t="s">
        <v>33</v>
      </c>
      <c r="I2447" t="s">
        <v>59</v>
      </c>
      <c r="O2447" s="5"/>
      <c r="P2447" s="5"/>
    </row>
    <row r="2448" spans="1:16" x14ac:dyDescent="0.35">
      <c r="A2448" s="4">
        <v>42584</v>
      </c>
      <c r="B2448" t="s">
        <v>30</v>
      </c>
      <c r="C2448">
        <v>203</v>
      </c>
      <c r="D2448">
        <v>6</v>
      </c>
      <c r="E2448">
        <v>2</v>
      </c>
      <c r="F2448" t="s">
        <v>42</v>
      </c>
      <c r="G2448" t="s">
        <v>32</v>
      </c>
      <c r="H2448" t="s">
        <v>33</v>
      </c>
      <c r="I2448" t="s">
        <v>59</v>
      </c>
      <c r="O2448" s="5"/>
      <c r="P2448" s="5"/>
    </row>
    <row r="2449" spans="1:29" x14ac:dyDescent="0.35">
      <c r="A2449" s="4">
        <v>42584</v>
      </c>
      <c r="B2449" t="s">
        <v>30</v>
      </c>
      <c r="C2449">
        <v>203</v>
      </c>
      <c r="D2449">
        <v>8</v>
      </c>
      <c r="E2449">
        <v>1</v>
      </c>
      <c r="F2449" t="s">
        <v>42</v>
      </c>
      <c r="G2449" t="s">
        <v>32</v>
      </c>
      <c r="H2449" t="s">
        <v>33</v>
      </c>
      <c r="I2449" t="s">
        <v>59</v>
      </c>
      <c r="O2449" s="5"/>
      <c r="P2449" s="5"/>
    </row>
    <row r="2450" spans="1:29" x14ac:dyDescent="0.35">
      <c r="A2450" s="4">
        <v>42584</v>
      </c>
      <c r="B2450" t="s">
        <v>30</v>
      </c>
      <c r="C2450">
        <v>203</v>
      </c>
      <c r="D2450">
        <v>10</v>
      </c>
      <c r="E2450">
        <v>2</v>
      </c>
      <c r="F2450" t="s">
        <v>42</v>
      </c>
      <c r="G2450" t="s">
        <v>32</v>
      </c>
      <c r="H2450" t="s">
        <v>33</v>
      </c>
      <c r="I2450" t="s">
        <v>59</v>
      </c>
      <c r="O2450" s="5"/>
      <c r="P2450" s="5"/>
    </row>
    <row r="2451" spans="1:29" x14ac:dyDescent="0.35">
      <c r="A2451" s="4">
        <v>42584</v>
      </c>
      <c r="B2451" t="s">
        <v>30</v>
      </c>
      <c r="C2451">
        <v>202</v>
      </c>
      <c r="D2451">
        <v>2</v>
      </c>
      <c r="E2451">
        <v>1</v>
      </c>
      <c r="F2451" t="s">
        <v>42</v>
      </c>
      <c r="G2451" t="s">
        <v>32</v>
      </c>
      <c r="H2451" t="s">
        <v>33</v>
      </c>
      <c r="I2451" t="s">
        <v>59</v>
      </c>
      <c r="O2451" s="5"/>
      <c r="P2451" s="5"/>
    </row>
    <row r="2452" spans="1:29" x14ac:dyDescent="0.35">
      <c r="A2452" s="4">
        <v>42584</v>
      </c>
      <c r="B2452" t="s">
        <v>30</v>
      </c>
      <c r="C2452">
        <v>202</v>
      </c>
      <c r="D2452">
        <v>3</v>
      </c>
      <c r="E2452">
        <v>1</v>
      </c>
      <c r="F2452" t="s">
        <v>42</v>
      </c>
      <c r="G2452" t="s">
        <v>32</v>
      </c>
      <c r="H2452" t="s">
        <v>33</v>
      </c>
      <c r="I2452" t="s">
        <v>59</v>
      </c>
      <c r="O2452" s="5"/>
      <c r="P2452" s="5"/>
    </row>
    <row r="2453" spans="1:29" x14ac:dyDescent="0.35">
      <c r="A2453" s="4">
        <v>42584</v>
      </c>
      <c r="B2453" t="s">
        <v>30</v>
      </c>
      <c r="C2453">
        <v>202</v>
      </c>
      <c r="D2453">
        <v>4</v>
      </c>
      <c r="E2453">
        <v>1</v>
      </c>
      <c r="F2453" t="s">
        <v>42</v>
      </c>
      <c r="G2453" t="s">
        <v>32</v>
      </c>
      <c r="H2453" t="s">
        <v>33</v>
      </c>
      <c r="I2453" t="s">
        <v>59</v>
      </c>
      <c r="O2453" s="5"/>
      <c r="P2453" s="5"/>
    </row>
    <row r="2454" spans="1:29" x14ac:dyDescent="0.35">
      <c r="A2454" s="4">
        <v>42584</v>
      </c>
      <c r="B2454" t="s">
        <v>30</v>
      </c>
      <c r="C2454">
        <v>202</v>
      </c>
      <c r="D2454">
        <v>8</v>
      </c>
      <c r="E2454">
        <v>1</v>
      </c>
      <c r="F2454" t="s">
        <v>42</v>
      </c>
      <c r="G2454" t="s">
        <v>32</v>
      </c>
      <c r="H2454" t="s">
        <v>33</v>
      </c>
      <c r="I2454" t="s">
        <v>59</v>
      </c>
      <c r="O2454" s="5"/>
      <c r="P2454" s="5"/>
    </row>
    <row r="2455" spans="1:29" x14ac:dyDescent="0.35">
      <c r="A2455" s="4">
        <v>42584</v>
      </c>
      <c r="B2455" t="s">
        <v>30</v>
      </c>
      <c r="C2455">
        <v>202</v>
      </c>
      <c r="D2455">
        <v>9</v>
      </c>
      <c r="E2455">
        <v>1</v>
      </c>
      <c r="F2455" t="s">
        <v>42</v>
      </c>
      <c r="G2455" t="s">
        <v>32</v>
      </c>
      <c r="H2455" t="s">
        <v>33</v>
      </c>
      <c r="I2455" t="s">
        <v>59</v>
      </c>
      <c r="O2455" s="5"/>
      <c r="P2455" s="5"/>
    </row>
    <row r="2456" spans="1:29" x14ac:dyDescent="0.35">
      <c r="A2456" s="4">
        <v>42584</v>
      </c>
      <c r="B2456" t="s">
        <v>30</v>
      </c>
      <c r="C2456">
        <v>202</v>
      </c>
      <c r="D2456">
        <v>9</v>
      </c>
      <c r="E2456">
        <v>2</v>
      </c>
      <c r="F2456" t="s">
        <v>42</v>
      </c>
      <c r="G2456" t="s">
        <v>32</v>
      </c>
      <c r="H2456" t="s">
        <v>33</v>
      </c>
      <c r="I2456" t="s">
        <v>59</v>
      </c>
      <c r="O2456" s="5"/>
      <c r="P2456" s="5"/>
    </row>
    <row r="2457" spans="1:29" x14ac:dyDescent="0.35">
      <c r="A2457" s="4">
        <v>42584</v>
      </c>
      <c r="B2457" t="s">
        <v>30</v>
      </c>
      <c r="C2457">
        <v>304</v>
      </c>
      <c r="D2457">
        <v>8</v>
      </c>
      <c r="E2457">
        <v>1</v>
      </c>
      <c r="F2457" t="s">
        <v>42</v>
      </c>
      <c r="G2457" t="s">
        <v>32</v>
      </c>
      <c r="H2457" t="s">
        <v>33</v>
      </c>
      <c r="I2457" t="s">
        <v>59</v>
      </c>
      <c r="O2457" s="5"/>
      <c r="P2457" s="5"/>
    </row>
    <row r="2458" spans="1:29" x14ac:dyDescent="0.35">
      <c r="A2458" s="4">
        <v>42584</v>
      </c>
      <c r="B2458" t="s">
        <v>30</v>
      </c>
      <c r="C2458">
        <v>304</v>
      </c>
      <c r="D2458">
        <v>7</v>
      </c>
      <c r="E2458">
        <v>1</v>
      </c>
      <c r="F2458" t="s">
        <v>42</v>
      </c>
      <c r="G2458" t="s">
        <v>32</v>
      </c>
      <c r="H2458" t="s">
        <v>33</v>
      </c>
      <c r="I2458" t="s">
        <v>59</v>
      </c>
      <c r="O2458" s="5"/>
      <c r="P2458" s="5"/>
    </row>
    <row r="2459" spans="1:29" x14ac:dyDescent="0.35">
      <c r="A2459" s="4">
        <v>42584</v>
      </c>
      <c r="B2459" t="s">
        <v>30</v>
      </c>
      <c r="C2459">
        <v>304</v>
      </c>
      <c r="D2459">
        <v>6</v>
      </c>
      <c r="E2459">
        <v>1</v>
      </c>
      <c r="F2459" t="s">
        <v>42</v>
      </c>
      <c r="G2459" t="s">
        <v>32</v>
      </c>
      <c r="H2459" t="s">
        <v>33</v>
      </c>
      <c r="I2459" t="s">
        <v>59</v>
      </c>
      <c r="O2459" s="5"/>
      <c r="P2459" s="5"/>
    </row>
    <row r="2460" spans="1:29" x14ac:dyDescent="0.35">
      <c r="A2460" s="4">
        <v>42584</v>
      </c>
      <c r="B2460" t="s">
        <v>30</v>
      </c>
      <c r="C2460">
        <v>304</v>
      </c>
      <c r="D2460">
        <v>5</v>
      </c>
      <c r="E2460">
        <v>1</v>
      </c>
      <c r="F2460" t="s">
        <v>42</v>
      </c>
      <c r="G2460" t="s">
        <v>32</v>
      </c>
      <c r="H2460" t="s">
        <v>33</v>
      </c>
      <c r="I2460" t="s">
        <v>59</v>
      </c>
      <c r="O2460" s="5"/>
      <c r="P2460" s="5"/>
    </row>
    <row r="2461" spans="1:29" x14ac:dyDescent="0.35">
      <c r="A2461" s="4">
        <v>42584</v>
      </c>
      <c r="B2461" t="s">
        <v>30</v>
      </c>
      <c r="C2461">
        <v>304</v>
      </c>
      <c r="D2461">
        <v>4</v>
      </c>
      <c r="E2461">
        <v>1</v>
      </c>
      <c r="F2461" t="s">
        <v>42</v>
      </c>
      <c r="G2461" t="s">
        <v>32</v>
      </c>
      <c r="H2461" t="s">
        <v>33</v>
      </c>
      <c r="I2461" t="s">
        <v>59</v>
      </c>
      <c r="O2461" s="5"/>
      <c r="P2461" s="5"/>
    </row>
    <row r="2462" spans="1:29" x14ac:dyDescent="0.35">
      <c r="A2462" s="4">
        <v>42584</v>
      </c>
      <c r="B2462" t="s">
        <v>30</v>
      </c>
      <c r="C2462">
        <v>304</v>
      </c>
      <c r="D2462">
        <v>3</v>
      </c>
      <c r="E2462">
        <v>1</v>
      </c>
      <c r="F2462" t="s">
        <v>42</v>
      </c>
      <c r="G2462" t="s">
        <v>32</v>
      </c>
      <c r="H2462" t="s">
        <v>33</v>
      </c>
      <c r="I2462" t="s">
        <v>59</v>
      </c>
      <c r="O2462" s="5"/>
      <c r="P2462" s="5"/>
    </row>
    <row r="2463" spans="1:29" x14ac:dyDescent="0.35">
      <c r="A2463" s="4">
        <v>42584</v>
      </c>
      <c r="B2463" t="s">
        <v>30</v>
      </c>
      <c r="C2463">
        <v>304</v>
      </c>
      <c r="D2463">
        <v>1</v>
      </c>
      <c r="E2463">
        <v>1</v>
      </c>
      <c r="F2463" t="s">
        <v>42</v>
      </c>
      <c r="G2463" t="s">
        <v>32</v>
      </c>
      <c r="H2463" t="s">
        <v>33</v>
      </c>
      <c r="I2463" t="s">
        <v>59</v>
      </c>
      <c r="O2463" s="5"/>
      <c r="P2463" s="5"/>
    </row>
    <row r="2464" spans="1:29" x14ac:dyDescent="0.35">
      <c r="A2464" s="4">
        <v>42584</v>
      </c>
      <c r="B2464" t="s">
        <v>30</v>
      </c>
      <c r="C2464">
        <v>112</v>
      </c>
      <c r="D2464">
        <v>3</v>
      </c>
      <c r="E2464">
        <v>2</v>
      </c>
      <c r="F2464" t="s">
        <v>31</v>
      </c>
      <c r="G2464" t="s">
        <v>32</v>
      </c>
      <c r="H2464" t="s">
        <v>33</v>
      </c>
      <c r="I2464" t="s">
        <v>94</v>
      </c>
      <c r="J2464" t="s">
        <v>44</v>
      </c>
      <c r="K2464" t="s">
        <v>36</v>
      </c>
      <c r="L2464" t="s">
        <v>45</v>
      </c>
      <c r="M2464">
        <v>0</v>
      </c>
      <c r="N2464">
        <v>0</v>
      </c>
      <c r="O2464" s="5">
        <v>50817</v>
      </c>
      <c r="P2464" s="5"/>
      <c r="Q2464">
        <f>34.5-10</f>
        <v>24.5</v>
      </c>
      <c r="R2464" t="s">
        <v>145</v>
      </c>
      <c r="S2464" t="s">
        <v>102</v>
      </c>
      <c r="T2464">
        <v>29</v>
      </c>
      <c r="W2464">
        <v>13</v>
      </c>
      <c r="X2464">
        <v>26.7</v>
      </c>
      <c r="Z2464" t="s">
        <v>102</v>
      </c>
      <c r="AA2464" t="s">
        <v>201</v>
      </c>
      <c r="AB2464" t="s">
        <v>86</v>
      </c>
      <c r="AC2464" t="s">
        <v>41</v>
      </c>
    </row>
    <row r="2465" spans="1:30" x14ac:dyDescent="0.35">
      <c r="A2465" s="4">
        <v>42584</v>
      </c>
      <c r="B2465" t="s">
        <v>30</v>
      </c>
      <c r="C2465">
        <v>402</v>
      </c>
      <c r="D2465">
        <v>6</v>
      </c>
      <c r="E2465">
        <v>1</v>
      </c>
      <c r="F2465" t="s">
        <v>31</v>
      </c>
      <c r="G2465" t="s">
        <v>32</v>
      </c>
      <c r="H2465" t="s">
        <v>33</v>
      </c>
      <c r="I2465" t="s">
        <v>94</v>
      </c>
      <c r="J2465" t="s">
        <v>35</v>
      </c>
      <c r="K2465" t="s">
        <v>36</v>
      </c>
      <c r="M2465">
        <v>0</v>
      </c>
      <c r="N2465">
        <v>1</v>
      </c>
      <c r="O2465" s="5">
        <v>50827</v>
      </c>
      <c r="P2465" s="5"/>
      <c r="AD2465" t="s">
        <v>305</v>
      </c>
    </row>
    <row r="2466" spans="1:30" x14ac:dyDescent="0.35">
      <c r="A2466" s="4">
        <v>42584</v>
      </c>
      <c r="B2466" t="s">
        <v>30</v>
      </c>
      <c r="C2466">
        <v>112</v>
      </c>
      <c r="D2466">
        <v>10</v>
      </c>
      <c r="E2466">
        <v>1</v>
      </c>
      <c r="F2466" t="s">
        <v>31</v>
      </c>
      <c r="G2466" t="s">
        <v>32</v>
      </c>
      <c r="H2466" t="s">
        <v>33</v>
      </c>
      <c r="I2466" t="s">
        <v>94</v>
      </c>
      <c r="J2466" t="s">
        <v>35</v>
      </c>
      <c r="K2466" t="s">
        <v>36</v>
      </c>
      <c r="L2466" t="s">
        <v>37</v>
      </c>
      <c r="M2466">
        <v>0</v>
      </c>
      <c r="N2466">
        <v>1</v>
      </c>
      <c r="O2466" s="5">
        <v>50888</v>
      </c>
      <c r="P2466" s="5"/>
      <c r="Q2466">
        <f>31.5-10</f>
        <v>21.5</v>
      </c>
      <c r="R2466" t="s">
        <v>38</v>
      </c>
      <c r="T2466">
        <v>29</v>
      </c>
      <c r="W2466">
        <v>12.9</v>
      </c>
      <c r="X2466">
        <v>27.2</v>
      </c>
      <c r="Z2466" t="s">
        <v>102</v>
      </c>
      <c r="AA2466" t="s">
        <v>306</v>
      </c>
      <c r="AB2466" t="s">
        <v>86</v>
      </c>
      <c r="AC2466" t="s">
        <v>41</v>
      </c>
      <c r="AD2466" t="s">
        <v>307</v>
      </c>
    </row>
    <row r="2467" spans="1:30" x14ac:dyDescent="0.35">
      <c r="A2467" s="4">
        <v>42584</v>
      </c>
      <c r="B2467" t="s">
        <v>30</v>
      </c>
      <c r="C2467">
        <v>402</v>
      </c>
      <c r="D2467">
        <v>10</v>
      </c>
      <c r="E2467">
        <v>1</v>
      </c>
      <c r="F2467" t="s">
        <v>31</v>
      </c>
      <c r="G2467" t="s">
        <v>32</v>
      </c>
      <c r="H2467" t="s">
        <v>33</v>
      </c>
      <c r="I2467" t="s">
        <v>94</v>
      </c>
      <c r="J2467" t="s">
        <v>35</v>
      </c>
      <c r="K2467" t="s">
        <v>36</v>
      </c>
      <c r="L2467" t="s">
        <v>37</v>
      </c>
      <c r="M2467">
        <v>0</v>
      </c>
      <c r="N2467">
        <v>1</v>
      </c>
      <c r="O2467" s="5">
        <v>50898</v>
      </c>
      <c r="P2467" s="5"/>
      <c r="Q2467">
        <f>30-11</f>
        <v>19</v>
      </c>
      <c r="R2467" t="s">
        <v>38</v>
      </c>
      <c r="T2467">
        <v>28</v>
      </c>
      <c r="W2467">
        <v>13</v>
      </c>
      <c r="X2467">
        <v>26.7</v>
      </c>
      <c r="Z2467" t="s">
        <v>102</v>
      </c>
      <c r="AA2467" t="s">
        <v>201</v>
      </c>
      <c r="AB2467" t="s">
        <v>86</v>
      </c>
      <c r="AC2467" t="s">
        <v>41</v>
      </c>
      <c r="AD2467" t="s">
        <v>308</v>
      </c>
    </row>
    <row r="2468" spans="1:30" x14ac:dyDescent="0.35">
      <c r="A2468" s="4">
        <v>42584</v>
      </c>
      <c r="B2468" t="s">
        <v>30</v>
      </c>
      <c r="C2468">
        <v>201</v>
      </c>
      <c r="D2468">
        <v>9</v>
      </c>
      <c r="E2468">
        <v>1</v>
      </c>
      <c r="F2468" t="s">
        <v>42</v>
      </c>
      <c r="G2468" t="s">
        <v>32</v>
      </c>
      <c r="H2468" t="s">
        <v>33</v>
      </c>
      <c r="I2468" t="s">
        <v>94</v>
      </c>
      <c r="J2468" t="s">
        <v>35</v>
      </c>
      <c r="K2468" t="s">
        <v>36</v>
      </c>
      <c r="L2468" t="s">
        <v>37</v>
      </c>
      <c r="M2468">
        <v>0</v>
      </c>
      <c r="N2468">
        <v>1</v>
      </c>
      <c r="O2468" s="5">
        <v>50931</v>
      </c>
      <c r="P2468" s="5"/>
      <c r="Q2468">
        <f>48.5-22.5</f>
        <v>26</v>
      </c>
      <c r="R2468" t="s">
        <v>38</v>
      </c>
      <c r="T2468">
        <v>28.5</v>
      </c>
      <c r="W2468">
        <v>13</v>
      </c>
      <c r="X2468">
        <v>25.8</v>
      </c>
      <c r="Z2468" t="s">
        <v>102</v>
      </c>
      <c r="AA2468" t="s">
        <v>201</v>
      </c>
      <c r="AB2468" t="s">
        <v>47</v>
      </c>
      <c r="AC2468" t="s">
        <v>41</v>
      </c>
    </row>
    <row r="2469" spans="1:30" x14ac:dyDescent="0.35">
      <c r="A2469" s="4">
        <v>42584</v>
      </c>
      <c r="B2469" t="s">
        <v>30</v>
      </c>
      <c r="C2469">
        <v>202</v>
      </c>
      <c r="D2469">
        <v>5</v>
      </c>
      <c r="E2469">
        <v>1</v>
      </c>
      <c r="F2469" t="s">
        <v>42</v>
      </c>
      <c r="G2469" t="s">
        <v>32</v>
      </c>
      <c r="H2469" t="s">
        <v>33</v>
      </c>
      <c r="I2469" t="s">
        <v>94</v>
      </c>
      <c r="J2469" t="s">
        <v>35</v>
      </c>
      <c r="K2469" t="s">
        <v>113</v>
      </c>
      <c r="L2469" t="s">
        <v>37</v>
      </c>
      <c r="M2469">
        <v>1</v>
      </c>
      <c r="N2469">
        <v>0</v>
      </c>
      <c r="O2469" s="5">
        <v>50938</v>
      </c>
      <c r="P2469" s="5"/>
      <c r="Q2469">
        <f>28.5-12.5</f>
        <v>16</v>
      </c>
      <c r="R2469" t="s">
        <v>38</v>
      </c>
      <c r="T2469">
        <v>29</v>
      </c>
      <c r="W2469">
        <v>12.25</v>
      </c>
      <c r="X2469">
        <v>25</v>
      </c>
      <c r="Z2469" t="s">
        <v>102</v>
      </c>
      <c r="AA2469" t="s">
        <v>309</v>
      </c>
      <c r="AB2469" t="s">
        <v>47</v>
      </c>
      <c r="AC2469" t="s">
        <v>41</v>
      </c>
    </row>
    <row r="2470" spans="1:30" x14ac:dyDescent="0.35">
      <c r="A2470" s="4">
        <v>42584</v>
      </c>
      <c r="B2470" t="s">
        <v>30</v>
      </c>
      <c r="C2470">
        <v>304</v>
      </c>
      <c r="D2470">
        <v>10</v>
      </c>
      <c r="E2470">
        <v>1</v>
      </c>
      <c r="F2470" t="s">
        <v>42</v>
      </c>
      <c r="G2470" t="s">
        <v>32</v>
      </c>
      <c r="H2470" t="s">
        <v>33</v>
      </c>
      <c r="I2470" t="s">
        <v>94</v>
      </c>
      <c r="J2470" t="s">
        <v>35</v>
      </c>
      <c r="K2470" t="s">
        <v>36</v>
      </c>
      <c r="L2470" t="s">
        <v>45</v>
      </c>
      <c r="M2470">
        <v>0</v>
      </c>
      <c r="N2470">
        <v>1</v>
      </c>
      <c r="O2470" s="5">
        <v>50939</v>
      </c>
      <c r="P2470" s="5"/>
      <c r="Q2470">
        <f>34.5-13</f>
        <v>21.5</v>
      </c>
      <c r="R2470" t="s">
        <v>74</v>
      </c>
      <c r="S2470" t="s">
        <v>102</v>
      </c>
      <c r="T2470">
        <v>26</v>
      </c>
      <c r="W2470">
        <v>12.9</v>
      </c>
      <c r="X2470">
        <v>26</v>
      </c>
      <c r="Z2470" t="s">
        <v>39</v>
      </c>
      <c r="AB2470" t="s">
        <v>47</v>
      </c>
      <c r="AC2470" t="s">
        <v>41</v>
      </c>
    </row>
    <row r="2471" spans="1:30" x14ac:dyDescent="0.35">
      <c r="A2471" s="4">
        <v>42584</v>
      </c>
      <c r="B2471" t="s">
        <v>30</v>
      </c>
      <c r="C2471">
        <v>203</v>
      </c>
      <c r="D2471">
        <v>5</v>
      </c>
      <c r="E2471">
        <v>2</v>
      </c>
      <c r="F2471" t="s">
        <v>42</v>
      </c>
      <c r="G2471" t="s">
        <v>32</v>
      </c>
      <c r="H2471" t="s">
        <v>33</v>
      </c>
      <c r="I2471" t="s">
        <v>94</v>
      </c>
      <c r="J2471" t="s">
        <v>44</v>
      </c>
      <c r="K2471" t="s">
        <v>36</v>
      </c>
      <c r="L2471" t="s">
        <v>45</v>
      </c>
      <c r="M2471">
        <v>0</v>
      </c>
      <c r="N2471">
        <v>0</v>
      </c>
      <c r="O2471" s="5" t="s">
        <v>168</v>
      </c>
      <c r="P2471" s="5">
        <v>50838</v>
      </c>
      <c r="Q2471">
        <f>34-12.5</f>
        <v>21.5</v>
      </c>
      <c r="R2471" t="s">
        <v>74</v>
      </c>
      <c r="S2471" t="s">
        <v>102</v>
      </c>
      <c r="T2471">
        <v>28.5</v>
      </c>
      <c r="W2471">
        <v>12.5</v>
      </c>
      <c r="X2471">
        <v>26.3</v>
      </c>
      <c r="Z2471" t="s">
        <v>102</v>
      </c>
      <c r="AA2471" t="s">
        <v>310</v>
      </c>
      <c r="AB2471" t="s">
        <v>47</v>
      </c>
      <c r="AC2471" t="s">
        <v>41</v>
      </c>
    </row>
    <row r="2472" spans="1:30" x14ac:dyDescent="0.35">
      <c r="A2472" s="4">
        <v>42584</v>
      </c>
      <c r="B2472" t="s">
        <v>30</v>
      </c>
      <c r="C2472">
        <v>203</v>
      </c>
      <c r="D2472">
        <v>7</v>
      </c>
      <c r="E2472">
        <v>2</v>
      </c>
      <c r="F2472" t="s">
        <v>42</v>
      </c>
      <c r="G2472" t="s">
        <v>32</v>
      </c>
      <c r="H2472" t="s">
        <v>33</v>
      </c>
      <c r="I2472" t="s">
        <v>94</v>
      </c>
      <c r="J2472" t="s">
        <v>44</v>
      </c>
      <c r="K2472" t="s">
        <v>36</v>
      </c>
      <c r="L2472" t="s">
        <v>45</v>
      </c>
      <c r="M2472">
        <v>0</v>
      </c>
      <c r="N2472">
        <v>0</v>
      </c>
      <c r="O2472" s="5" t="s">
        <v>168</v>
      </c>
      <c r="P2472" s="5">
        <v>50656</v>
      </c>
      <c r="Q2472">
        <f>36.5-13.5</f>
        <v>23</v>
      </c>
      <c r="R2472" t="s">
        <v>46</v>
      </c>
      <c r="S2472" t="s">
        <v>39</v>
      </c>
      <c r="T2472">
        <v>28</v>
      </c>
      <c r="W2472">
        <v>13.2</v>
      </c>
      <c r="X2472">
        <v>26</v>
      </c>
      <c r="Z2472" t="s">
        <v>39</v>
      </c>
      <c r="AB2472" t="s">
        <v>47</v>
      </c>
      <c r="AC2472" t="s">
        <v>41</v>
      </c>
    </row>
    <row r="2473" spans="1:30" x14ac:dyDescent="0.35">
      <c r="A2473" s="4">
        <v>42585</v>
      </c>
      <c r="B2473" t="s">
        <v>30</v>
      </c>
      <c r="C2473">
        <v>403</v>
      </c>
      <c r="D2473">
        <v>4</v>
      </c>
      <c r="E2473">
        <v>1</v>
      </c>
      <c r="F2473" t="s">
        <v>42</v>
      </c>
      <c r="G2473" t="s">
        <v>32</v>
      </c>
      <c r="H2473" t="s">
        <v>33</v>
      </c>
      <c r="I2473" t="s">
        <v>43</v>
      </c>
      <c r="J2473" t="s">
        <v>35</v>
      </c>
      <c r="K2473" t="s">
        <v>88</v>
      </c>
      <c r="L2473" t="s">
        <v>45</v>
      </c>
      <c r="M2473">
        <v>0</v>
      </c>
      <c r="N2473">
        <v>1</v>
      </c>
      <c r="O2473" s="5" t="s">
        <v>311</v>
      </c>
      <c r="P2473" s="5" t="s">
        <v>312</v>
      </c>
      <c r="Q2473">
        <f>29.5-14</f>
        <v>15.5</v>
      </c>
      <c r="R2473" t="s">
        <v>46</v>
      </c>
      <c r="S2473" t="s">
        <v>39</v>
      </c>
      <c r="T2473">
        <v>16</v>
      </c>
      <c r="U2473">
        <v>75</v>
      </c>
      <c r="V2473">
        <v>16</v>
      </c>
      <c r="W2473">
        <v>13</v>
      </c>
      <c r="X2473">
        <v>26.85</v>
      </c>
      <c r="Z2473" t="s">
        <v>39</v>
      </c>
      <c r="AB2473" t="s">
        <v>47</v>
      </c>
      <c r="AC2473" t="s">
        <v>41</v>
      </c>
    </row>
    <row r="2474" spans="1:30" x14ac:dyDescent="0.35">
      <c r="A2474" s="4">
        <v>42585</v>
      </c>
      <c r="B2474" t="s">
        <v>30</v>
      </c>
      <c r="C2474">
        <v>202</v>
      </c>
      <c r="D2474">
        <v>7</v>
      </c>
      <c r="E2474">
        <v>1</v>
      </c>
      <c r="F2474" t="s">
        <v>42</v>
      </c>
      <c r="G2474" t="s">
        <v>32</v>
      </c>
      <c r="H2474" t="s">
        <v>33</v>
      </c>
      <c r="I2474" t="s">
        <v>43</v>
      </c>
      <c r="J2474" t="s">
        <v>35</v>
      </c>
      <c r="K2474" t="s">
        <v>88</v>
      </c>
      <c r="L2474" t="s">
        <v>37</v>
      </c>
      <c r="M2474">
        <v>0</v>
      </c>
      <c r="N2474">
        <v>1</v>
      </c>
      <c r="O2474" s="5" t="s">
        <v>313</v>
      </c>
      <c r="P2474" s="5" t="s">
        <v>314</v>
      </c>
      <c r="Q2474">
        <f>28-13</f>
        <v>15</v>
      </c>
      <c r="R2474" t="s">
        <v>64</v>
      </c>
      <c r="T2474">
        <v>18</v>
      </c>
      <c r="U2474">
        <v>85</v>
      </c>
      <c r="V2474">
        <v>18</v>
      </c>
      <c r="W2474">
        <v>12.7</v>
      </c>
      <c r="X2474">
        <v>26.8</v>
      </c>
      <c r="Z2474" t="s">
        <v>39</v>
      </c>
      <c r="AB2474" t="s">
        <v>47</v>
      </c>
      <c r="AC2474" t="s">
        <v>41</v>
      </c>
    </row>
    <row r="2475" spans="1:30" x14ac:dyDescent="0.35">
      <c r="A2475" s="4">
        <v>42585</v>
      </c>
      <c r="B2475" t="s">
        <v>30</v>
      </c>
      <c r="C2475">
        <v>304</v>
      </c>
      <c r="D2475">
        <v>2</v>
      </c>
      <c r="E2475">
        <v>2</v>
      </c>
      <c r="F2475" t="s">
        <v>315</v>
      </c>
      <c r="G2475" t="s">
        <v>32</v>
      </c>
      <c r="H2475" t="s">
        <v>33</v>
      </c>
      <c r="I2475" t="s">
        <v>43</v>
      </c>
      <c r="J2475" t="s">
        <v>35</v>
      </c>
      <c r="K2475" t="s">
        <v>113</v>
      </c>
      <c r="L2475" t="s">
        <v>37</v>
      </c>
      <c r="M2475">
        <v>0</v>
      </c>
      <c r="N2475">
        <v>1</v>
      </c>
      <c r="O2475" s="5" t="s">
        <v>316</v>
      </c>
      <c r="P2475" s="5" t="s">
        <v>317</v>
      </c>
      <c r="Q2475">
        <f>24-8.5</f>
        <v>15.5</v>
      </c>
      <c r="R2475" t="s">
        <v>64</v>
      </c>
      <c r="T2475">
        <v>20</v>
      </c>
      <c r="U2475">
        <v>91</v>
      </c>
      <c r="V2475">
        <v>15</v>
      </c>
      <c r="W2475">
        <v>12.9</v>
      </c>
      <c r="X2475">
        <v>26.8</v>
      </c>
      <c r="Z2475" t="s">
        <v>39</v>
      </c>
      <c r="AB2475" t="s">
        <v>60</v>
      </c>
      <c r="AC2475" t="s">
        <v>87</v>
      </c>
    </row>
    <row r="2476" spans="1:30" x14ac:dyDescent="0.35">
      <c r="A2476" s="4">
        <v>42585</v>
      </c>
      <c r="B2476" t="s">
        <v>30</v>
      </c>
      <c r="C2476">
        <v>304</v>
      </c>
      <c r="D2476">
        <v>3</v>
      </c>
      <c r="E2476">
        <v>2</v>
      </c>
      <c r="F2476" t="s">
        <v>315</v>
      </c>
      <c r="G2476" t="s">
        <v>32</v>
      </c>
      <c r="H2476" t="s">
        <v>33</v>
      </c>
      <c r="I2476" t="s">
        <v>43</v>
      </c>
      <c r="J2476" t="s">
        <v>35</v>
      </c>
      <c r="K2476" t="s">
        <v>113</v>
      </c>
      <c r="L2476" t="s">
        <v>45</v>
      </c>
      <c r="M2476">
        <v>0</v>
      </c>
      <c r="N2476">
        <v>1</v>
      </c>
      <c r="O2476" s="5" t="s">
        <v>318</v>
      </c>
      <c r="P2476" s="5" t="s">
        <v>319</v>
      </c>
      <c r="Q2476">
        <f>25.5-9</f>
        <v>16.5</v>
      </c>
      <c r="R2476" t="s">
        <v>46</v>
      </c>
      <c r="S2476" t="s">
        <v>39</v>
      </c>
      <c r="T2476">
        <v>19</v>
      </c>
      <c r="U2476">
        <v>80</v>
      </c>
      <c r="V2476">
        <v>17</v>
      </c>
      <c r="W2476">
        <v>12.9</v>
      </c>
      <c r="X2476">
        <v>25.7</v>
      </c>
      <c r="Z2476" t="s">
        <v>102</v>
      </c>
      <c r="AA2476" t="s">
        <v>201</v>
      </c>
      <c r="AB2476" t="s">
        <v>60</v>
      </c>
      <c r="AC2476" t="s">
        <v>87</v>
      </c>
      <c r="AD2476" t="s">
        <v>320</v>
      </c>
    </row>
    <row r="2477" spans="1:30" x14ac:dyDescent="0.35">
      <c r="A2477" s="4">
        <v>42585</v>
      </c>
      <c r="B2477" t="s">
        <v>30</v>
      </c>
      <c r="C2477">
        <v>304</v>
      </c>
      <c r="D2477">
        <v>9</v>
      </c>
      <c r="E2477">
        <v>1</v>
      </c>
      <c r="F2477" t="s">
        <v>315</v>
      </c>
      <c r="G2477" t="s">
        <v>32</v>
      </c>
      <c r="H2477" t="s">
        <v>33</v>
      </c>
      <c r="I2477" t="s">
        <v>43</v>
      </c>
      <c r="J2477" t="s">
        <v>35</v>
      </c>
      <c r="K2477" t="s">
        <v>88</v>
      </c>
      <c r="L2477" t="s">
        <v>45</v>
      </c>
      <c r="M2477">
        <v>0</v>
      </c>
      <c r="N2477">
        <v>1</v>
      </c>
      <c r="O2477" s="5" t="s">
        <v>321</v>
      </c>
      <c r="P2477" s="5" t="s">
        <v>322</v>
      </c>
      <c r="Q2477">
        <f>18-4.5</f>
        <v>13.5</v>
      </c>
      <c r="R2477" t="s">
        <v>46</v>
      </c>
      <c r="S2477" t="s">
        <v>39</v>
      </c>
      <c r="T2477">
        <v>19</v>
      </c>
      <c r="U2477">
        <v>79</v>
      </c>
      <c r="V2477">
        <v>15</v>
      </c>
      <c r="W2477">
        <v>12.7</v>
      </c>
      <c r="X2477">
        <v>26.8</v>
      </c>
      <c r="Z2477" t="s">
        <v>39</v>
      </c>
      <c r="AB2477" t="s">
        <v>60</v>
      </c>
      <c r="AC2477" t="s">
        <v>87</v>
      </c>
    </row>
    <row r="2478" spans="1:30" x14ac:dyDescent="0.35">
      <c r="A2478" s="4">
        <v>42585</v>
      </c>
      <c r="B2478" t="s">
        <v>30</v>
      </c>
      <c r="C2478">
        <v>112</v>
      </c>
      <c r="D2478">
        <v>6</v>
      </c>
      <c r="E2478">
        <v>2</v>
      </c>
      <c r="F2478" t="s">
        <v>315</v>
      </c>
      <c r="G2478" t="s">
        <v>32</v>
      </c>
      <c r="H2478" t="s">
        <v>33</v>
      </c>
      <c r="I2478" t="s">
        <v>43</v>
      </c>
      <c r="J2478" t="s">
        <v>35</v>
      </c>
      <c r="K2478" t="s">
        <v>88</v>
      </c>
      <c r="L2478" t="s">
        <v>37</v>
      </c>
      <c r="M2478">
        <v>0</v>
      </c>
      <c r="N2478">
        <v>1</v>
      </c>
      <c r="O2478" s="5" t="s">
        <v>323</v>
      </c>
      <c r="P2478" s="5" t="s">
        <v>324</v>
      </c>
      <c r="Q2478">
        <f>19-5</f>
        <v>14</v>
      </c>
      <c r="R2478" t="s">
        <v>64</v>
      </c>
      <c r="T2478">
        <v>18.5</v>
      </c>
      <c r="U2478">
        <v>84</v>
      </c>
      <c r="V2478">
        <v>15</v>
      </c>
      <c r="W2478">
        <v>12.8</v>
      </c>
      <c r="X2478">
        <v>26.8</v>
      </c>
      <c r="Z2478" t="s">
        <v>102</v>
      </c>
      <c r="AB2478" t="s">
        <v>60</v>
      </c>
      <c r="AC2478" t="s">
        <v>87</v>
      </c>
    </row>
    <row r="2479" spans="1:30" x14ac:dyDescent="0.35">
      <c r="A2479" s="4">
        <v>42585</v>
      </c>
      <c r="B2479" t="s">
        <v>30</v>
      </c>
      <c r="C2479">
        <v>112</v>
      </c>
      <c r="D2479">
        <v>3</v>
      </c>
      <c r="E2479">
        <v>2</v>
      </c>
      <c r="F2479" t="s">
        <v>315</v>
      </c>
      <c r="G2479" t="s">
        <v>32</v>
      </c>
      <c r="H2479" t="s">
        <v>33</v>
      </c>
      <c r="I2479" t="s">
        <v>43</v>
      </c>
      <c r="J2479" t="s">
        <v>35</v>
      </c>
      <c r="K2479" t="s">
        <v>113</v>
      </c>
      <c r="L2479" t="s">
        <v>45</v>
      </c>
      <c r="M2479">
        <v>0</v>
      </c>
      <c r="N2479">
        <v>1</v>
      </c>
      <c r="O2479" s="5" t="s">
        <v>325</v>
      </c>
      <c r="P2479" s="5" t="s">
        <v>326</v>
      </c>
      <c r="Q2479">
        <f>24.5-5</f>
        <v>19.5</v>
      </c>
      <c r="R2479" t="s">
        <v>149</v>
      </c>
      <c r="S2479" t="s">
        <v>102</v>
      </c>
      <c r="T2479">
        <v>20</v>
      </c>
      <c r="U2479">
        <v>88</v>
      </c>
      <c r="V2479">
        <v>14</v>
      </c>
      <c r="W2479">
        <v>12.9</v>
      </c>
      <c r="X2479">
        <v>27.2</v>
      </c>
      <c r="Z2479" t="s">
        <v>39</v>
      </c>
      <c r="AB2479" t="s">
        <v>60</v>
      </c>
      <c r="AC2479" t="s">
        <v>87</v>
      </c>
    </row>
    <row r="2480" spans="1:30" x14ac:dyDescent="0.35">
      <c r="A2480" s="4">
        <v>42585</v>
      </c>
      <c r="B2480" t="s">
        <v>30</v>
      </c>
      <c r="C2480">
        <v>201</v>
      </c>
      <c r="D2480">
        <v>1</v>
      </c>
      <c r="E2480">
        <v>2</v>
      </c>
      <c r="F2480" t="s">
        <v>42</v>
      </c>
      <c r="G2480" t="s">
        <v>32</v>
      </c>
      <c r="H2480" t="s">
        <v>33</v>
      </c>
      <c r="I2480" t="s">
        <v>43</v>
      </c>
      <c r="J2480" t="s">
        <v>44</v>
      </c>
      <c r="K2480" t="s">
        <v>36</v>
      </c>
      <c r="L2480" t="s">
        <v>37</v>
      </c>
      <c r="M2480">
        <v>0</v>
      </c>
      <c r="N2480">
        <v>0</v>
      </c>
      <c r="O2480" s="5">
        <v>50335</v>
      </c>
      <c r="P2480" s="5">
        <v>50334</v>
      </c>
      <c r="Q2480">
        <f>35-12.5</f>
        <v>22.5</v>
      </c>
      <c r="R2480" t="s">
        <v>38</v>
      </c>
      <c r="T2480">
        <v>20</v>
      </c>
      <c r="U2480">
        <v>84.5</v>
      </c>
      <c r="V2480">
        <v>14.5</v>
      </c>
      <c r="W2480">
        <v>13.1</v>
      </c>
      <c r="X2480">
        <v>27.4</v>
      </c>
      <c r="Z2480" t="s">
        <v>102</v>
      </c>
      <c r="AB2480" t="s">
        <v>47</v>
      </c>
      <c r="AC2480" t="s">
        <v>41</v>
      </c>
    </row>
    <row r="2481" spans="1:30" x14ac:dyDescent="0.35">
      <c r="A2481" s="4">
        <v>42585</v>
      </c>
      <c r="B2481" t="s">
        <v>30</v>
      </c>
      <c r="C2481">
        <v>201</v>
      </c>
      <c r="D2481">
        <v>8</v>
      </c>
      <c r="E2481">
        <v>2</v>
      </c>
      <c r="F2481" t="s">
        <v>42</v>
      </c>
      <c r="G2481" t="s">
        <v>32</v>
      </c>
      <c r="H2481" t="s">
        <v>33</v>
      </c>
      <c r="I2481" t="s">
        <v>43</v>
      </c>
      <c r="J2481" t="s">
        <v>44</v>
      </c>
      <c r="K2481" t="s">
        <v>36</v>
      </c>
      <c r="L2481" t="s">
        <v>45</v>
      </c>
      <c r="M2481">
        <v>0</v>
      </c>
      <c r="N2481">
        <v>0</v>
      </c>
      <c r="O2481" s="5">
        <v>50359</v>
      </c>
      <c r="P2481" s="5">
        <v>50358</v>
      </c>
      <c r="Q2481">
        <f>36-12</f>
        <v>24</v>
      </c>
      <c r="R2481" t="s">
        <v>77</v>
      </c>
      <c r="S2481" t="s">
        <v>39</v>
      </c>
      <c r="T2481">
        <v>17</v>
      </c>
      <c r="U2481">
        <v>91</v>
      </c>
      <c r="V2481">
        <v>19</v>
      </c>
      <c r="W2481">
        <v>13.6</v>
      </c>
      <c r="X2481">
        <v>28.8</v>
      </c>
      <c r="Z2481" t="s">
        <v>102</v>
      </c>
      <c r="AB2481" t="s">
        <v>47</v>
      </c>
      <c r="AC2481" t="s">
        <v>41</v>
      </c>
    </row>
    <row r="2482" spans="1:30" x14ac:dyDescent="0.35">
      <c r="A2482" s="4">
        <v>42585</v>
      </c>
      <c r="B2482" t="s">
        <v>30</v>
      </c>
      <c r="C2482">
        <v>203</v>
      </c>
      <c r="D2482">
        <v>5</v>
      </c>
      <c r="E2482">
        <v>2</v>
      </c>
      <c r="F2482" t="s">
        <v>42</v>
      </c>
      <c r="G2482" t="s">
        <v>32</v>
      </c>
      <c r="H2482" t="s">
        <v>33</v>
      </c>
      <c r="I2482" t="s">
        <v>43</v>
      </c>
      <c r="J2482" t="s">
        <v>44</v>
      </c>
      <c r="K2482" t="s">
        <v>36</v>
      </c>
      <c r="L2482" t="s">
        <v>37</v>
      </c>
      <c r="M2482">
        <v>0</v>
      </c>
      <c r="N2482">
        <v>0</v>
      </c>
      <c r="O2482" s="5">
        <v>50491</v>
      </c>
      <c r="P2482" s="5">
        <v>50357</v>
      </c>
      <c r="Q2482">
        <f>41-17</f>
        <v>24</v>
      </c>
      <c r="R2482" t="s">
        <v>38</v>
      </c>
      <c r="T2482">
        <v>20</v>
      </c>
      <c r="U2482">
        <v>96</v>
      </c>
      <c r="V2482">
        <v>18</v>
      </c>
      <c r="W2482">
        <v>13.7</v>
      </c>
      <c r="X2482">
        <v>27.3</v>
      </c>
      <c r="Z2482" t="s">
        <v>102</v>
      </c>
      <c r="AB2482" t="s">
        <v>47</v>
      </c>
      <c r="AC2482" t="s">
        <v>41</v>
      </c>
    </row>
    <row r="2483" spans="1:30" x14ac:dyDescent="0.35">
      <c r="A2483" s="4">
        <v>42585</v>
      </c>
      <c r="B2483" t="s">
        <v>30</v>
      </c>
      <c r="C2483">
        <v>112</v>
      </c>
      <c r="D2483">
        <v>7</v>
      </c>
      <c r="E2483">
        <v>2</v>
      </c>
      <c r="F2483" t="s">
        <v>315</v>
      </c>
      <c r="G2483" t="s">
        <v>32</v>
      </c>
      <c r="H2483" t="s">
        <v>33</v>
      </c>
      <c r="I2483" t="s">
        <v>43</v>
      </c>
      <c r="J2483" t="s">
        <v>44</v>
      </c>
      <c r="K2483" t="s">
        <v>36</v>
      </c>
      <c r="L2483" t="s">
        <v>37</v>
      </c>
      <c r="M2483">
        <v>0</v>
      </c>
      <c r="N2483">
        <v>0</v>
      </c>
      <c r="O2483" s="5">
        <v>50497</v>
      </c>
      <c r="P2483" s="5">
        <v>50496</v>
      </c>
      <c r="Q2483">
        <v>20</v>
      </c>
      <c r="R2483" t="s">
        <v>38</v>
      </c>
      <c r="T2483">
        <v>20</v>
      </c>
      <c r="U2483">
        <v>82</v>
      </c>
      <c r="V2483">
        <v>15</v>
      </c>
      <c r="W2483">
        <v>12.9</v>
      </c>
      <c r="Z2483" t="s">
        <v>39</v>
      </c>
      <c r="AB2483" t="s">
        <v>60</v>
      </c>
      <c r="AC2483" t="s">
        <v>87</v>
      </c>
      <c r="AD2483" t="s">
        <v>327</v>
      </c>
    </row>
    <row r="2484" spans="1:30" x14ac:dyDescent="0.35">
      <c r="A2484" s="4">
        <v>42585</v>
      </c>
      <c r="B2484" t="s">
        <v>30</v>
      </c>
      <c r="C2484">
        <v>113</v>
      </c>
      <c r="D2484">
        <v>10</v>
      </c>
      <c r="E2484">
        <v>2</v>
      </c>
      <c r="F2484" t="s">
        <v>315</v>
      </c>
      <c r="G2484" t="s">
        <v>32</v>
      </c>
      <c r="H2484" t="s">
        <v>33</v>
      </c>
      <c r="I2484" t="s">
        <v>43</v>
      </c>
      <c r="J2484" t="s">
        <v>44</v>
      </c>
      <c r="K2484" t="s">
        <v>36</v>
      </c>
      <c r="L2484" t="s">
        <v>45</v>
      </c>
      <c r="M2484">
        <v>0</v>
      </c>
      <c r="N2484">
        <v>0</v>
      </c>
      <c r="O2484" s="5">
        <v>50520</v>
      </c>
      <c r="P2484" s="5">
        <v>50519</v>
      </c>
      <c r="Q2484">
        <f>27-8</f>
        <v>19</v>
      </c>
      <c r="R2484" t="s">
        <v>149</v>
      </c>
      <c r="S2484" t="s">
        <v>102</v>
      </c>
      <c r="T2484">
        <v>19</v>
      </c>
      <c r="U2484">
        <v>87</v>
      </c>
      <c r="V2484">
        <v>15</v>
      </c>
      <c r="W2484">
        <v>12.8</v>
      </c>
      <c r="X2484">
        <v>27.6</v>
      </c>
      <c r="Z2484" t="s">
        <v>39</v>
      </c>
      <c r="AB2484" t="s">
        <v>60</v>
      </c>
      <c r="AC2484" t="s">
        <v>87</v>
      </c>
    </row>
    <row r="2485" spans="1:30" x14ac:dyDescent="0.35">
      <c r="A2485" s="4">
        <v>42585</v>
      </c>
      <c r="B2485" t="s">
        <v>30</v>
      </c>
      <c r="C2485">
        <v>112</v>
      </c>
      <c r="D2485">
        <v>5</v>
      </c>
      <c r="E2485">
        <v>1</v>
      </c>
      <c r="F2485" t="s">
        <v>315</v>
      </c>
      <c r="G2485" t="s">
        <v>32</v>
      </c>
      <c r="H2485" t="s">
        <v>33</v>
      </c>
      <c r="I2485" t="s">
        <v>43</v>
      </c>
      <c r="J2485" t="s">
        <v>44</v>
      </c>
      <c r="K2485" t="s">
        <v>36</v>
      </c>
      <c r="L2485" t="s">
        <v>37</v>
      </c>
      <c r="M2485">
        <v>0</v>
      </c>
      <c r="N2485">
        <v>0</v>
      </c>
      <c r="O2485" s="5">
        <v>50574</v>
      </c>
      <c r="P2485" s="5">
        <v>50573</v>
      </c>
      <c r="Q2485">
        <f>21-4</f>
        <v>17</v>
      </c>
      <c r="R2485" t="s">
        <v>64</v>
      </c>
      <c r="T2485">
        <v>19</v>
      </c>
      <c r="U2485">
        <v>96</v>
      </c>
      <c r="V2485">
        <v>14</v>
      </c>
      <c r="W2485">
        <v>13</v>
      </c>
      <c r="X2485">
        <v>27.3</v>
      </c>
      <c r="Z2485" t="s">
        <v>102</v>
      </c>
      <c r="AA2485" t="s">
        <v>201</v>
      </c>
      <c r="AB2485" t="s">
        <v>60</v>
      </c>
      <c r="AC2485" t="s">
        <v>87</v>
      </c>
    </row>
    <row r="2486" spans="1:30" x14ac:dyDescent="0.35">
      <c r="A2486" s="4">
        <v>42585</v>
      </c>
      <c r="B2486" t="s">
        <v>30</v>
      </c>
      <c r="C2486">
        <v>112</v>
      </c>
      <c r="D2486">
        <v>10</v>
      </c>
      <c r="E2486">
        <v>1</v>
      </c>
      <c r="F2486" t="s">
        <v>315</v>
      </c>
      <c r="G2486" t="s">
        <v>32</v>
      </c>
      <c r="H2486" t="s">
        <v>33</v>
      </c>
      <c r="I2486" t="s">
        <v>43</v>
      </c>
      <c r="J2486" t="s">
        <v>44</v>
      </c>
      <c r="K2486" t="s">
        <v>36</v>
      </c>
      <c r="L2486" t="s">
        <v>37</v>
      </c>
      <c r="M2486">
        <v>0</v>
      </c>
      <c r="N2486">
        <v>0</v>
      </c>
      <c r="O2486" s="5">
        <v>50595</v>
      </c>
      <c r="P2486" s="5">
        <v>50594</v>
      </c>
      <c r="Q2486">
        <f>23.5-4</f>
        <v>19.5</v>
      </c>
      <c r="R2486" t="s">
        <v>38</v>
      </c>
      <c r="T2486">
        <v>19</v>
      </c>
      <c r="U2486">
        <v>88</v>
      </c>
      <c r="V2486">
        <v>15</v>
      </c>
      <c r="W2486">
        <v>12.7</v>
      </c>
      <c r="X2486">
        <v>26.6</v>
      </c>
      <c r="Z2486" t="s">
        <v>102</v>
      </c>
      <c r="AA2486" t="s">
        <v>201</v>
      </c>
      <c r="AB2486" t="s">
        <v>60</v>
      </c>
      <c r="AC2486" t="s">
        <v>87</v>
      </c>
    </row>
    <row r="2487" spans="1:30" x14ac:dyDescent="0.35">
      <c r="A2487" s="4">
        <v>42585</v>
      </c>
      <c r="B2487" t="s">
        <v>30</v>
      </c>
      <c r="C2487">
        <v>203</v>
      </c>
      <c r="D2487">
        <v>9</v>
      </c>
      <c r="E2487">
        <v>2</v>
      </c>
      <c r="F2487" t="s">
        <v>42</v>
      </c>
      <c r="G2487" t="s">
        <v>32</v>
      </c>
      <c r="H2487" t="s">
        <v>33</v>
      </c>
      <c r="I2487" t="s">
        <v>43</v>
      </c>
      <c r="J2487" t="s">
        <v>44</v>
      </c>
      <c r="K2487" t="s">
        <v>113</v>
      </c>
      <c r="L2487" t="s">
        <v>45</v>
      </c>
      <c r="M2487">
        <v>0</v>
      </c>
      <c r="N2487">
        <v>0</v>
      </c>
      <c r="O2487" s="5" t="s">
        <v>328</v>
      </c>
      <c r="P2487" s="5" t="s">
        <v>329</v>
      </c>
      <c r="Q2487">
        <f>35-13.5</f>
        <v>21.5</v>
      </c>
      <c r="R2487" t="s">
        <v>330</v>
      </c>
      <c r="S2487" t="s">
        <v>102</v>
      </c>
      <c r="T2487">
        <v>18.5</v>
      </c>
      <c r="U2487">
        <v>80</v>
      </c>
      <c r="Z2487" t="s">
        <v>102</v>
      </c>
      <c r="AB2487" t="s">
        <v>47</v>
      </c>
      <c r="AC2487" t="s">
        <v>41</v>
      </c>
    </row>
    <row r="2488" spans="1:30" x14ac:dyDescent="0.35">
      <c r="A2488" s="4">
        <v>42585</v>
      </c>
      <c r="B2488" t="s">
        <v>30</v>
      </c>
      <c r="C2488">
        <v>203</v>
      </c>
      <c r="D2488">
        <v>8</v>
      </c>
      <c r="E2488">
        <v>1</v>
      </c>
      <c r="F2488" t="s">
        <v>42</v>
      </c>
      <c r="G2488" t="s">
        <v>32</v>
      </c>
      <c r="H2488" t="s">
        <v>33</v>
      </c>
      <c r="I2488" t="s">
        <v>43</v>
      </c>
      <c r="J2488" t="s">
        <v>44</v>
      </c>
      <c r="K2488" t="s">
        <v>113</v>
      </c>
      <c r="L2488" t="s">
        <v>37</v>
      </c>
      <c r="M2488">
        <v>0</v>
      </c>
      <c r="N2488">
        <v>0</v>
      </c>
      <c r="O2488" s="5">
        <v>50665</v>
      </c>
      <c r="P2488" s="5">
        <v>50664</v>
      </c>
      <c r="Q2488">
        <f>29.5-13</f>
        <v>16.5</v>
      </c>
      <c r="R2488" t="s">
        <v>64</v>
      </c>
      <c r="T2488">
        <v>18</v>
      </c>
      <c r="U2488">
        <v>95</v>
      </c>
      <c r="V2488">
        <v>17</v>
      </c>
      <c r="W2488">
        <v>13</v>
      </c>
      <c r="X2488">
        <v>27.3</v>
      </c>
      <c r="Z2488" t="s">
        <v>39</v>
      </c>
      <c r="AB2488" t="s">
        <v>47</v>
      </c>
      <c r="AC2488" t="s">
        <v>41</v>
      </c>
    </row>
    <row r="2489" spans="1:30" x14ac:dyDescent="0.35">
      <c r="A2489" s="4">
        <v>42585</v>
      </c>
      <c r="B2489" t="s">
        <v>30</v>
      </c>
      <c r="C2489">
        <v>112</v>
      </c>
      <c r="D2489">
        <v>2</v>
      </c>
      <c r="E2489">
        <v>1</v>
      </c>
      <c r="F2489" t="s">
        <v>315</v>
      </c>
      <c r="G2489" t="s">
        <v>32</v>
      </c>
      <c r="H2489" t="s">
        <v>33</v>
      </c>
      <c r="I2489" t="s">
        <v>43</v>
      </c>
      <c r="J2489" t="s">
        <v>44</v>
      </c>
      <c r="K2489" t="s">
        <v>113</v>
      </c>
      <c r="L2489" t="s">
        <v>45</v>
      </c>
      <c r="M2489">
        <v>0</v>
      </c>
      <c r="N2489">
        <v>0</v>
      </c>
      <c r="O2489" s="5">
        <v>50709</v>
      </c>
      <c r="P2489" s="5">
        <v>50708</v>
      </c>
      <c r="Q2489">
        <f>22-5.5</f>
        <v>16.5</v>
      </c>
      <c r="R2489" t="s">
        <v>161</v>
      </c>
      <c r="S2489" t="s">
        <v>102</v>
      </c>
      <c r="T2489">
        <v>19</v>
      </c>
      <c r="U2489">
        <v>87</v>
      </c>
      <c r="V2489">
        <v>16</v>
      </c>
      <c r="W2489">
        <v>12.8</v>
      </c>
      <c r="X2489">
        <v>27.8</v>
      </c>
      <c r="Z2489" t="s">
        <v>39</v>
      </c>
      <c r="AB2489" t="s">
        <v>60</v>
      </c>
      <c r="AC2489" t="s">
        <v>87</v>
      </c>
    </row>
    <row r="2490" spans="1:30" x14ac:dyDescent="0.35">
      <c r="A2490" s="4">
        <v>42585</v>
      </c>
      <c r="B2490" t="s">
        <v>30</v>
      </c>
      <c r="C2490">
        <v>202</v>
      </c>
      <c r="D2490">
        <v>2</v>
      </c>
      <c r="E2490">
        <v>2</v>
      </c>
      <c r="F2490" t="s">
        <v>42</v>
      </c>
      <c r="G2490" t="s">
        <v>32</v>
      </c>
      <c r="H2490" t="s">
        <v>33</v>
      </c>
      <c r="I2490" t="s">
        <v>43</v>
      </c>
      <c r="J2490" t="s">
        <v>44</v>
      </c>
      <c r="K2490" t="s">
        <v>113</v>
      </c>
      <c r="L2490" t="s">
        <v>45</v>
      </c>
      <c r="M2490">
        <v>0</v>
      </c>
      <c r="N2490">
        <v>0</v>
      </c>
      <c r="O2490" s="5">
        <v>50778</v>
      </c>
      <c r="P2490" s="5">
        <v>50777</v>
      </c>
      <c r="Q2490">
        <f>31.5-16.5</f>
        <v>15</v>
      </c>
      <c r="R2490" t="s">
        <v>46</v>
      </c>
      <c r="S2490" t="s">
        <v>39</v>
      </c>
      <c r="T2490">
        <v>18</v>
      </c>
      <c r="V2490">
        <v>16</v>
      </c>
      <c r="W2490">
        <v>12.1</v>
      </c>
      <c r="X2490">
        <v>25.2</v>
      </c>
      <c r="Z2490" t="s">
        <v>102</v>
      </c>
      <c r="AB2490" t="s">
        <v>47</v>
      </c>
      <c r="AC2490" t="s">
        <v>41</v>
      </c>
    </row>
    <row r="2491" spans="1:30" x14ac:dyDescent="0.35">
      <c r="A2491" s="4">
        <v>42585</v>
      </c>
      <c r="B2491" t="s">
        <v>30</v>
      </c>
      <c r="C2491">
        <v>201</v>
      </c>
      <c r="D2491">
        <v>1</v>
      </c>
      <c r="E2491">
        <v>1</v>
      </c>
      <c r="F2491" t="s">
        <v>42</v>
      </c>
      <c r="G2491" t="s">
        <v>32</v>
      </c>
      <c r="H2491" t="s">
        <v>33</v>
      </c>
      <c r="I2491" t="s">
        <v>43</v>
      </c>
      <c r="J2491" t="s">
        <v>44</v>
      </c>
      <c r="K2491" t="s">
        <v>113</v>
      </c>
      <c r="L2491" t="s">
        <v>45</v>
      </c>
      <c r="M2491">
        <v>0</v>
      </c>
      <c r="N2491">
        <v>0</v>
      </c>
      <c r="O2491" s="5">
        <v>50780</v>
      </c>
      <c r="P2491" s="5">
        <v>50779</v>
      </c>
      <c r="Q2491">
        <f>33-13</f>
        <v>20</v>
      </c>
      <c r="R2491" t="s">
        <v>46</v>
      </c>
      <c r="S2491" t="s">
        <v>39</v>
      </c>
      <c r="T2491">
        <v>17</v>
      </c>
      <c r="U2491">
        <v>81</v>
      </c>
      <c r="V2491">
        <v>18</v>
      </c>
      <c r="W2491">
        <v>13.1</v>
      </c>
      <c r="X2491">
        <v>27.1</v>
      </c>
      <c r="Z2491" t="s">
        <v>102</v>
      </c>
      <c r="AB2491" t="s">
        <v>47</v>
      </c>
      <c r="AC2491" t="s">
        <v>41</v>
      </c>
    </row>
    <row r="2492" spans="1:30" x14ac:dyDescent="0.35">
      <c r="A2492" s="4">
        <v>42585</v>
      </c>
      <c r="B2492" t="s">
        <v>30</v>
      </c>
      <c r="C2492">
        <v>202</v>
      </c>
      <c r="D2492">
        <v>6</v>
      </c>
      <c r="E2492">
        <v>1</v>
      </c>
      <c r="F2492" t="s">
        <v>42</v>
      </c>
      <c r="G2492" t="s">
        <v>32</v>
      </c>
      <c r="H2492" t="s">
        <v>33</v>
      </c>
      <c r="I2492" t="s">
        <v>43</v>
      </c>
      <c r="J2492" t="s">
        <v>44</v>
      </c>
      <c r="K2492" t="s">
        <v>113</v>
      </c>
      <c r="L2492" t="s">
        <v>250</v>
      </c>
      <c r="M2492">
        <v>0</v>
      </c>
      <c r="N2492">
        <v>0</v>
      </c>
      <c r="O2492" s="5">
        <v>50786</v>
      </c>
      <c r="P2492" s="5">
        <v>50785</v>
      </c>
      <c r="Q2492">
        <f>29-14.5</f>
        <v>14.5</v>
      </c>
      <c r="R2492" t="s">
        <v>46</v>
      </c>
      <c r="S2492" t="s">
        <v>39</v>
      </c>
      <c r="T2492">
        <v>18</v>
      </c>
      <c r="V2492">
        <v>16.5</v>
      </c>
      <c r="W2492">
        <v>12.5</v>
      </c>
      <c r="X2492">
        <v>25.5</v>
      </c>
      <c r="Z2492" t="s">
        <v>102</v>
      </c>
      <c r="AB2492" t="s">
        <v>47</v>
      </c>
      <c r="AC2492" t="s">
        <v>41</v>
      </c>
    </row>
    <row r="2493" spans="1:30" x14ac:dyDescent="0.35">
      <c r="A2493" s="4">
        <v>42585</v>
      </c>
      <c r="B2493" t="s">
        <v>30</v>
      </c>
      <c r="C2493">
        <v>113</v>
      </c>
      <c r="D2493">
        <v>4</v>
      </c>
      <c r="E2493">
        <v>2</v>
      </c>
      <c r="F2493" t="s">
        <v>315</v>
      </c>
      <c r="G2493" t="s">
        <v>32</v>
      </c>
      <c r="H2493" t="s">
        <v>33</v>
      </c>
      <c r="I2493" t="s">
        <v>43</v>
      </c>
      <c r="J2493" t="s">
        <v>44</v>
      </c>
      <c r="K2493" t="s">
        <v>113</v>
      </c>
      <c r="L2493" t="s">
        <v>37</v>
      </c>
      <c r="M2493">
        <v>0</v>
      </c>
      <c r="N2493">
        <v>0</v>
      </c>
      <c r="O2493" s="5">
        <v>50825</v>
      </c>
      <c r="P2493" s="5">
        <v>50824</v>
      </c>
      <c r="Q2493">
        <f>23.5-7.5</f>
        <v>16</v>
      </c>
      <c r="R2493" t="s">
        <v>38</v>
      </c>
      <c r="T2493">
        <v>20.5</v>
      </c>
      <c r="U2493">
        <v>80</v>
      </c>
      <c r="V2493">
        <v>16</v>
      </c>
      <c r="W2493">
        <v>12.9</v>
      </c>
      <c r="X2493">
        <v>26.6</v>
      </c>
      <c r="Z2493" t="s">
        <v>102</v>
      </c>
      <c r="AA2493" t="s">
        <v>201</v>
      </c>
      <c r="AB2493" t="s">
        <v>60</v>
      </c>
      <c r="AC2493" t="s">
        <v>87</v>
      </c>
    </row>
    <row r="2494" spans="1:30" x14ac:dyDescent="0.35">
      <c r="A2494" s="4">
        <v>42585</v>
      </c>
      <c r="B2494" t="s">
        <v>30</v>
      </c>
      <c r="C2494">
        <v>403</v>
      </c>
      <c r="D2494">
        <v>1</v>
      </c>
      <c r="E2494">
        <v>2</v>
      </c>
      <c r="F2494" t="s">
        <v>42</v>
      </c>
      <c r="G2494" t="s">
        <v>32</v>
      </c>
      <c r="H2494" t="s">
        <v>33</v>
      </c>
      <c r="I2494" t="s">
        <v>43</v>
      </c>
      <c r="J2494" t="s">
        <v>44</v>
      </c>
      <c r="K2494" t="s">
        <v>113</v>
      </c>
      <c r="L2494" t="s">
        <v>37</v>
      </c>
      <c r="M2494">
        <v>0</v>
      </c>
      <c r="N2494">
        <v>0</v>
      </c>
      <c r="O2494" s="5">
        <v>50829</v>
      </c>
      <c r="P2494" s="5">
        <v>50828</v>
      </c>
      <c r="Q2494">
        <f>36-18</f>
        <v>18</v>
      </c>
      <c r="R2494" t="s">
        <v>64</v>
      </c>
      <c r="T2494">
        <v>20.5</v>
      </c>
      <c r="U2494">
        <v>87</v>
      </c>
      <c r="V2494">
        <v>18.5</v>
      </c>
      <c r="W2494">
        <v>13.1</v>
      </c>
      <c r="X2494">
        <v>27.3</v>
      </c>
      <c r="Z2494" t="s">
        <v>102</v>
      </c>
      <c r="AB2494" t="s">
        <v>47</v>
      </c>
      <c r="AC2494" t="s">
        <v>41</v>
      </c>
    </row>
    <row r="2495" spans="1:30" x14ac:dyDescent="0.35">
      <c r="A2495" s="4">
        <v>42585</v>
      </c>
      <c r="B2495" t="s">
        <v>30</v>
      </c>
      <c r="C2495">
        <v>202</v>
      </c>
      <c r="D2495">
        <v>4</v>
      </c>
      <c r="E2495">
        <v>1</v>
      </c>
      <c r="F2495" t="s">
        <v>42</v>
      </c>
      <c r="G2495" t="s">
        <v>32</v>
      </c>
      <c r="H2495" t="s">
        <v>33</v>
      </c>
      <c r="I2495" t="s">
        <v>43</v>
      </c>
      <c r="J2495" t="s">
        <v>48</v>
      </c>
      <c r="K2495" t="s">
        <v>113</v>
      </c>
      <c r="L2495" t="s">
        <v>37</v>
      </c>
      <c r="M2495">
        <v>0</v>
      </c>
      <c r="N2495">
        <v>0</v>
      </c>
      <c r="O2495" s="5">
        <v>50833</v>
      </c>
      <c r="P2495" s="5">
        <v>50945</v>
      </c>
      <c r="Q2495">
        <f>30-14.5</f>
        <v>15.5</v>
      </c>
      <c r="R2495" t="s">
        <v>64</v>
      </c>
      <c r="T2495">
        <v>19</v>
      </c>
      <c r="U2495">
        <v>95</v>
      </c>
      <c r="V2495">
        <v>18.5</v>
      </c>
      <c r="W2495">
        <v>13</v>
      </c>
      <c r="X2495">
        <v>24.9</v>
      </c>
      <c r="Z2495" t="s">
        <v>102</v>
      </c>
      <c r="AB2495" t="s">
        <v>47</v>
      </c>
      <c r="AC2495" t="s">
        <v>41</v>
      </c>
    </row>
    <row r="2496" spans="1:30" x14ac:dyDescent="0.35">
      <c r="A2496" s="4">
        <v>42585</v>
      </c>
      <c r="B2496" t="s">
        <v>30</v>
      </c>
      <c r="C2496">
        <v>203</v>
      </c>
      <c r="D2496">
        <v>10</v>
      </c>
      <c r="E2496">
        <v>2</v>
      </c>
      <c r="F2496" t="s">
        <v>42</v>
      </c>
      <c r="G2496" t="s">
        <v>32</v>
      </c>
      <c r="H2496" t="s">
        <v>33</v>
      </c>
      <c r="I2496" t="s">
        <v>43</v>
      </c>
      <c r="J2496" t="s">
        <v>44</v>
      </c>
      <c r="K2496" t="s">
        <v>113</v>
      </c>
      <c r="L2496" t="s">
        <v>45</v>
      </c>
      <c r="M2496">
        <v>0</v>
      </c>
      <c r="N2496">
        <v>0</v>
      </c>
      <c r="O2496" s="5">
        <v>50836</v>
      </c>
      <c r="P2496" s="5">
        <v>50935</v>
      </c>
      <c r="Q2496">
        <f>28-13</f>
        <v>15</v>
      </c>
      <c r="R2496" t="s">
        <v>46</v>
      </c>
      <c r="S2496" t="s">
        <v>39</v>
      </c>
      <c r="T2496">
        <v>19</v>
      </c>
      <c r="U2496">
        <v>88</v>
      </c>
      <c r="V2496">
        <v>16</v>
      </c>
      <c r="W2496">
        <v>13.2</v>
      </c>
      <c r="X2496">
        <v>26.5</v>
      </c>
      <c r="Z2496" t="s">
        <v>39</v>
      </c>
      <c r="AB2496" t="s">
        <v>47</v>
      </c>
      <c r="AC2496" t="s">
        <v>41</v>
      </c>
    </row>
    <row r="2497" spans="1:30" x14ac:dyDescent="0.35">
      <c r="A2497" s="4">
        <v>42585</v>
      </c>
      <c r="B2497" t="s">
        <v>30</v>
      </c>
      <c r="C2497">
        <v>203</v>
      </c>
      <c r="D2497">
        <v>4</v>
      </c>
      <c r="E2497">
        <v>1</v>
      </c>
      <c r="F2497" t="s">
        <v>42</v>
      </c>
      <c r="G2497" t="s">
        <v>32</v>
      </c>
      <c r="H2497" t="s">
        <v>33</v>
      </c>
      <c r="I2497" t="s">
        <v>43</v>
      </c>
      <c r="J2497" t="s">
        <v>44</v>
      </c>
      <c r="K2497" t="s">
        <v>113</v>
      </c>
      <c r="L2497" t="s">
        <v>37</v>
      </c>
      <c r="M2497">
        <v>0</v>
      </c>
      <c r="N2497">
        <v>0</v>
      </c>
      <c r="O2497" s="5">
        <v>50840</v>
      </c>
      <c r="P2497" s="5">
        <v>50933</v>
      </c>
      <c r="Q2497">
        <f>33.5-14</f>
        <v>19.5</v>
      </c>
      <c r="R2497" t="s">
        <v>38</v>
      </c>
      <c r="T2497">
        <v>19</v>
      </c>
      <c r="U2497">
        <v>85</v>
      </c>
      <c r="V2497">
        <v>16</v>
      </c>
      <c r="W2497">
        <v>13.4</v>
      </c>
      <c r="X2497">
        <v>27</v>
      </c>
      <c r="Z2497" t="s">
        <v>39</v>
      </c>
      <c r="AB2497" t="s">
        <v>47</v>
      </c>
      <c r="AC2497" t="s">
        <v>41</v>
      </c>
    </row>
    <row r="2498" spans="1:30" x14ac:dyDescent="0.35">
      <c r="A2498" s="4">
        <v>42585</v>
      </c>
      <c r="B2498" t="s">
        <v>30</v>
      </c>
      <c r="C2498">
        <v>203</v>
      </c>
      <c r="D2498">
        <v>3</v>
      </c>
      <c r="E2498">
        <v>1</v>
      </c>
      <c r="F2498" t="s">
        <v>42</v>
      </c>
      <c r="G2498" t="s">
        <v>32</v>
      </c>
      <c r="H2498" t="s">
        <v>33</v>
      </c>
      <c r="I2498" t="s">
        <v>43</v>
      </c>
      <c r="J2498" t="s">
        <v>44</v>
      </c>
      <c r="K2498" t="s">
        <v>113</v>
      </c>
      <c r="L2498" t="s">
        <v>45</v>
      </c>
      <c r="M2498">
        <v>0</v>
      </c>
      <c r="N2498">
        <v>0</v>
      </c>
      <c r="O2498" s="5">
        <v>50841</v>
      </c>
      <c r="P2498" s="5">
        <v>50950</v>
      </c>
      <c r="Q2498">
        <f>30.5-15</f>
        <v>15.5</v>
      </c>
      <c r="R2498" t="s">
        <v>46</v>
      </c>
      <c r="S2498" t="s">
        <v>39</v>
      </c>
      <c r="T2498">
        <v>18</v>
      </c>
      <c r="U2498">
        <v>91</v>
      </c>
      <c r="V2498">
        <v>17</v>
      </c>
      <c r="W2498">
        <v>13.1</v>
      </c>
      <c r="X2498">
        <v>26.4</v>
      </c>
      <c r="Z2498" t="s">
        <v>102</v>
      </c>
      <c r="AB2498" t="s">
        <v>47</v>
      </c>
      <c r="AC2498" t="s">
        <v>41</v>
      </c>
    </row>
    <row r="2499" spans="1:30" x14ac:dyDescent="0.35">
      <c r="A2499" s="4">
        <v>42585</v>
      </c>
      <c r="B2499" t="s">
        <v>30</v>
      </c>
      <c r="C2499">
        <v>203</v>
      </c>
      <c r="D2499">
        <v>2</v>
      </c>
      <c r="E2499">
        <v>1</v>
      </c>
      <c r="F2499" t="s">
        <v>42</v>
      </c>
      <c r="G2499" t="s">
        <v>32</v>
      </c>
      <c r="H2499" t="s">
        <v>33</v>
      </c>
      <c r="I2499" t="s">
        <v>43</v>
      </c>
      <c r="J2499" t="s">
        <v>44</v>
      </c>
      <c r="K2499" t="s">
        <v>88</v>
      </c>
      <c r="L2499" t="s">
        <v>45</v>
      </c>
      <c r="M2499">
        <v>0</v>
      </c>
      <c r="N2499">
        <v>0</v>
      </c>
      <c r="O2499" s="5">
        <v>50842</v>
      </c>
      <c r="P2499" s="5">
        <v>50932</v>
      </c>
      <c r="Q2499">
        <f>30-13.5</f>
        <v>16.5</v>
      </c>
      <c r="R2499" t="s">
        <v>46</v>
      </c>
      <c r="S2499" t="s">
        <v>39</v>
      </c>
      <c r="T2499">
        <v>17</v>
      </c>
      <c r="U2499">
        <v>86</v>
      </c>
      <c r="V2499">
        <v>17</v>
      </c>
      <c r="W2499">
        <v>12.95</v>
      </c>
      <c r="X2499">
        <v>25.1</v>
      </c>
      <c r="Z2499" t="s">
        <v>39</v>
      </c>
      <c r="AB2499" t="s">
        <v>47</v>
      </c>
      <c r="AC2499" t="s">
        <v>41</v>
      </c>
    </row>
    <row r="2500" spans="1:30" x14ac:dyDescent="0.35">
      <c r="A2500" s="4">
        <v>42585</v>
      </c>
      <c r="B2500" t="s">
        <v>30</v>
      </c>
      <c r="C2500">
        <v>201</v>
      </c>
      <c r="D2500">
        <v>6</v>
      </c>
      <c r="E2500">
        <v>2</v>
      </c>
      <c r="F2500" t="s">
        <v>42</v>
      </c>
      <c r="G2500" t="s">
        <v>32</v>
      </c>
      <c r="H2500" t="s">
        <v>33</v>
      </c>
      <c r="I2500" t="s">
        <v>43</v>
      </c>
      <c r="J2500" t="s">
        <v>44</v>
      </c>
      <c r="K2500" t="s">
        <v>113</v>
      </c>
      <c r="L2500" t="s">
        <v>45</v>
      </c>
      <c r="M2500">
        <v>0</v>
      </c>
      <c r="N2500">
        <v>0</v>
      </c>
      <c r="O2500" s="5">
        <v>50844</v>
      </c>
      <c r="P2500" s="5">
        <v>50843</v>
      </c>
      <c r="Q2500">
        <f>29-14</f>
        <v>15</v>
      </c>
      <c r="R2500" t="s">
        <v>46</v>
      </c>
      <c r="S2500" t="s">
        <v>39</v>
      </c>
      <c r="T2500">
        <v>19</v>
      </c>
      <c r="U2500">
        <v>77</v>
      </c>
      <c r="V2500">
        <v>16.5</v>
      </c>
      <c r="W2500">
        <v>13</v>
      </c>
      <c r="X2500">
        <v>27.1</v>
      </c>
      <c r="Z2500" t="s">
        <v>102</v>
      </c>
      <c r="AB2500" t="s">
        <v>47</v>
      </c>
      <c r="AC2500" t="s">
        <v>41</v>
      </c>
    </row>
    <row r="2501" spans="1:30" x14ac:dyDescent="0.35">
      <c r="A2501" s="4">
        <v>42585</v>
      </c>
      <c r="B2501" t="s">
        <v>30</v>
      </c>
      <c r="C2501">
        <v>201</v>
      </c>
      <c r="D2501">
        <v>3</v>
      </c>
      <c r="E2501">
        <v>1</v>
      </c>
      <c r="F2501" t="s">
        <v>42</v>
      </c>
      <c r="G2501" t="s">
        <v>32</v>
      </c>
      <c r="H2501" t="s">
        <v>33</v>
      </c>
      <c r="I2501" t="s">
        <v>43</v>
      </c>
      <c r="J2501" t="s">
        <v>44</v>
      </c>
      <c r="K2501" t="s">
        <v>88</v>
      </c>
      <c r="L2501" t="s">
        <v>45</v>
      </c>
      <c r="M2501">
        <v>0</v>
      </c>
      <c r="N2501">
        <v>0</v>
      </c>
      <c r="O2501" s="5">
        <v>50846</v>
      </c>
      <c r="P2501" s="5">
        <v>50845</v>
      </c>
      <c r="Q2501">
        <f>29-13</f>
        <v>16</v>
      </c>
      <c r="R2501" t="s">
        <v>46</v>
      </c>
      <c r="S2501" t="s">
        <v>39</v>
      </c>
      <c r="T2501">
        <v>18</v>
      </c>
      <c r="U2501">
        <v>71</v>
      </c>
      <c r="V2501">
        <v>17</v>
      </c>
      <c r="W2501">
        <v>12.5</v>
      </c>
      <c r="X2501">
        <v>24</v>
      </c>
      <c r="Z2501" t="s">
        <v>39</v>
      </c>
      <c r="AB2501" t="s">
        <v>47</v>
      </c>
      <c r="AC2501" t="s">
        <v>41</v>
      </c>
    </row>
    <row r="2502" spans="1:30" x14ac:dyDescent="0.35">
      <c r="A2502" s="4">
        <v>42585</v>
      </c>
      <c r="B2502" t="s">
        <v>30</v>
      </c>
      <c r="C2502">
        <v>201</v>
      </c>
      <c r="D2502">
        <v>5</v>
      </c>
      <c r="E2502">
        <v>1</v>
      </c>
      <c r="F2502" t="s">
        <v>42</v>
      </c>
      <c r="G2502" t="s">
        <v>32</v>
      </c>
      <c r="H2502" t="s">
        <v>33</v>
      </c>
      <c r="I2502" t="s">
        <v>43</v>
      </c>
      <c r="J2502" t="s">
        <v>44</v>
      </c>
      <c r="K2502" t="s">
        <v>113</v>
      </c>
      <c r="L2502" t="s">
        <v>37</v>
      </c>
      <c r="M2502">
        <v>0</v>
      </c>
      <c r="N2502">
        <v>0</v>
      </c>
      <c r="O2502" s="5">
        <v>50848</v>
      </c>
      <c r="P2502" s="5">
        <v>50847</v>
      </c>
      <c r="Q2502">
        <f>31.5-14</f>
        <v>17.5</v>
      </c>
      <c r="R2502" t="s">
        <v>38</v>
      </c>
      <c r="T2502">
        <v>18</v>
      </c>
      <c r="U2502">
        <v>85</v>
      </c>
      <c r="V2502">
        <v>17</v>
      </c>
      <c r="W2502">
        <v>13</v>
      </c>
      <c r="X2502">
        <v>26.4</v>
      </c>
      <c r="Z2502" t="s">
        <v>102</v>
      </c>
      <c r="AB2502" t="s">
        <v>47</v>
      </c>
      <c r="AC2502" t="s">
        <v>41</v>
      </c>
    </row>
    <row r="2503" spans="1:30" x14ac:dyDescent="0.35">
      <c r="A2503" s="4">
        <v>42585</v>
      </c>
      <c r="B2503" t="s">
        <v>30</v>
      </c>
      <c r="C2503">
        <v>201</v>
      </c>
      <c r="D2503">
        <v>5</v>
      </c>
      <c r="E2503">
        <v>2</v>
      </c>
      <c r="F2503" t="s">
        <v>42</v>
      </c>
      <c r="G2503" t="s">
        <v>32</v>
      </c>
      <c r="H2503" t="s">
        <v>33</v>
      </c>
      <c r="I2503" t="s">
        <v>43</v>
      </c>
      <c r="J2503" t="s">
        <v>44</v>
      </c>
      <c r="K2503" t="s">
        <v>113</v>
      </c>
      <c r="L2503" t="s">
        <v>37</v>
      </c>
      <c r="M2503">
        <v>0</v>
      </c>
      <c r="N2503">
        <v>0</v>
      </c>
      <c r="O2503" s="5">
        <v>50850</v>
      </c>
      <c r="P2503" s="5">
        <v>50849</v>
      </c>
      <c r="Q2503">
        <f>32.5-14</f>
        <v>18.5</v>
      </c>
      <c r="R2503" t="s">
        <v>38</v>
      </c>
      <c r="T2503">
        <v>17</v>
      </c>
      <c r="U2503">
        <v>80</v>
      </c>
      <c r="V2503">
        <v>17</v>
      </c>
      <c r="W2503">
        <v>13.4</v>
      </c>
      <c r="X2503">
        <v>26.9</v>
      </c>
      <c r="Z2503" t="s">
        <v>39</v>
      </c>
      <c r="AB2503" t="s">
        <v>47</v>
      </c>
      <c r="AC2503" t="s">
        <v>41</v>
      </c>
      <c r="AD2503" t="s">
        <v>331</v>
      </c>
    </row>
    <row r="2504" spans="1:30" x14ac:dyDescent="0.35">
      <c r="A2504" s="4">
        <v>42585</v>
      </c>
      <c r="B2504" t="s">
        <v>30</v>
      </c>
      <c r="C2504">
        <v>113</v>
      </c>
      <c r="D2504">
        <v>10</v>
      </c>
      <c r="E2504">
        <v>1</v>
      </c>
      <c r="F2504" t="s">
        <v>315</v>
      </c>
      <c r="G2504" t="s">
        <v>32</v>
      </c>
      <c r="H2504" t="s">
        <v>33</v>
      </c>
      <c r="I2504" t="s">
        <v>43</v>
      </c>
      <c r="J2504" t="s">
        <v>44</v>
      </c>
      <c r="K2504" t="s">
        <v>36</v>
      </c>
      <c r="L2504" t="s">
        <v>45</v>
      </c>
      <c r="M2504">
        <v>0</v>
      </c>
      <c r="N2504">
        <v>0</v>
      </c>
      <c r="O2504" s="5">
        <v>50854</v>
      </c>
      <c r="P2504" s="5">
        <v>50853</v>
      </c>
      <c r="Q2504">
        <f>28.5-6</f>
        <v>22.5</v>
      </c>
      <c r="R2504" t="s">
        <v>149</v>
      </c>
      <c r="S2504" t="s">
        <v>102</v>
      </c>
      <c r="T2504">
        <v>19</v>
      </c>
      <c r="U2504">
        <v>95</v>
      </c>
      <c r="V2504">
        <v>16</v>
      </c>
      <c r="W2504">
        <v>13</v>
      </c>
      <c r="X2504">
        <v>27.4</v>
      </c>
      <c r="Z2504" t="s">
        <v>39</v>
      </c>
      <c r="AB2504" t="s">
        <v>60</v>
      </c>
      <c r="AC2504" t="s">
        <v>87</v>
      </c>
    </row>
    <row r="2505" spans="1:30" x14ac:dyDescent="0.35">
      <c r="A2505" s="4">
        <v>42585</v>
      </c>
      <c r="B2505" t="s">
        <v>30</v>
      </c>
      <c r="C2505">
        <v>113</v>
      </c>
      <c r="D2505">
        <v>1</v>
      </c>
      <c r="E2505">
        <v>1</v>
      </c>
      <c r="F2505" t="s">
        <v>315</v>
      </c>
      <c r="G2505" t="s">
        <v>32</v>
      </c>
      <c r="H2505" t="s">
        <v>33</v>
      </c>
      <c r="I2505" t="s">
        <v>43</v>
      </c>
      <c r="J2505" t="s">
        <v>44</v>
      </c>
      <c r="K2505" t="s">
        <v>88</v>
      </c>
      <c r="L2505" t="s">
        <v>45</v>
      </c>
      <c r="M2505">
        <v>0</v>
      </c>
      <c r="N2505">
        <v>0</v>
      </c>
      <c r="O2505" s="5">
        <v>50893</v>
      </c>
      <c r="P2505" s="5">
        <v>50892</v>
      </c>
      <c r="Q2505">
        <f>17-4</f>
        <v>13</v>
      </c>
      <c r="R2505" t="s">
        <v>46</v>
      </c>
      <c r="S2505" t="s">
        <v>39</v>
      </c>
      <c r="T2505">
        <v>19</v>
      </c>
      <c r="U2505">
        <v>85</v>
      </c>
      <c r="V2505">
        <v>15</v>
      </c>
      <c r="W2505">
        <v>12.9</v>
      </c>
      <c r="X2505">
        <v>26.6</v>
      </c>
      <c r="Z2505" t="s">
        <v>39</v>
      </c>
      <c r="AB2505" t="s">
        <v>60</v>
      </c>
      <c r="AC2505" t="s">
        <v>87</v>
      </c>
    </row>
    <row r="2506" spans="1:30" x14ac:dyDescent="0.35">
      <c r="A2506" s="4">
        <v>42585</v>
      </c>
      <c r="B2506" t="s">
        <v>30</v>
      </c>
      <c r="C2506">
        <v>113</v>
      </c>
      <c r="D2506">
        <v>2</v>
      </c>
      <c r="E2506">
        <v>2</v>
      </c>
      <c r="F2506" t="s">
        <v>315</v>
      </c>
      <c r="G2506" t="s">
        <v>32</v>
      </c>
      <c r="H2506" t="s">
        <v>33</v>
      </c>
      <c r="I2506" t="s">
        <v>43</v>
      </c>
      <c r="J2506" t="s">
        <v>44</v>
      </c>
      <c r="K2506" t="s">
        <v>113</v>
      </c>
      <c r="L2506" t="s">
        <v>37</v>
      </c>
      <c r="M2506">
        <v>0</v>
      </c>
      <c r="N2506">
        <v>0</v>
      </c>
      <c r="O2506" s="5">
        <v>50900</v>
      </c>
      <c r="P2506" s="5">
        <v>50899</v>
      </c>
      <c r="Q2506">
        <f>21-2</f>
        <v>19</v>
      </c>
      <c r="R2506" t="s">
        <v>38</v>
      </c>
      <c r="T2506">
        <v>18.5</v>
      </c>
      <c r="U2506">
        <v>86</v>
      </c>
      <c r="V2506">
        <v>17</v>
      </c>
      <c r="W2506">
        <v>12.9</v>
      </c>
      <c r="X2506">
        <v>27.4</v>
      </c>
      <c r="Y2506" t="s">
        <v>332</v>
      </c>
      <c r="Z2506" t="s">
        <v>102</v>
      </c>
      <c r="AB2506" t="s">
        <v>60</v>
      </c>
      <c r="AC2506" t="s">
        <v>87</v>
      </c>
    </row>
    <row r="2507" spans="1:30" x14ac:dyDescent="0.35">
      <c r="A2507" s="4">
        <v>42585</v>
      </c>
      <c r="B2507" t="s">
        <v>30</v>
      </c>
      <c r="C2507">
        <v>201</v>
      </c>
      <c r="D2507">
        <v>4</v>
      </c>
      <c r="E2507">
        <v>1</v>
      </c>
      <c r="F2507" t="s">
        <v>42</v>
      </c>
      <c r="G2507" t="s">
        <v>32</v>
      </c>
      <c r="H2507" t="s">
        <v>33</v>
      </c>
      <c r="I2507" t="s">
        <v>43</v>
      </c>
      <c r="J2507" t="s">
        <v>44</v>
      </c>
      <c r="K2507" t="s">
        <v>113</v>
      </c>
      <c r="L2507" t="s">
        <v>37</v>
      </c>
      <c r="M2507">
        <v>0</v>
      </c>
      <c r="N2507">
        <v>0</v>
      </c>
      <c r="O2507" s="5">
        <v>50928</v>
      </c>
      <c r="P2507" s="5">
        <v>50927</v>
      </c>
      <c r="Q2507">
        <f>27.5-13</f>
        <v>14.5</v>
      </c>
      <c r="R2507" t="s">
        <v>38</v>
      </c>
      <c r="T2507">
        <v>19</v>
      </c>
      <c r="U2507">
        <v>81</v>
      </c>
      <c r="V2507">
        <v>15</v>
      </c>
      <c r="W2507">
        <v>12.7</v>
      </c>
      <c r="X2507">
        <v>25.2</v>
      </c>
      <c r="Z2507" t="s">
        <v>39</v>
      </c>
      <c r="AB2507" t="s">
        <v>47</v>
      </c>
      <c r="AC2507" t="s">
        <v>41</v>
      </c>
    </row>
    <row r="2508" spans="1:30" x14ac:dyDescent="0.35">
      <c r="A2508" s="4">
        <v>42585</v>
      </c>
      <c r="B2508" t="s">
        <v>30</v>
      </c>
      <c r="C2508">
        <v>201</v>
      </c>
      <c r="D2508">
        <v>7</v>
      </c>
      <c r="E2508">
        <v>2</v>
      </c>
      <c r="F2508" t="s">
        <v>42</v>
      </c>
      <c r="G2508" t="s">
        <v>32</v>
      </c>
      <c r="H2508" t="s">
        <v>33</v>
      </c>
      <c r="I2508" t="s">
        <v>43</v>
      </c>
      <c r="J2508" t="s">
        <v>44</v>
      </c>
      <c r="K2508" t="s">
        <v>88</v>
      </c>
      <c r="L2508" t="s">
        <v>45</v>
      </c>
      <c r="M2508">
        <v>0</v>
      </c>
      <c r="N2508">
        <v>0</v>
      </c>
      <c r="O2508" s="5" t="s">
        <v>333</v>
      </c>
      <c r="P2508" s="5">
        <v>50929</v>
      </c>
      <c r="Q2508">
        <v>13</v>
      </c>
      <c r="R2508" t="s">
        <v>46</v>
      </c>
      <c r="S2508" t="s">
        <v>39</v>
      </c>
      <c r="Z2508" t="s">
        <v>39</v>
      </c>
      <c r="AB2508" t="s">
        <v>47</v>
      </c>
      <c r="AC2508" t="s">
        <v>41</v>
      </c>
      <c r="AD2508" t="s">
        <v>334</v>
      </c>
    </row>
    <row r="2509" spans="1:30" x14ac:dyDescent="0.35">
      <c r="A2509" s="4">
        <v>42585</v>
      </c>
      <c r="B2509" t="s">
        <v>30</v>
      </c>
      <c r="C2509">
        <v>202</v>
      </c>
      <c r="D2509">
        <v>2</v>
      </c>
      <c r="E2509">
        <v>1</v>
      </c>
      <c r="F2509" t="s">
        <v>42</v>
      </c>
      <c r="G2509" t="s">
        <v>32</v>
      </c>
      <c r="H2509" t="s">
        <v>33</v>
      </c>
      <c r="I2509" t="s">
        <v>43</v>
      </c>
      <c r="J2509" t="s">
        <v>44</v>
      </c>
      <c r="K2509" t="s">
        <v>113</v>
      </c>
      <c r="L2509" t="s">
        <v>37</v>
      </c>
      <c r="M2509">
        <v>0</v>
      </c>
      <c r="N2509">
        <v>0</v>
      </c>
      <c r="O2509" s="5">
        <v>50937</v>
      </c>
      <c r="P2509" s="5">
        <v>50936</v>
      </c>
      <c r="Q2509">
        <f>29-14</f>
        <v>15</v>
      </c>
      <c r="R2509" t="s">
        <v>64</v>
      </c>
      <c r="T2509">
        <v>19</v>
      </c>
      <c r="U2509">
        <v>87</v>
      </c>
      <c r="V2509">
        <v>15</v>
      </c>
      <c r="W2509">
        <v>12.5</v>
      </c>
      <c r="X2509">
        <v>24.5</v>
      </c>
      <c r="Z2509" t="s">
        <v>39</v>
      </c>
      <c r="AB2509" t="s">
        <v>47</v>
      </c>
      <c r="AC2509" t="s">
        <v>41</v>
      </c>
    </row>
    <row r="2510" spans="1:30" x14ac:dyDescent="0.35">
      <c r="A2510" s="4">
        <v>42585</v>
      </c>
      <c r="B2510" t="s">
        <v>30</v>
      </c>
      <c r="C2510">
        <v>304</v>
      </c>
      <c r="D2510">
        <v>1</v>
      </c>
      <c r="E2510">
        <v>1</v>
      </c>
      <c r="F2510" t="s">
        <v>315</v>
      </c>
      <c r="G2510" t="s">
        <v>32</v>
      </c>
      <c r="H2510" t="s">
        <v>33</v>
      </c>
      <c r="I2510" t="s">
        <v>43</v>
      </c>
      <c r="J2510" t="s">
        <v>44</v>
      </c>
      <c r="K2510" t="s">
        <v>113</v>
      </c>
      <c r="L2510" t="s">
        <v>37</v>
      </c>
      <c r="M2510">
        <v>0</v>
      </c>
      <c r="N2510">
        <v>0</v>
      </c>
      <c r="O2510" s="5">
        <v>50944</v>
      </c>
      <c r="P2510" s="5">
        <v>50943</v>
      </c>
      <c r="Q2510">
        <f>30-13.5</f>
        <v>16.5</v>
      </c>
      <c r="R2510" t="s">
        <v>64</v>
      </c>
      <c r="T2510">
        <v>19</v>
      </c>
      <c r="U2510">
        <v>85</v>
      </c>
      <c r="V2510">
        <v>15</v>
      </c>
      <c r="W2510">
        <v>12.8</v>
      </c>
      <c r="X2510">
        <v>27.1</v>
      </c>
      <c r="Z2510" t="s">
        <v>102</v>
      </c>
      <c r="AA2510" t="s">
        <v>201</v>
      </c>
      <c r="AB2510" t="s">
        <v>60</v>
      </c>
      <c r="AC2510" t="s">
        <v>87</v>
      </c>
    </row>
    <row r="2511" spans="1:30" x14ac:dyDescent="0.35">
      <c r="A2511" s="4">
        <v>42585</v>
      </c>
      <c r="B2511" t="s">
        <v>30</v>
      </c>
      <c r="C2511">
        <v>203</v>
      </c>
      <c r="D2511">
        <v>9</v>
      </c>
      <c r="E2511">
        <v>1</v>
      </c>
      <c r="F2511" t="s">
        <v>42</v>
      </c>
      <c r="G2511" t="s">
        <v>32</v>
      </c>
      <c r="H2511" t="s">
        <v>33</v>
      </c>
      <c r="I2511" t="s">
        <v>43</v>
      </c>
      <c r="J2511" t="s">
        <v>35</v>
      </c>
      <c r="K2511" t="s">
        <v>113</v>
      </c>
      <c r="L2511" t="s">
        <v>37</v>
      </c>
      <c r="M2511">
        <v>0</v>
      </c>
      <c r="N2511">
        <v>0</v>
      </c>
      <c r="O2511" s="5">
        <v>50949</v>
      </c>
      <c r="P2511" s="5">
        <v>50948</v>
      </c>
      <c r="Q2511">
        <f>28.5-13.5</f>
        <v>15</v>
      </c>
      <c r="R2511" t="s">
        <v>64</v>
      </c>
      <c r="T2511">
        <v>19</v>
      </c>
      <c r="U2511">
        <v>88.5</v>
      </c>
      <c r="V2511">
        <v>17</v>
      </c>
      <c r="W2511">
        <v>12.8</v>
      </c>
      <c r="X2511">
        <v>27.6</v>
      </c>
      <c r="Y2511" t="s">
        <v>335</v>
      </c>
      <c r="Z2511" t="s">
        <v>39</v>
      </c>
      <c r="AB2511" t="s">
        <v>47</v>
      </c>
      <c r="AC2511" t="s">
        <v>41</v>
      </c>
    </row>
    <row r="2512" spans="1:30" x14ac:dyDescent="0.35">
      <c r="A2512" s="4">
        <v>42585</v>
      </c>
      <c r="B2512" t="s">
        <v>30</v>
      </c>
      <c r="C2512">
        <v>112</v>
      </c>
      <c r="D2512">
        <v>5</v>
      </c>
      <c r="E2512">
        <v>2</v>
      </c>
      <c r="F2512" t="s">
        <v>315</v>
      </c>
      <c r="G2512" t="s">
        <v>32</v>
      </c>
      <c r="H2512" t="s">
        <v>33</v>
      </c>
      <c r="I2512" t="s">
        <v>43</v>
      </c>
      <c r="J2512" t="s">
        <v>44</v>
      </c>
      <c r="K2512" t="s">
        <v>112</v>
      </c>
      <c r="L2512" t="s">
        <v>45</v>
      </c>
      <c r="M2512">
        <v>0</v>
      </c>
      <c r="N2512">
        <v>0</v>
      </c>
      <c r="O2512" s="5">
        <v>50954</v>
      </c>
      <c r="P2512" s="5">
        <v>50953</v>
      </c>
      <c r="Q2512">
        <v>20</v>
      </c>
      <c r="R2512" t="s">
        <v>161</v>
      </c>
      <c r="S2512" t="s">
        <v>102</v>
      </c>
      <c r="T2512">
        <v>19</v>
      </c>
      <c r="U2512">
        <v>92</v>
      </c>
      <c r="V2512">
        <v>17</v>
      </c>
      <c r="W2512">
        <v>12.8</v>
      </c>
      <c r="X2512">
        <v>27.8</v>
      </c>
      <c r="Z2512" t="s">
        <v>39</v>
      </c>
      <c r="AB2512" t="s">
        <v>60</v>
      </c>
      <c r="AC2512" t="s">
        <v>87</v>
      </c>
    </row>
    <row r="2513" spans="1:30" x14ac:dyDescent="0.35">
      <c r="A2513" s="4">
        <v>42585</v>
      </c>
      <c r="B2513" t="s">
        <v>30</v>
      </c>
      <c r="C2513">
        <v>112</v>
      </c>
      <c r="D2513">
        <v>6</v>
      </c>
      <c r="E2513">
        <v>1</v>
      </c>
      <c r="F2513" t="s">
        <v>315</v>
      </c>
      <c r="G2513" t="s">
        <v>32</v>
      </c>
      <c r="H2513" t="s">
        <v>33</v>
      </c>
      <c r="I2513" t="s">
        <v>43</v>
      </c>
      <c r="J2513" t="s">
        <v>44</v>
      </c>
      <c r="K2513" t="s">
        <v>36</v>
      </c>
      <c r="L2513" t="s">
        <v>45</v>
      </c>
      <c r="M2513">
        <v>0</v>
      </c>
      <c r="N2513">
        <v>0</v>
      </c>
      <c r="O2513" s="5">
        <v>50956</v>
      </c>
      <c r="P2513" s="5">
        <v>50955</v>
      </c>
      <c r="Q2513">
        <f>25-5</f>
        <v>20</v>
      </c>
      <c r="R2513" t="s">
        <v>161</v>
      </c>
      <c r="S2513" t="s">
        <v>102</v>
      </c>
      <c r="T2513">
        <v>19</v>
      </c>
      <c r="U2513">
        <v>90</v>
      </c>
      <c r="V2513">
        <v>14</v>
      </c>
      <c r="W2513">
        <v>12.8</v>
      </c>
      <c r="X2513">
        <v>27.2</v>
      </c>
      <c r="Z2513" t="s">
        <v>102</v>
      </c>
      <c r="AA2513" t="s">
        <v>201</v>
      </c>
      <c r="AB2513" t="s">
        <v>60</v>
      </c>
      <c r="AC2513" t="s">
        <v>87</v>
      </c>
    </row>
    <row r="2514" spans="1:30" x14ac:dyDescent="0.35">
      <c r="A2514" s="4">
        <v>42585</v>
      </c>
      <c r="B2514" t="s">
        <v>30</v>
      </c>
      <c r="C2514">
        <v>402</v>
      </c>
      <c r="D2514">
        <v>6</v>
      </c>
      <c r="E2514">
        <v>2</v>
      </c>
      <c r="F2514" t="s">
        <v>315</v>
      </c>
      <c r="G2514" t="s">
        <v>32</v>
      </c>
      <c r="H2514" t="s">
        <v>33</v>
      </c>
      <c r="I2514" t="s">
        <v>34</v>
      </c>
      <c r="J2514" t="s">
        <v>35</v>
      </c>
      <c r="K2514" t="s">
        <v>113</v>
      </c>
      <c r="L2514" t="s">
        <v>37</v>
      </c>
      <c r="M2514">
        <v>0</v>
      </c>
      <c r="N2514">
        <v>1</v>
      </c>
      <c r="O2514" s="5" t="s">
        <v>336</v>
      </c>
      <c r="P2514" s="5"/>
      <c r="Q2514">
        <f>132-48</f>
        <v>84</v>
      </c>
      <c r="R2514" t="s">
        <v>64</v>
      </c>
      <c r="T2514">
        <v>31</v>
      </c>
      <c r="W2514">
        <v>21.5</v>
      </c>
      <c r="X2514">
        <v>49</v>
      </c>
      <c r="Z2514" t="s">
        <v>102</v>
      </c>
      <c r="AA2514" t="s">
        <v>201</v>
      </c>
      <c r="AB2514" t="s">
        <v>60</v>
      </c>
      <c r="AC2514" t="s">
        <v>87</v>
      </c>
    </row>
    <row r="2515" spans="1:30" x14ac:dyDescent="0.35">
      <c r="A2515" s="4">
        <v>42585</v>
      </c>
      <c r="B2515" t="s">
        <v>30</v>
      </c>
      <c r="C2515">
        <v>113</v>
      </c>
      <c r="D2515">
        <v>7</v>
      </c>
      <c r="E2515">
        <v>2</v>
      </c>
      <c r="F2515" t="s">
        <v>315</v>
      </c>
      <c r="G2515" t="s">
        <v>32</v>
      </c>
      <c r="H2515" t="s">
        <v>33</v>
      </c>
      <c r="I2515" t="s">
        <v>34</v>
      </c>
      <c r="J2515" t="s">
        <v>44</v>
      </c>
      <c r="K2515" t="s">
        <v>36</v>
      </c>
      <c r="L2515" t="s">
        <v>37</v>
      </c>
      <c r="M2515">
        <v>0</v>
      </c>
      <c r="N2515">
        <v>0</v>
      </c>
      <c r="O2515" s="5">
        <v>50482</v>
      </c>
      <c r="P2515" s="5"/>
      <c r="Q2515">
        <f>136-48</f>
        <v>88</v>
      </c>
      <c r="R2515" t="s">
        <v>38</v>
      </c>
      <c r="T2515">
        <v>31</v>
      </c>
      <c r="Z2515" t="s">
        <v>39</v>
      </c>
      <c r="AB2515" t="s">
        <v>60</v>
      </c>
      <c r="AC2515" t="s">
        <v>87</v>
      </c>
      <c r="AD2515" t="s">
        <v>337</v>
      </c>
    </row>
    <row r="2516" spans="1:30" x14ac:dyDescent="0.35">
      <c r="A2516" s="4">
        <v>42585</v>
      </c>
      <c r="B2516" t="s">
        <v>30</v>
      </c>
      <c r="C2516">
        <v>403</v>
      </c>
      <c r="D2516">
        <v>4</v>
      </c>
      <c r="E2516">
        <v>2</v>
      </c>
      <c r="F2516" t="s">
        <v>42</v>
      </c>
      <c r="G2516" t="s">
        <v>32</v>
      </c>
      <c r="H2516" t="s">
        <v>33</v>
      </c>
      <c r="I2516" t="s">
        <v>34</v>
      </c>
      <c r="J2516" t="s">
        <v>44</v>
      </c>
      <c r="K2516" t="s">
        <v>36</v>
      </c>
      <c r="L2516" t="s">
        <v>37</v>
      </c>
      <c r="M2516">
        <v>0</v>
      </c>
      <c r="N2516">
        <v>0</v>
      </c>
      <c r="O2516" s="5">
        <v>50732</v>
      </c>
      <c r="P2516" s="5"/>
      <c r="Q2516">
        <v>90</v>
      </c>
      <c r="R2516" t="s">
        <v>64</v>
      </c>
      <c r="T2516">
        <v>30</v>
      </c>
      <c r="W2516">
        <v>22.5</v>
      </c>
      <c r="X2516">
        <v>44.3</v>
      </c>
      <c r="Z2516" t="s">
        <v>39</v>
      </c>
      <c r="AB2516" t="s">
        <v>47</v>
      </c>
      <c r="AC2516" t="s">
        <v>41</v>
      </c>
    </row>
    <row r="2517" spans="1:30" x14ac:dyDescent="0.35">
      <c r="A2517" s="4">
        <v>42585</v>
      </c>
      <c r="B2517" t="s">
        <v>30</v>
      </c>
      <c r="C2517">
        <v>202</v>
      </c>
      <c r="D2517">
        <v>8</v>
      </c>
      <c r="E2517">
        <v>1</v>
      </c>
      <c r="F2517" t="s">
        <v>42</v>
      </c>
      <c r="G2517" t="s">
        <v>32</v>
      </c>
      <c r="H2517" t="s">
        <v>33</v>
      </c>
      <c r="I2517" t="s">
        <v>58</v>
      </c>
      <c r="J2517" t="s">
        <v>35</v>
      </c>
      <c r="K2517" t="s">
        <v>88</v>
      </c>
      <c r="L2517" t="s">
        <v>37</v>
      </c>
      <c r="M2517">
        <v>0</v>
      </c>
      <c r="N2517">
        <v>1</v>
      </c>
      <c r="O2517" s="5" t="s">
        <v>338</v>
      </c>
      <c r="P2517" s="5"/>
      <c r="Q2517">
        <f>32-14</f>
        <v>18</v>
      </c>
      <c r="R2517" t="s">
        <v>64</v>
      </c>
      <c r="T2517">
        <v>16</v>
      </c>
      <c r="W2517">
        <v>13</v>
      </c>
      <c r="X2517">
        <v>26.3</v>
      </c>
      <c r="Z2517" t="s">
        <v>102</v>
      </c>
      <c r="AA2517" t="s">
        <v>339</v>
      </c>
      <c r="AB2517" t="s">
        <v>47</v>
      </c>
      <c r="AC2517" t="s">
        <v>41</v>
      </c>
    </row>
    <row r="2518" spans="1:30" x14ac:dyDescent="0.35">
      <c r="A2518" s="4">
        <v>42585</v>
      </c>
      <c r="B2518" t="s">
        <v>30</v>
      </c>
      <c r="C2518">
        <v>304</v>
      </c>
      <c r="D2518">
        <v>6</v>
      </c>
      <c r="E2518">
        <v>1</v>
      </c>
      <c r="F2518" t="s">
        <v>315</v>
      </c>
      <c r="G2518" t="s">
        <v>32</v>
      </c>
      <c r="H2518" t="s">
        <v>33</v>
      </c>
      <c r="I2518" t="s">
        <v>58</v>
      </c>
      <c r="J2518" t="s">
        <v>35</v>
      </c>
      <c r="K2518" t="s">
        <v>36</v>
      </c>
      <c r="L2518" t="s">
        <v>45</v>
      </c>
      <c r="M2518">
        <v>0</v>
      </c>
      <c r="N2518">
        <v>1</v>
      </c>
      <c r="O2518" s="5" t="s">
        <v>340</v>
      </c>
      <c r="P2518" s="5"/>
      <c r="Q2518">
        <f>33-6</f>
        <v>27</v>
      </c>
      <c r="R2518" t="s">
        <v>143</v>
      </c>
      <c r="S2518" t="s">
        <v>102</v>
      </c>
      <c r="T2518">
        <v>17</v>
      </c>
      <c r="W2518">
        <v>12.9</v>
      </c>
      <c r="X2518">
        <v>25.6</v>
      </c>
      <c r="Z2518" t="s">
        <v>102</v>
      </c>
      <c r="AA2518" t="s">
        <v>201</v>
      </c>
      <c r="AB2518" t="s">
        <v>60</v>
      </c>
      <c r="AC2518" t="s">
        <v>87</v>
      </c>
      <c r="AD2518" t="s">
        <v>341</v>
      </c>
    </row>
    <row r="2519" spans="1:30" x14ac:dyDescent="0.35">
      <c r="A2519" s="4">
        <v>42585</v>
      </c>
      <c r="B2519" t="s">
        <v>30</v>
      </c>
      <c r="C2519">
        <v>402</v>
      </c>
      <c r="D2519">
        <v>10</v>
      </c>
      <c r="E2519">
        <v>1</v>
      </c>
      <c r="F2519" t="s">
        <v>315</v>
      </c>
      <c r="G2519" t="s">
        <v>32</v>
      </c>
      <c r="H2519" t="s">
        <v>33</v>
      </c>
      <c r="I2519" t="s">
        <v>58</v>
      </c>
      <c r="J2519" t="s">
        <v>35</v>
      </c>
      <c r="K2519" t="s">
        <v>36</v>
      </c>
      <c r="L2519" t="s">
        <v>45</v>
      </c>
      <c r="M2519">
        <v>0</v>
      </c>
      <c r="N2519">
        <v>1</v>
      </c>
      <c r="O2519" s="5" t="s">
        <v>342</v>
      </c>
      <c r="P2519" s="5"/>
      <c r="Q2519">
        <f>35-6</f>
        <v>29</v>
      </c>
      <c r="R2519" t="s">
        <v>145</v>
      </c>
      <c r="S2519" t="s">
        <v>102</v>
      </c>
      <c r="T2519">
        <v>18</v>
      </c>
      <c r="W2519">
        <v>12.8</v>
      </c>
      <c r="X2519">
        <v>26.8</v>
      </c>
      <c r="Z2519" t="s">
        <v>102</v>
      </c>
      <c r="AA2519" t="s">
        <v>201</v>
      </c>
      <c r="AB2519" t="s">
        <v>60</v>
      </c>
      <c r="AC2519" t="s">
        <v>87</v>
      </c>
    </row>
    <row r="2520" spans="1:30" x14ac:dyDescent="0.35">
      <c r="A2520" s="4">
        <v>42585</v>
      </c>
      <c r="B2520" t="s">
        <v>30</v>
      </c>
      <c r="C2520">
        <v>402</v>
      </c>
      <c r="D2520">
        <v>1</v>
      </c>
      <c r="E2520">
        <v>2</v>
      </c>
      <c r="F2520" t="s">
        <v>315</v>
      </c>
      <c r="G2520" t="s">
        <v>32</v>
      </c>
      <c r="H2520" t="s">
        <v>33</v>
      </c>
      <c r="I2520" t="s">
        <v>58</v>
      </c>
      <c r="J2520" t="s">
        <v>35</v>
      </c>
      <c r="K2520" t="s">
        <v>113</v>
      </c>
      <c r="L2520" t="s">
        <v>37</v>
      </c>
      <c r="M2520">
        <v>0</v>
      </c>
      <c r="N2520">
        <v>1</v>
      </c>
      <c r="O2520" s="5" t="s">
        <v>343</v>
      </c>
      <c r="P2520" s="5"/>
      <c r="Q2520">
        <f>24-6</f>
        <v>18</v>
      </c>
      <c r="R2520" t="s">
        <v>64</v>
      </c>
      <c r="T2520">
        <v>18</v>
      </c>
      <c r="W2520">
        <v>12.9</v>
      </c>
      <c r="Z2520" t="s">
        <v>102</v>
      </c>
      <c r="AA2520" t="s">
        <v>201</v>
      </c>
      <c r="AB2520" t="s">
        <v>60</v>
      </c>
      <c r="AC2520" t="s">
        <v>87</v>
      </c>
    </row>
    <row r="2521" spans="1:30" x14ac:dyDescent="0.35">
      <c r="A2521" s="4">
        <v>42585</v>
      </c>
      <c r="B2521" t="s">
        <v>30</v>
      </c>
      <c r="C2521">
        <v>112</v>
      </c>
      <c r="D2521">
        <v>8</v>
      </c>
      <c r="E2521">
        <v>2</v>
      </c>
      <c r="F2521" t="s">
        <v>315</v>
      </c>
      <c r="G2521" t="s">
        <v>32</v>
      </c>
      <c r="H2521" t="s">
        <v>33</v>
      </c>
      <c r="I2521" t="s">
        <v>58</v>
      </c>
      <c r="J2521" t="s">
        <v>35</v>
      </c>
      <c r="K2521" t="s">
        <v>113</v>
      </c>
      <c r="L2521" t="s">
        <v>37</v>
      </c>
      <c r="M2521">
        <v>0</v>
      </c>
      <c r="N2521">
        <v>1</v>
      </c>
      <c r="O2521" s="5" t="s">
        <v>344</v>
      </c>
      <c r="P2521" s="5"/>
      <c r="Q2521">
        <f>25.5-8.5</f>
        <v>17</v>
      </c>
      <c r="R2521" t="s">
        <v>64</v>
      </c>
      <c r="T2521">
        <v>18</v>
      </c>
      <c r="W2521">
        <v>12.7</v>
      </c>
      <c r="X2521">
        <v>26.7</v>
      </c>
      <c r="Z2521" t="s">
        <v>39</v>
      </c>
      <c r="AB2521" t="s">
        <v>60</v>
      </c>
      <c r="AC2521" t="s">
        <v>87</v>
      </c>
    </row>
    <row r="2522" spans="1:30" x14ac:dyDescent="0.35">
      <c r="A2522" s="4">
        <v>42585</v>
      </c>
      <c r="B2522" t="s">
        <v>30</v>
      </c>
      <c r="C2522">
        <v>402</v>
      </c>
      <c r="D2522">
        <v>6</v>
      </c>
      <c r="E2522">
        <v>1</v>
      </c>
      <c r="F2522" t="s">
        <v>315</v>
      </c>
      <c r="G2522" t="s">
        <v>32</v>
      </c>
      <c r="H2522" t="s">
        <v>33</v>
      </c>
      <c r="I2522" t="s">
        <v>58</v>
      </c>
      <c r="J2522" t="s">
        <v>44</v>
      </c>
      <c r="K2522" t="s">
        <v>36</v>
      </c>
      <c r="L2522" t="s">
        <v>37</v>
      </c>
      <c r="M2522">
        <v>0</v>
      </c>
      <c r="N2522">
        <v>0</v>
      </c>
      <c r="O2522" s="5">
        <v>10350</v>
      </c>
      <c r="P2522" s="5"/>
      <c r="Q2522">
        <f>29-5</f>
        <v>24</v>
      </c>
      <c r="R2522" t="s">
        <v>38</v>
      </c>
      <c r="T2522">
        <v>17</v>
      </c>
      <c r="W2522">
        <v>12.8</v>
      </c>
      <c r="X2522">
        <v>29.1</v>
      </c>
      <c r="Z2522" t="s">
        <v>102</v>
      </c>
      <c r="AA2522" t="s">
        <v>201</v>
      </c>
      <c r="AB2522" t="s">
        <v>60</v>
      </c>
      <c r="AC2522" t="s">
        <v>87</v>
      </c>
    </row>
    <row r="2523" spans="1:30" x14ac:dyDescent="0.35">
      <c r="A2523" s="4">
        <v>42585</v>
      </c>
      <c r="B2523" t="s">
        <v>30</v>
      </c>
      <c r="C2523">
        <v>201</v>
      </c>
      <c r="D2523">
        <v>3</v>
      </c>
      <c r="E2523">
        <v>2</v>
      </c>
      <c r="F2523" t="s">
        <v>42</v>
      </c>
      <c r="G2523" t="s">
        <v>32</v>
      </c>
      <c r="H2523" t="s">
        <v>33</v>
      </c>
      <c r="I2523" t="s">
        <v>58</v>
      </c>
      <c r="J2523" t="s">
        <v>44</v>
      </c>
      <c r="K2523" t="s">
        <v>36</v>
      </c>
      <c r="L2523" t="s">
        <v>45</v>
      </c>
      <c r="M2523">
        <v>0</v>
      </c>
      <c r="N2523">
        <v>0</v>
      </c>
      <c r="O2523" s="5">
        <v>50794</v>
      </c>
      <c r="P2523" s="5"/>
      <c r="Q2523">
        <f>39-12.5</f>
        <v>26.5</v>
      </c>
      <c r="R2523" t="s">
        <v>46</v>
      </c>
      <c r="S2523" t="s">
        <v>39</v>
      </c>
      <c r="T2523">
        <v>17</v>
      </c>
      <c r="W2523">
        <v>13.5</v>
      </c>
      <c r="X2523">
        <v>26.7</v>
      </c>
      <c r="Z2523" t="s">
        <v>102</v>
      </c>
      <c r="AB2523" t="s">
        <v>47</v>
      </c>
      <c r="AC2523" t="s">
        <v>41</v>
      </c>
    </row>
    <row r="2524" spans="1:30" x14ac:dyDescent="0.35">
      <c r="A2524" s="4">
        <v>42585</v>
      </c>
      <c r="B2524" t="s">
        <v>30</v>
      </c>
      <c r="C2524">
        <v>402</v>
      </c>
      <c r="D2524">
        <v>1</v>
      </c>
      <c r="E2524" t="s">
        <v>345</v>
      </c>
      <c r="F2524" t="s">
        <v>315</v>
      </c>
      <c r="G2524" t="s">
        <v>32</v>
      </c>
      <c r="H2524" t="s">
        <v>33</v>
      </c>
      <c r="I2524" t="s">
        <v>58</v>
      </c>
      <c r="J2524" t="s">
        <v>44</v>
      </c>
      <c r="K2524" t="s">
        <v>36</v>
      </c>
      <c r="L2524" t="s">
        <v>45</v>
      </c>
      <c r="M2524">
        <v>0</v>
      </c>
      <c r="N2524">
        <v>0</v>
      </c>
      <c r="O2524" s="5">
        <v>50806</v>
      </c>
      <c r="P2524" s="5"/>
      <c r="Q2524">
        <f>26.5-5</f>
        <v>21.5</v>
      </c>
      <c r="R2524" t="s">
        <v>64</v>
      </c>
      <c r="Z2524" t="s">
        <v>102</v>
      </c>
      <c r="AA2524" t="s">
        <v>201</v>
      </c>
      <c r="AB2524" t="s">
        <v>60</v>
      </c>
      <c r="AC2524" t="s">
        <v>87</v>
      </c>
    </row>
    <row r="2525" spans="1:30" x14ac:dyDescent="0.35">
      <c r="A2525" s="4">
        <v>42585</v>
      </c>
      <c r="B2525" t="s">
        <v>30</v>
      </c>
      <c r="C2525">
        <v>402</v>
      </c>
      <c r="D2525">
        <v>1</v>
      </c>
      <c r="E2525" t="s">
        <v>346</v>
      </c>
      <c r="F2525" t="s">
        <v>315</v>
      </c>
      <c r="G2525" t="s">
        <v>32</v>
      </c>
      <c r="H2525" t="s">
        <v>33</v>
      </c>
      <c r="I2525" t="s">
        <v>58</v>
      </c>
      <c r="J2525" t="s">
        <v>44</v>
      </c>
      <c r="K2525" t="s">
        <v>36</v>
      </c>
      <c r="L2525" t="s">
        <v>37</v>
      </c>
      <c r="M2525">
        <v>0</v>
      </c>
      <c r="N2525">
        <v>0</v>
      </c>
      <c r="O2525" s="5">
        <v>50807</v>
      </c>
      <c r="P2525" s="5"/>
      <c r="Q2525">
        <f>29-6</f>
        <v>23</v>
      </c>
      <c r="R2525" t="s">
        <v>38</v>
      </c>
      <c r="T2525">
        <v>17</v>
      </c>
      <c r="W2525">
        <v>12.6</v>
      </c>
      <c r="X2525">
        <v>25.3</v>
      </c>
      <c r="Z2525" t="s">
        <v>102</v>
      </c>
      <c r="AA2525" t="s">
        <v>201</v>
      </c>
      <c r="AB2525" t="s">
        <v>60</v>
      </c>
      <c r="AC2525" t="s">
        <v>87</v>
      </c>
    </row>
    <row r="2526" spans="1:30" x14ac:dyDescent="0.35">
      <c r="A2526" s="4">
        <v>42585</v>
      </c>
      <c r="B2526" t="s">
        <v>30</v>
      </c>
      <c r="C2526">
        <v>402</v>
      </c>
      <c r="D2526">
        <v>2</v>
      </c>
      <c r="E2526">
        <v>1</v>
      </c>
      <c r="F2526" t="s">
        <v>315</v>
      </c>
      <c r="G2526" t="s">
        <v>32</v>
      </c>
      <c r="H2526" t="s">
        <v>33</v>
      </c>
      <c r="I2526" t="s">
        <v>58</v>
      </c>
      <c r="J2526" t="s">
        <v>44</v>
      </c>
      <c r="K2526" t="s">
        <v>36</v>
      </c>
      <c r="L2526" t="s">
        <v>45</v>
      </c>
      <c r="M2526">
        <v>0</v>
      </c>
      <c r="N2526">
        <v>0</v>
      </c>
      <c r="O2526" s="5">
        <v>50889</v>
      </c>
      <c r="P2526" s="5"/>
      <c r="Q2526">
        <f>29-5</f>
        <v>24</v>
      </c>
      <c r="R2526" t="s">
        <v>149</v>
      </c>
      <c r="S2526" t="s">
        <v>102</v>
      </c>
      <c r="T2526">
        <v>18</v>
      </c>
      <c r="W2526">
        <v>12.8</v>
      </c>
      <c r="X2526">
        <v>26.7</v>
      </c>
      <c r="Z2526" t="s">
        <v>102</v>
      </c>
      <c r="AA2526" t="s">
        <v>201</v>
      </c>
      <c r="AB2526" t="s">
        <v>60</v>
      </c>
      <c r="AC2526" t="s">
        <v>87</v>
      </c>
    </row>
    <row r="2527" spans="1:30" x14ac:dyDescent="0.35">
      <c r="A2527" s="4">
        <v>42585</v>
      </c>
      <c r="B2527" t="s">
        <v>30</v>
      </c>
      <c r="C2527">
        <v>403</v>
      </c>
      <c r="D2527">
        <v>2</v>
      </c>
      <c r="E2527">
        <v>1</v>
      </c>
      <c r="F2527" t="s">
        <v>42</v>
      </c>
      <c r="G2527" t="s">
        <v>32</v>
      </c>
      <c r="H2527" t="s">
        <v>33</v>
      </c>
      <c r="I2527" t="s">
        <v>58</v>
      </c>
      <c r="J2527" t="s">
        <v>44</v>
      </c>
      <c r="K2527" t="s">
        <v>88</v>
      </c>
      <c r="L2527" t="s">
        <v>45</v>
      </c>
      <c r="M2527">
        <v>0</v>
      </c>
      <c r="N2527">
        <v>0</v>
      </c>
      <c r="O2527" s="5">
        <v>50941</v>
      </c>
      <c r="P2527" s="5"/>
      <c r="Q2527">
        <f>36-15.5</f>
        <v>20.5</v>
      </c>
      <c r="R2527" t="s">
        <v>46</v>
      </c>
      <c r="S2527" t="s">
        <v>39</v>
      </c>
      <c r="T2527">
        <v>16</v>
      </c>
      <c r="W2527">
        <v>12.8</v>
      </c>
      <c r="X2527">
        <v>27</v>
      </c>
      <c r="Z2527" t="s">
        <v>102</v>
      </c>
      <c r="AB2527" t="s">
        <v>47</v>
      </c>
      <c r="AC2527" t="s">
        <v>41</v>
      </c>
      <c r="AD2527" t="s">
        <v>347</v>
      </c>
    </row>
    <row r="2528" spans="1:30" x14ac:dyDescent="0.35">
      <c r="A2528" s="4">
        <v>42585</v>
      </c>
      <c r="B2528" t="s">
        <v>30</v>
      </c>
      <c r="C2528">
        <v>304</v>
      </c>
      <c r="D2528">
        <v>7</v>
      </c>
      <c r="E2528">
        <v>2</v>
      </c>
      <c r="F2528" t="s">
        <v>315</v>
      </c>
      <c r="G2528" t="s">
        <v>32</v>
      </c>
      <c r="H2528" t="s">
        <v>33</v>
      </c>
      <c r="I2528" t="s">
        <v>58</v>
      </c>
      <c r="J2528" t="s">
        <v>44</v>
      </c>
      <c r="K2528" t="s">
        <v>36</v>
      </c>
      <c r="L2528" t="s">
        <v>37</v>
      </c>
      <c r="M2528">
        <v>0</v>
      </c>
      <c r="N2528">
        <v>0</v>
      </c>
      <c r="O2528" s="5">
        <v>50942</v>
      </c>
      <c r="P2528" s="5"/>
      <c r="Q2528">
        <f>35.5-5</f>
        <v>30.5</v>
      </c>
      <c r="R2528" t="s">
        <v>38</v>
      </c>
      <c r="T2528">
        <v>18</v>
      </c>
      <c r="W2528">
        <v>12.8</v>
      </c>
      <c r="X2528">
        <v>28.2</v>
      </c>
      <c r="Z2528" t="s">
        <v>102</v>
      </c>
      <c r="AA2528" t="s">
        <v>201</v>
      </c>
      <c r="AB2528" t="s">
        <v>60</v>
      </c>
      <c r="AC2528" t="s">
        <v>87</v>
      </c>
    </row>
    <row r="2529" spans="1:29" x14ac:dyDescent="0.35">
      <c r="A2529" s="4">
        <v>42585</v>
      </c>
      <c r="B2529" t="s">
        <v>30</v>
      </c>
      <c r="C2529">
        <v>202</v>
      </c>
      <c r="D2529">
        <v>4</v>
      </c>
      <c r="E2529">
        <v>2</v>
      </c>
      <c r="F2529" t="s">
        <v>42</v>
      </c>
      <c r="G2529" t="s">
        <v>32</v>
      </c>
      <c r="H2529" t="s">
        <v>33</v>
      </c>
      <c r="I2529" t="s">
        <v>58</v>
      </c>
      <c r="J2529" t="s">
        <v>35</v>
      </c>
      <c r="K2529" t="s">
        <v>36</v>
      </c>
      <c r="L2529" t="s">
        <v>45</v>
      </c>
      <c r="M2529">
        <v>0</v>
      </c>
      <c r="N2529">
        <v>0</v>
      </c>
      <c r="O2529" s="5">
        <v>50947</v>
      </c>
      <c r="P2529" s="5"/>
      <c r="Q2529">
        <f>43.5-13</f>
        <v>30.5</v>
      </c>
      <c r="R2529" t="s">
        <v>149</v>
      </c>
      <c r="S2529" t="s">
        <v>102</v>
      </c>
      <c r="T2529">
        <v>16.5</v>
      </c>
      <c r="W2529">
        <v>13.35</v>
      </c>
      <c r="X2529">
        <v>26.9</v>
      </c>
      <c r="Z2529" t="s">
        <v>102</v>
      </c>
      <c r="AB2529" t="s">
        <v>47</v>
      </c>
      <c r="AC2529" t="s">
        <v>41</v>
      </c>
    </row>
    <row r="2530" spans="1:29" x14ac:dyDescent="0.35">
      <c r="A2530" s="4">
        <v>42585</v>
      </c>
      <c r="B2530" t="s">
        <v>30</v>
      </c>
      <c r="C2530">
        <v>402</v>
      </c>
      <c r="D2530">
        <v>10</v>
      </c>
      <c r="E2530">
        <v>2</v>
      </c>
      <c r="F2530" t="s">
        <v>315</v>
      </c>
      <c r="G2530" t="s">
        <v>32</v>
      </c>
      <c r="H2530" t="s">
        <v>33</v>
      </c>
      <c r="I2530" t="s">
        <v>65</v>
      </c>
      <c r="J2530" t="s">
        <v>35</v>
      </c>
      <c r="K2530" t="s">
        <v>88</v>
      </c>
      <c r="L2530" t="s">
        <v>45</v>
      </c>
      <c r="M2530">
        <v>0</v>
      </c>
      <c r="N2530">
        <v>1</v>
      </c>
      <c r="O2530" s="5" t="s">
        <v>348</v>
      </c>
      <c r="P2530" s="5"/>
      <c r="Q2530">
        <f>166-46</f>
        <v>120</v>
      </c>
      <c r="R2530" t="s">
        <v>46</v>
      </c>
      <c r="S2530" t="s">
        <v>39</v>
      </c>
      <c r="T2530">
        <v>36</v>
      </c>
      <c r="W2530">
        <v>25</v>
      </c>
      <c r="X2530">
        <v>43.7</v>
      </c>
      <c r="Z2530" t="s">
        <v>102</v>
      </c>
      <c r="AA2530" t="s">
        <v>201</v>
      </c>
      <c r="AB2530" t="s">
        <v>60</v>
      </c>
      <c r="AC2530" t="s">
        <v>87</v>
      </c>
    </row>
    <row r="2531" spans="1:29" x14ac:dyDescent="0.35">
      <c r="A2531" s="4">
        <v>42585</v>
      </c>
      <c r="B2531" t="s">
        <v>30</v>
      </c>
      <c r="C2531">
        <v>203</v>
      </c>
      <c r="D2531">
        <v>1</v>
      </c>
      <c r="E2531">
        <v>1</v>
      </c>
      <c r="F2531" t="s">
        <v>42</v>
      </c>
      <c r="G2531" t="s">
        <v>32</v>
      </c>
      <c r="H2531" t="s">
        <v>33</v>
      </c>
      <c r="I2531" t="s">
        <v>55</v>
      </c>
      <c r="J2531" t="s">
        <v>66</v>
      </c>
      <c r="O2531" s="5"/>
      <c r="P2531" s="5"/>
    </row>
    <row r="2532" spans="1:29" x14ac:dyDescent="0.35">
      <c r="A2532" s="4">
        <v>42585</v>
      </c>
      <c r="B2532" t="s">
        <v>30</v>
      </c>
      <c r="C2532">
        <v>203</v>
      </c>
      <c r="D2532">
        <v>6</v>
      </c>
      <c r="E2532">
        <v>1</v>
      </c>
      <c r="F2532" t="s">
        <v>42</v>
      </c>
      <c r="G2532" t="s">
        <v>32</v>
      </c>
      <c r="H2532" t="s">
        <v>33</v>
      </c>
      <c r="I2532" t="s">
        <v>55</v>
      </c>
      <c r="J2532" t="s">
        <v>66</v>
      </c>
      <c r="O2532" s="5"/>
      <c r="P2532" s="5"/>
    </row>
    <row r="2533" spans="1:29" x14ac:dyDescent="0.35">
      <c r="A2533" s="4">
        <v>42585</v>
      </c>
      <c r="B2533" t="s">
        <v>30</v>
      </c>
      <c r="C2533">
        <v>403</v>
      </c>
      <c r="D2533">
        <v>5</v>
      </c>
      <c r="E2533">
        <v>1</v>
      </c>
      <c r="F2533" t="s">
        <v>42</v>
      </c>
      <c r="G2533" t="s">
        <v>32</v>
      </c>
      <c r="H2533" t="s">
        <v>33</v>
      </c>
      <c r="I2533" t="s">
        <v>55</v>
      </c>
      <c r="J2533" t="s">
        <v>66</v>
      </c>
      <c r="O2533" s="5"/>
      <c r="P2533" s="5"/>
    </row>
    <row r="2534" spans="1:29" x14ac:dyDescent="0.35">
      <c r="A2534" s="4">
        <v>42585</v>
      </c>
      <c r="B2534" t="s">
        <v>30</v>
      </c>
      <c r="C2534">
        <v>113</v>
      </c>
      <c r="D2534">
        <v>3</v>
      </c>
      <c r="E2534">
        <v>2</v>
      </c>
      <c r="F2534" t="s">
        <v>315</v>
      </c>
      <c r="G2534" t="s">
        <v>32</v>
      </c>
      <c r="H2534" t="s">
        <v>33</v>
      </c>
      <c r="I2534" t="s">
        <v>55</v>
      </c>
      <c r="J2534" t="s">
        <v>66</v>
      </c>
      <c r="O2534" s="5"/>
      <c r="P2534" s="5"/>
    </row>
    <row r="2535" spans="1:29" x14ac:dyDescent="0.35">
      <c r="A2535" s="4">
        <v>42585</v>
      </c>
      <c r="B2535" t="s">
        <v>30</v>
      </c>
      <c r="C2535">
        <v>304</v>
      </c>
      <c r="D2535">
        <v>10</v>
      </c>
      <c r="E2535">
        <v>2</v>
      </c>
      <c r="F2535" t="s">
        <v>315</v>
      </c>
      <c r="G2535" t="s">
        <v>32</v>
      </c>
      <c r="H2535" t="s">
        <v>33</v>
      </c>
      <c r="I2535" t="s">
        <v>55</v>
      </c>
      <c r="J2535" t="s">
        <v>66</v>
      </c>
      <c r="O2535" s="5"/>
      <c r="P2535" s="5"/>
    </row>
    <row r="2536" spans="1:29" x14ac:dyDescent="0.35">
      <c r="A2536" s="4">
        <v>42585</v>
      </c>
      <c r="B2536" t="s">
        <v>30</v>
      </c>
      <c r="C2536">
        <v>304</v>
      </c>
      <c r="D2536">
        <v>3</v>
      </c>
      <c r="E2536">
        <v>1</v>
      </c>
      <c r="F2536" t="s">
        <v>315</v>
      </c>
      <c r="G2536" t="s">
        <v>32</v>
      </c>
      <c r="H2536" t="s">
        <v>33</v>
      </c>
      <c r="I2536" t="s">
        <v>55</v>
      </c>
      <c r="J2536" t="s">
        <v>66</v>
      </c>
      <c r="O2536" s="5"/>
      <c r="P2536" s="5"/>
    </row>
    <row r="2537" spans="1:29" x14ac:dyDescent="0.35">
      <c r="A2537" s="4">
        <v>42585</v>
      </c>
      <c r="B2537" t="s">
        <v>30</v>
      </c>
      <c r="C2537">
        <v>111</v>
      </c>
      <c r="D2537">
        <v>1</v>
      </c>
      <c r="E2537">
        <v>1</v>
      </c>
      <c r="F2537" t="s">
        <v>315</v>
      </c>
      <c r="G2537" t="s">
        <v>32</v>
      </c>
      <c r="H2537" t="s">
        <v>33</v>
      </c>
      <c r="I2537" t="s">
        <v>84</v>
      </c>
      <c r="O2537" s="5"/>
      <c r="P2537" s="5"/>
    </row>
    <row r="2538" spans="1:29" x14ac:dyDescent="0.35">
      <c r="A2538" s="4">
        <v>42585</v>
      </c>
      <c r="B2538" t="s">
        <v>30</v>
      </c>
      <c r="C2538">
        <v>111</v>
      </c>
      <c r="D2538">
        <v>1</v>
      </c>
      <c r="E2538">
        <v>2</v>
      </c>
      <c r="F2538" t="s">
        <v>315</v>
      </c>
      <c r="G2538" t="s">
        <v>32</v>
      </c>
      <c r="H2538" t="s">
        <v>33</v>
      </c>
      <c r="I2538" t="s">
        <v>84</v>
      </c>
      <c r="O2538" s="5"/>
      <c r="P2538" s="5"/>
    </row>
    <row r="2539" spans="1:29" x14ac:dyDescent="0.35">
      <c r="A2539" s="4">
        <v>42585</v>
      </c>
      <c r="B2539" t="s">
        <v>30</v>
      </c>
      <c r="C2539">
        <v>111</v>
      </c>
      <c r="D2539">
        <v>2</v>
      </c>
      <c r="E2539">
        <v>1</v>
      </c>
      <c r="F2539" t="s">
        <v>315</v>
      </c>
      <c r="G2539" t="s">
        <v>32</v>
      </c>
      <c r="H2539" t="s">
        <v>33</v>
      </c>
      <c r="I2539" t="s">
        <v>84</v>
      </c>
      <c r="O2539" s="5"/>
      <c r="P2539" s="5"/>
    </row>
    <row r="2540" spans="1:29" x14ac:dyDescent="0.35">
      <c r="A2540" s="4">
        <v>42585</v>
      </c>
      <c r="B2540" t="s">
        <v>30</v>
      </c>
      <c r="C2540">
        <v>111</v>
      </c>
      <c r="D2540">
        <v>4</v>
      </c>
      <c r="E2540">
        <v>1</v>
      </c>
      <c r="F2540" t="s">
        <v>315</v>
      </c>
      <c r="G2540" t="s">
        <v>32</v>
      </c>
      <c r="H2540" t="s">
        <v>33</v>
      </c>
      <c r="I2540" t="s">
        <v>85</v>
      </c>
      <c r="O2540" s="5"/>
      <c r="P2540" s="5"/>
    </row>
    <row r="2541" spans="1:29" x14ac:dyDescent="0.35">
      <c r="A2541" s="4">
        <v>42585</v>
      </c>
      <c r="B2541" t="s">
        <v>30</v>
      </c>
      <c r="C2541">
        <v>111</v>
      </c>
      <c r="D2541">
        <v>4</v>
      </c>
      <c r="E2541">
        <v>2</v>
      </c>
      <c r="F2541" t="s">
        <v>315</v>
      </c>
      <c r="G2541" t="s">
        <v>32</v>
      </c>
      <c r="H2541" t="s">
        <v>33</v>
      </c>
      <c r="I2541" t="s">
        <v>85</v>
      </c>
      <c r="O2541" s="5"/>
      <c r="P2541" s="5"/>
    </row>
    <row r="2542" spans="1:29" x14ac:dyDescent="0.35">
      <c r="A2542" s="4">
        <v>42585</v>
      </c>
      <c r="B2542" t="s">
        <v>30</v>
      </c>
      <c r="C2542">
        <v>111</v>
      </c>
      <c r="D2542">
        <v>5</v>
      </c>
      <c r="E2542">
        <v>1</v>
      </c>
      <c r="F2542" t="s">
        <v>315</v>
      </c>
      <c r="G2542" t="s">
        <v>32</v>
      </c>
      <c r="H2542" t="s">
        <v>33</v>
      </c>
      <c r="I2542" t="s">
        <v>85</v>
      </c>
      <c r="O2542" s="5"/>
      <c r="P2542" s="5"/>
    </row>
    <row r="2543" spans="1:29" x14ac:dyDescent="0.35">
      <c r="A2543" s="4">
        <v>42585</v>
      </c>
      <c r="B2543" t="s">
        <v>30</v>
      </c>
      <c r="C2543">
        <v>111</v>
      </c>
      <c r="D2543">
        <v>5</v>
      </c>
      <c r="E2543">
        <v>2</v>
      </c>
      <c r="F2543" t="s">
        <v>315</v>
      </c>
      <c r="G2543" t="s">
        <v>32</v>
      </c>
      <c r="H2543" t="s">
        <v>33</v>
      </c>
      <c r="I2543" t="s">
        <v>85</v>
      </c>
      <c r="O2543" s="5"/>
      <c r="P2543" s="5"/>
    </row>
    <row r="2544" spans="1:29" x14ac:dyDescent="0.35">
      <c r="A2544" s="4">
        <v>42585</v>
      </c>
      <c r="B2544" t="s">
        <v>30</v>
      </c>
      <c r="C2544">
        <v>111</v>
      </c>
      <c r="D2544">
        <v>6</v>
      </c>
      <c r="E2544">
        <v>1</v>
      </c>
      <c r="F2544" t="s">
        <v>315</v>
      </c>
      <c r="G2544" t="s">
        <v>32</v>
      </c>
      <c r="H2544" t="s">
        <v>33</v>
      </c>
      <c r="I2544" t="s">
        <v>85</v>
      </c>
      <c r="O2544" s="5"/>
      <c r="P2544" s="5"/>
    </row>
    <row r="2545" spans="1:16" x14ac:dyDescent="0.35">
      <c r="A2545" s="4">
        <v>42585</v>
      </c>
      <c r="B2545" t="s">
        <v>30</v>
      </c>
      <c r="C2545">
        <v>111</v>
      </c>
      <c r="D2545">
        <v>6</v>
      </c>
      <c r="E2545">
        <v>2</v>
      </c>
      <c r="F2545" t="s">
        <v>315</v>
      </c>
      <c r="G2545" t="s">
        <v>32</v>
      </c>
      <c r="H2545" t="s">
        <v>33</v>
      </c>
      <c r="I2545" t="s">
        <v>85</v>
      </c>
      <c r="O2545" s="5"/>
      <c r="P2545" s="5"/>
    </row>
    <row r="2546" spans="1:16" x14ac:dyDescent="0.35">
      <c r="A2546" s="4">
        <v>42585</v>
      </c>
      <c r="B2546" t="s">
        <v>30</v>
      </c>
      <c r="C2546">
        <v>111</v>
      </c>
      <c r="D2546">
        <v>7</v>
      </c>
      <c r="E2546">
        <v>1</v>
      </c>
      <c r="F2546" t="s">
        <v>315</v>
      </c>
      <c r="G2546" t="s">
        <v>32</v>
      </c>
      <c r="H2546" t="s">
        <v>33</v>
      </c>
      <c r="I2546" t="s">
        <v>85</v>
      </c>
      <c r="O2546" s="5"/>
      <c r="P2546" s="5"/>
    </row>
    <row r="2547" spans="1:16" x14ac:dyDescent="0.35">
      <c r="A2547" s="4">
        <v>42585</v>
      </c>
      <c r="B2547" t="s">
        <v>30</v>
      </c>
      <c r="C2547">
        <v>111</v>
      </c>
      <c r="D2547">
        <v>7</v>
      </c>
      <c r="E2547">
        <v>2</v>
      </c>
      <c r="F2547" t="s">
        <v>315</v>
      </c>
      <c r="G2547" t="s">
        <v>32</v>
      </c>
      <c r="H2547" t="s">
        <v>33</v>
      </c>
      <c r="I2547" t="s">
        <v>85</v>
      </c>
      <c r="O2547" s="5"/>
      <c r="P2547" s="5"/>
    </row>
    <row r="2548" spans="1:16" x14ac:dyDescent="0.35">
      <c r="A2548" s="4">
        <v>42585</v>
      </c>
      <c r="B2548" t="s">
        <v>30</v>
      </c>
      <c r="C2548">
        <v>111</v>
      </c>
      <c r="D2548">
        <v>8</v>
      </c>
      <c r="E2548">
        <v>1</v>
      </c>
      <c r="F2548" t="s">
        <v>315</v>
      </c>
      <c r="G2548" t="s">
        <v>32</v>
      </c>
      <c r="H2548" t="s">
        <v>33</v>
      </c>
      <c r="I2548" t="s">
        <v>85</v>
      </c>
      <c r="O2548" s="5"/>
      <c r="P2548" s="5"/>
    </row>
    <row r="2549" spans="1:16" x14ac:dyDescent="0.35">
      <c r="A2549" s="4">
        <v>42585</v>
      </c>
      <c r="B2549" t="s">
        <v>30</v>
      </c>
      <c r="C2549">
        <v>111</v>
      </c>
      <c r="D2549">
        <v>8</v>
      </c>
      <c r="E2549">
        <v>2</v>
      </c>
      <c r="F2549" t="s">
        <v>315</v>
      </c>
      <c r="G2549" t="s">
        <v>32</v>
      </c>
      <c r="H2549" t="s">
        <v>33</v>
      </c>
      <c r="I2549" t="s">
        <v>85</v>
      </c>
      <c r="O2549" s="5"/>
      <c r="P2549" s="5"/>
    </row>
    <row r="2550" spans="1:16" x14ac:dyDescent="0.35">
      <c r="A2550" s="4">
        <v>42585</v>
      </c>
      <c r="B2550" t="s">
        <v>30</v>
      </c>
      <c r="C2550">
        <v>111</v>
      </c>
      <c r="D2550">
        <v>9</v>
      </c>
      <c r="E2550">
        <v>1</v>
      </c>
      <c r="F2550" t="s">
        <v>315</v>
      </c>
      <c r="G2550" t="s">
        <v>32</v>
      </c>
      <c r="H2550" t="s">
        <v>33</v>
      </c>
      <c r="I2550" t="s">
        <v>85</v>
      </c>
      <c r="O2550" s="5"/>
      <c r="P2550" s="5"/>
    </row>
    <row r="2551" spans="1:16" x14ac:dyDescent="0.35">
      <c r="A2551" s="4">
        <v>42585</v>
      </c>
      <c r="B2551" t="s">
        <v>30</v>
      </c>
      <c r="C2551">
        <v>111</v>
      </c>
      <c r="D2551">
        <v>9</v>
      </c>
      <c r="E2551">
        <v>2</v>
      </c>
      <c r="F2551" t="s">
        <v>315</v>
      </c>
      <c r="G2551" t="s">
        <v>32</v>
      </c>
      <c r="H2551" t="s">
        <v>33</v>
      </c>
      <c r="I2551" t="s">
        <v>85</v>
      </c>
      <c r="O2551" s="5"/>
      <c r="P2551" s="5"/>
    </row>
    <row r="2552" spans="1:16" x14ac:dyDescent="0.35">
      <c r="A2552" s="4">
        <v>42585</v>
      </c>
      <c r="B2552" t="s">
        <v>30</v>
      </c>
      <c r="C2552">
        <v>111</v>
      </c>
      <c r="D2552">
        <v>10</v>
      </c>
      <c r="E2552">
        <v>1</v>
      </c>
      <c r="F2552" t="s">
        <v>315</v>
      </c>
      <c r="G2552" t="s">
        <v>32</v>
      </c>
      <c r="H2552" t="s">
        <v>33</v>
      </c>
      <c r="I2552" t="s">
        <v>85</v>
      </c>
      <c r="O2552" s="5"/>
      <c r="P2552" s="5"/>
    </row>
    <row r="2553" spans="1:16" x14ac:dyDescent="0.35">
      <c r="A2553" s="4">
        <v>42585</v>
      </c>
      <c r="B2553" t="s">
        <v>30</v>
      </c>
      <c r="C2553">
        <v>201</v>
      </c>
      <c r="D2553">
        <v>6</v>
      </c>
      <c r="E2553">
        <v>1</v>
      </c>
      <c r="F2553" t="s">
        <v>42</v>
      </c>
      <c r="G2553" t="s">
        <v>32</v>
      </c>
      <c r="H2553" t="s">
        <v>33</v>
      </c>
      <c r="I2553" t="s">
        <v>59</v>
      </c>
      <c r="O2553" s="5"/>
      <c r="P2553" s="5"/>
    </row>
    <row r="2554" spans="1:16" x14ac:dyDescent="0.35">
      <c r="A2554" s="4">
        <v>42585</v>
      </c>
      <c r="B2554" t="s">
        <v>30</v>
      </c>
      <c r="C2554">
        <v>201</v>
      </c>
      <c r="D2554">
        <v>7</v>
      </c>
      <c r="E2554">
        <v>1</v>
      </c>
      <c r="F2554" t="s">
        <v>42</v>
      </c>
      <c r="G2554" t="s">
        <v>32</v>
      </c>
      <c r="H2554" t="s">
        <v>33</v>
      </c>
      <c r="I2554" t="s">
        <v>59</v>
      </c>
      <c r="O2554" s="5"/>
      <c r="P2554" s="5"/>
    </row>
    <row r="2555" spans="1:16" x14ac:dyDescent="0.35">
      <c r="A2555" s="4">
        <v>42585</v>
      </c>
      <c r="B2555" t="s">
        <v>30</v>
      </c>
      <c r="C2555">
        <v>201</v>
      </c>
      <c r="D2555">
        <v>8</v>
      </c>
      <c r="E2555">
        <v>1</v>
      </c>
      <c r="F2555" t="s">
        <v>42</v>
      </c>
      <c r="G2555" t="s">
        <v>32</v>
      </c>
      <c r="H2555" t="s">
        <v>33</v>
      </c>
      <c r="I2555" t="s">
        <v>59</v>
      </c>
      <c r="O2555" s="5"/>
      <c r="P2555" s="5"/>
    </row>
    <row r="2556" spans="1:16" x14ac:dyDescent="0.35">
      <c r="A2556" s="4">
        <v>42585</v>
      </c>
      <c r="B2556" t="s">
        <v>30</v>
      </c>
      <c r="C2556">
        <v>201</v>
      </c>
      <c r="D2556">
        <v>10</v>
      </c>
      <c r="E2556">
        <v>1</v>
      </c>
      <c r="F2556" t="s">
        <v>42</v>
      </c>
      <c r="G2556" t="s">
        <v>32</v>
      </c>
      <c r="H2556" t="s">
        <v>33</v>
      </c>
      <c r="I2556" t="s">
        <v>59</v>
      </c>
      <c r="O2556" s="5"/>
      <c r="P2556" s="5"/>
    </row>
    <row r="2557" spans="1:16" x14ac:dyDescent="0.35">
      <c r="A2557" s="4">
        <v>42585</v>
      </c>
      <c r="B2557" t="s">
        <v>30</v>
      </c>
      <c r="C2557">
        <v>203</v>
      </c>
      <c r="D2557">
        <v>5</v>
      </c>
      <c r="E2557">
        <v>1</v>
      </c>
      <c r="F2557" t="s">
        <v>42</v>
      </c>
      <c r="G2557" t="s">
        <v>32</v>
      </c>
      <c r="H2557" t="s">
        <v>33</v>
      </c>
      <c r="I2557" t="s">
        <v>59</v>
      </c>
      <c r="O2557" s="5"/>
      <c r="P2557" s="5"/>
    </row>
    <row r="2558" spans="1:16" x14ac:dyDescent="0.35">
      <c r="A2558" s="4">
        <v>42585</v>
      </c>
      <c r="B2558" t="s">
        <v>30</v>
      </c>
      <c r="C2558">
        <v>203</v>
      </c>
      <c r="D2558">
        <v>6</v>
      </c>
      <c r="E2558">
        <v>2</v>
      </c>
      <c r="F2558" t="s">
        <v>42</v>
      </c>
      <c r="G2558" t="s">
        <v>32</v>
      </c>
      <c r="H2558" t="s">
        <v>33</v>
      </c>
      <c r="I2558" t="s">
        <v>59</v>
      </c>
      <c r="O2558" s="5"/>
      <c r="P2558" s="5"/>
    </row>
    <row r="2559" spans="1:16" x14ac:dyDescent="0.35">
      <c r="A2559" s="4">
        <v>42585</v>
      </c>
      <c r="B2559" t="s">
        <v>30</v>
      </c>
      <c r="C2559">
        <v>202</v>
      </c>
      <c r="D2559">
        <v>3</v>
      </c>
      <c r="E2559">
        <v>1</v>
      </c>
      <c r="F2559" t="s">
        <v>42</v>
      </c>
      <c r="G2559" t="s">
        <v>32</v>
      </c>
      <c r="H2559" t="s">
        <v>33</v>
      </c>
      <c r="I2559" t="s">
        <v>59</v>
      </c>
      <c r="O2559" s="5"/>
      <c r="P2559" s="5"/>
    </row>
    <row r="2560" spans="1:16" x14ac:dyDescent="0.35">
      <c r="A2560" s="4">
        <v>42585</v>
      </c>
      <c r="B2560" t="s">
        <v>30</v>
      </c>
      <c r="C2560">
        <v>202</v>
      </c>
      <c r="D2560">
        <v>3</v>
      </c>
      <c r="E2560">
        <v>2</v>
      </c>
      <c r="F2560" t="s">
        <v>42</v>
      </c>
      <c r="G2560" t="s">
        <v>32</v>
      </c>
      <c r="H2560" t="s">
        <v>33</v>
      </c>
      <c r="I2560" t="s">
        <v>59</v>
      </c>
      <c r="O2560" s="5"/>
      <c r="P2560" s="5"/>
    </row>
    <row r="2561" spans="1:16" x14ac:dyDescent="0.35">
      <c r="A2561" s="4">
        <v>42585</v>
      </c>
      <c r="B2561" t="s">
        <v>30</v>
      </c>
      <c r="C2561">
        <v>202</v>
      </c>
      <c r="D2561">
        <v>9</v>
      </c>
      <c r="E2561">
        <v>1</v>
      </c>
      <c r="F2561" t="s">
        <v>42</v>
      </c>
      <c r="G2561" t="s">
        <v>32</v>
      </c>
      <c r="H2561" t="s">
        <v>33</v>
      </c>
      <c r="I2561" t="s">
        <v>59</v>
      </c>
      <c r="O2561" s="5"/>
      <c r="P2561" s="5"/>
    </row>
    <row r="2562" spans="1:16" x14ac:dyDescent="0.35">
      <c r="A2562" s="4">
        <v>42585</v>
      </c>
      <c r="B2562" t="s">
        <v>30</v>
      </c>
      <c r="C2562">
        <v>202</v>
      </c>
      <c r="D2562">
        <v>9</v>
      </c>
      <c r="E2562">
        <v>2</v>
      </c>
      <c r="F2562" t="s">
        <v>42</v>
      </c>
      <c r="G2562" t="s">
        <v>32</v>
      </c>
      <c r="H2562" t="s">
        <v>33</v>
      </c>
      <c r="I2562" t="s">
        <v>59</v>
      </c>
      <c r="O2562" s="5"/>
      <c r="P2562" s="5"/>
    </row>
    <row r="2563" spans="1:16" x14ac:dyDescent="0.35">
      <c r="A2563" s="4">
        <v>42585</v>
      </c>
      <c r="B2563" t="s">
        <v>30</v>
      </c>
      <c r="C2563">
        <v>202</v>
      </c>
      <c r="D2563">
        <v>10</v>
      </c>
      <c r="E2563">
        <v>1</v>
      </c>
      <c r="F2563" t="s">
        <v>42</v>
      </c>
      <c r="G2563" t="s">
        <v>32</v>
      </c>
      <c r="H2563" t="s">
        <v>33</v>
      </c>
      <c r="I2563" t="s">
        <v>59</v>
      </c>
      <c r="O2563" s="5"/>
      <c r="P2563" s="5"/>
    </row>
    <row r="2564" spans="1:16" x14ac:dyDescent="0.35">
      <c r="A2564" s="4">
        <v>42585</v>
      </c>
      <c r="B2564" t="s">
        <v>30</v>
      </c>
      <c r="C2564">
        <v>202</v>
      </c>
      <c r="D2564">
        <v>10</v>
      </c>
      <c r="E2564">
        <v>2</v>
      </c>
      <c r="F2564" t="s">
        <v>42</v>
      </c>
      <c r="G2564" t="s">
        <v>32</v>
      </c>
      <c r="H2564" t="s">
        <v>33</v>
      </c>
      <c r="I2564" t="s">
        <v>59</v>
      </c>
      <c r="O2564" s="5"/>
      <c r="P2564" s="5"/>
    </row>
    <row r="2565" spans="1:16" x14ac:dyDescent="0.35">
      <c r="A2565" s="4">
        <v>42585</v>
      </c>
      <c r="B2565" t="s">
        <v>30</v>
      </c>
      <c r="C2565">
        <v>111</v>
      </c>
      <c r="D2565">
        <v>3</v>
      </c>
      <c r="E2565">
        <v>1</v>
      </c>
      <c r="F2565" t="s">
        <v>315</v>
      </c>
      <c r="G2565" t="s">
        <v>32</v>
      </c>
      <c r="H2565" t="s">
        <v>33</v>
      </c>
      <c r="I2565" t="s">
        <v>59</v>
      </c>
      <c r="O2565" s="5"/>
      <c r="P2565" s="5"/>
    </row>
    <row r="2566" spans="1:16" x14ac:dyDescent="0.35">
      <c r="A2566" s="4">
        <v>42585</v>
      </c>
      <c r="B2566" t="s">
        <v>30</v>
      </c>
      <c r="C2566">
        <v>111</v>
      </c>
      <c r="D2566">
        <v>2</v>
      </c>
      <c r="E2566">
        <v>3</v>
      </c>
      <c r="F2566" t="s">
        <v>315</v>
      </c>
      <c r="G2566" t="s">
        <v>32</v>
      </c>
      <c r="H2566" t="s">
        <v>33</v>
      </c>
      <c r="I2566" t="s">
        <v>59</v>
      </c>
      <c r="O2566" s="5"/>
      <c r="P2566" s="5"/>
    </row>
    <row r="2567" spans="1:16" x14ac:dyDescent="0.35">
      <c r="A2567" s="4">
        <v>42585</v>
      </c>
      <c r="B2567" t="s">
        <v>30</v>
      </c>
      <c r="C2567">
        <v>112</v>
      </c>
      <c r="D2567">
        <v>1</v>
      </c>
      <c r="E2567">
        <v>1</v>
      </c>
      <c r="F2567" t="s">
        <v>315</v>
      </c>
      <c r="G2567" t="s">
        <v>32</v>
      </c>
      <c r="H2567" t="s">
        <v>33</v>
      </c>
      <c r="I2567" t="s">
        <v>59</v>
      </c>
      <c r="O2567" s="5"/>
      <c r="P2567" s="5"/>
    </row>
    <row r="2568" spans="1:16" x14ac:dyDescent="0.35">
      <c r="A2568" s="4">
        <v>42585</v>
      </c>
      <c r="B2568" t="s">
        <v>30</v>
      </c>
      <c r="C2568">
        <v>112</v>
      </c>
      <c r="D2568">
        <v>3</v>
      </c>
      <c r="E2568">
        <v>1</v>
      </c>
      <c r="F2568" t="s">
        <v>315</v>
      </c>
      <c r="G2568" t="s">
        <v>32</v>
      </c>
      <c r="H2568" t="s">
        <v>33</v>
      </c>
      <c r="I2568" t="s">
        <v>59</v>
      </c>
      <c r="O2568" s="5"/>
      <c r="P2568" s="5"/>
    </row>
    <row r="2569" spans="1:16" x14ac:dyDescent="0.35">
      <c r="A2569" s="4">
        <v>42585</v>
      </c>
      <c r="B2569" t="s">
        <v>30</v>
      </c>
      <c r="C2569">
        <v>112</v>
      </c>
      <c r="D2569">
        <v>4</v>
      </c>
      <c r="E2569">
        <v>1</v>
      </c>
      <c r="F2569" t="s">
        <v>315</v>
      </c>
      <c r="G2569" t="s">
        <v>32</v>
      </c>
      <c r="H2569" t="s">
        <v>33</v>
      </c>
      <c r="I2569" t="s">
        <v>59</v>
      </c>
      <c r="O2569" s="5"/>
      <c r="P2569" s="5"/>
    </row>
    <row r="2570" spans="1:16" x14ac:dyDescent="0.35">
      <c r="A2570" s="4">
        <v>42585</v>
      </c>
      <c r="B2570" t="s">
        <v>30</v>
      </c>
      <c r="C2570">
        <v>112</v>
      </c>
      <c r="D2570">
        <v>7</v>
      </c>
      <c r="E2570">
        <v>1</v>
      </c>
      <c r="F2570" t="s">
        <v>315</v>
      </c>
      <c r="G2570" t="s">
        <v>32</v>
      </c>
      <c r="H2570" t="s">
        <v>33</v>
      </c>
      <c r="I2570" t="s">
        <v>59</v>
      </c>
      <c r="O2570" s="5"/>
      <c r="P2570" s="5"/>
    </row>
    <row r="2571" spans="1:16" x14ac:dyDescent="0.35">
      <c r="A2571" s="4">
        <v>42585</v>
      </c>
      <c r="B2571" t="s">
        <v>30</v>
      </c>
      <c r="C2571">
        <v>112</v>
      </c>
      <c r="D2571">
        <v>8</v>
      </c>
      <c r="E2571">
        <v>1</v>
      </c>
      <c r="F2571" t="s">
        <v>315</v>
      </c>
      <c r="G2571" t="s">
        <v>32</v>
      </c>
      <c r="H2571" t="s">
        <v>33</v>
      </c>
      <c r="I2571" t="s">
        <v>59</v>
      </c>
      <c r="O2571" s="5"/>
      <c r="P2571" s="5"/>
    </row>
    <row r="2572" spans="1:16" x14ac:dyDescent="0.35">
      <c r="A2572" s="4">
        <v>42585</v>
      </c>
      <c r="B2572" t="s">
        <v>30</v>
      </c>
      <c r="C2572">
        <v>112</v>
      </c>
      <c r="D2572">
        <v>9</v>
      </c>
      <c r="E2572">
        <v>1</v>
      </c>
      <c r="F2572" t="s">
        <v>315</v>
      </c>
      <c r="G2572" t="s">
        <v>32</v>
      </c>
      <c r="H2572" t="s">
        <v>33</v>
      </c>
      <c r="I2572" t="s">
        <v>59</v>
      </c>
      <c r="O2572" s="5"/>
      <c r="P2572" s="5"/>
    </row>
    <row r="2573" spans="1:16" x14ac:dyDescent="0.35">
      <c r="A2573" s="4">
        <v>42585</v>
      </c>
      <c r="B2573" t="s">
        <v>30</v>
      </c>
      <c r="C2573">
        <v>112</v>
      </c>
      <c r="D2573">
        <v>10</v>
      </c>
      <c r="E2573">
        <v>2</v>
      </c>
      <c r="F2573" t="s">
        <v>315</v>
      </c>
      <c r="G2573" t="s">
        <v>32</v>
      </c>
      <c r="H2573" t="s">
        <v>33</v>
      </c>
      <c r="I2573" t="s">
        <v>59</v>
      </c>
      <c r="O2573" s="5"/>
      <c r="P2573" s="5"/>
    </row>
    <row r="2574" spans="1:16" x14ac:dyDescent="0.35">
      <c r="A2574" s="4">
        <v>42585</v>
      </c>
      <c r="B2574" t="s">
        <v>30</v>
      </c>
      <c r="C2574">
        <v>113</v>
      </c>
      <c r="D2574">
        <v>3</v>
      </c>
      <c r="E2574">
        <v>1</v>
      </c>
      <c r="F2574" t="s">
        <v>315</v>
      </c>
      <c r="G2574" t="s">
        <v>32</v>
      </c>
      <c r="H2574" t="s">
        <v>33</v>
      </c>
      <c r="I2574" t="s">
        <v>59</v>
      </c>
      <c r="O2574" s="5"/>
      <c r="P2574" s="5"/>
    </row>
    <row r="2575" spans="1:16" x14ac:dyDescent="0.35">
      <c r="A2575" s="4">
        <v>42585</v>
      </c>
      <c r="B2575" t="s">
        <v>30</v>
      </c>
      <c r="C2575">
        <v>113</v>
      </c>
      <c r="D2575">
        <v>4</v>
      </c>
      <c r="E2575">
        <v>1</v>
      </c>
      <c r="F2575" t="s">
        <v>315</v>
      </c>
      <c r="G2575" t="s">
        <v>32</v>
      </c>
      <c r="H2575" t="s">
        <v>33</v>
      </c>
      <c r="I2575" t="s">
        <v>59</v>
      </c>
      <c r="O2575" s="5"/>
      <c r="P2575" s="5"/>
    </row>
    <row r="2576" spans="1:16" x14ac:dyDescent="0.35">
      <c r="A2576" s="4">
        <v>42585</v>
      </c>
      <c r="B2576" t="s">
        <v>30</v>
      </c>
      <c r="C2576">
        <v>113</v>
      </c>
      <c r="D2576">
        <v>5</v>
      </c>
      <c r="E2576">
        <v>1</v>
      </c>
      <c r="F2576" t="s">
        <v>315</v>
      </c>
      <c r="G2576" t="s">
        <v>32</v>
      </c>
      <c r="H2576" t="s">
        <v>33</v>
      </c>
      <c r="I2576" t="s">
        <v>59</v>
      </c>
      <c r="O2576" s="5"/>
      <c r="P2576" s="5"/>
    </row>
    <row r="2577" spans="1:16" x14ac:dyDescent="0.35">
      <c r="A2577" s="4">
        <v>42585</v>
      </c>
      <c r="B2577" t="s">
        <v>30</v>
      </c>
      <c r="C2577">
        <v>113</v>
      </c>
      <c r="D2577">
        <v>5</v>
      </c>
      <c r="E2577">
        <v>2</v>
      </c>
      <c r="F2577" t="s">
        <v>315</v>
      </c>
      <c r="G2577" t="s">
        <v>32</v>
      </c>
      <c r="H2577" t="s">
        <v>33</v>
      </c>
      <c r="I2577" t="s">
        <v>59</v>
      </c>
      <c r="O2577" s="5"/>
      <c r="P2577" s="5"/>
    </row>
    <row r="2578" spans="1:16" x14ac:dyDescent="0.35">
      <c r="A2578" s="4">
        <v>42585</v>
      </c>
      <c r="B2578" t="s">
        <v>30</v>
      </c>
      <c r="C2578">
        <v>113</v>
      </c>
      <c r="D2578">
        <v>6</v>
      </c>
      <c r="E2578">
        <v>1</v>
      </c>
      <c r="F2578" t="s">
        <v>315</v>
      </c>
      <c r="G2578" t="s">
        <v>32</v>
      </c>
      <c r="H2578" t="s">
        <v>33</v>
      </c>
      <c r="I2578" t="s">
        <v>59</v>
      </c>
      <c r="O2578" s="5"/>
      <c r="P2578" s="5"/>
    </row>
    <row r="2579" spans="1:16" x14ac:dyDescent="0.35">
      <c r="A2579" s="4">
        <v>42585</v>
      </c>
      <c r="B2579" t="s">
        <v>30</v>
      </c>
      <c r="C2579">
        <v>113</v>
      </c>
      <c r="D2579">
        <v>6</v>
      </c>
      <c r="E2579">
        <v>2</v>
      </c>
      <c r="F2579" t="s">
        <v>315</v>
      </c>
      <c r="G2579" t="s">
        <v>32</v>
      </c>
      <c r="H2579" t="s">
        <v>33</v>
      </c>
      <c r="I2579" t="s">
        <v>59</v>
      </c>
      <c r="O2579" s="5"/>
      <c r="P2579" s="5"/>
    </row>
    <row r="2580" spans="1:16" x14ac:dyDescent="0.35">
      <c r="A2580" s="4">
        <v>42585</v>
      </c>
      <c r="B2580" t="s">
        <v>30</v>
      </c>
      <c r="C2580">
        <v>113</v>
      </c>
      <c r="D2580">
        <v>7</v>
      </c>
      <c r="E2580">
        <v>1</v>
      </c>
      <c r="F2580" t="s">
        <v>315</v>
      </c>
      <c r="G2580" t="s">
        <v>32</v>
      </c>
      <c r="H2580" t="s">
        <v>33</v>
      </c>
      <c r="I2580" t="s">
        <v>59</v>
      </c>
      <c r="O2580" s="5"/>
      <c r="P2580" s="5"/>
    </row>
    <row r="2581" spans="1:16" x14ac:dyDescent="0.35">
      <c r="A2581" s="4">
        <v>42585</v>
      </c>
      <c r="B2581" t="s">
        <v>30</v>
      </c>
      <c r="C2581">
        <v>113</v>
      </c>
      <c r="D2581">
        <v>8</v>
      </c>
      <c r="E2581">
        <v>1</v>
      </c>
      <c r="F2581" t="s">
        <v>315</v>
      </c>
      <c r="G2581" t="s">
        <v>32</v>
      </c>
      <c r="H2581" t="s">
        <v>33</v>
      </c>
      <c r="I2581" t="s">
        <v>59</v>
      </c>
      <c r="O2581" s="5"/>
      <c r="P2581" s="5"/>
    </row>
    <row r="2582" spans="1:16" x14ac:dyDescent="0.35">
      <c r="A2582" s="4">
        <v>42585</v>
      </c>
      <c r="B2582" t="s">
        <v>30</v>
      </c>
      <c r="C2582">
        <v>113</v>
      </c>
      <c r="D2582">
        <v>8</v>
      </c>
      <c r="E2582">
        <v>2</v>
      </c>
      <c r="F2582" t="s">
        <v>315</v>
      </c>
      <c r="G2582" t="s">
        <v>32</v>
      </c>
      <c r="H2582" t="s">
        <v>33</v>
      </c>
      <c r="I2582" t="s">
        <v>59</v>
      </c>
      <c r="O2582" s="5"/>
      <c r="P2582" s="5"/>
    </row>
    <row r="2583" spans="1:16" x14ac:dyDescent="0.35">
      <c r="A2583" s="4">
        <v>42585</v>
      </c>
      <c r="B2583" t="s">
        <v>30</v>
      </c>
      <c r="C2583">
        <v>113</v>
      </c>
      <c r="D2583">
        <v>9</v>
      </c>
      <c r="E2583">
        <v>1</v>
      </c>
      <c r="F2583" t="s">
        <v>315</v>
      </c>
      <c r="G2583" t="s">
        <v>32</v>
      </c>
      <c r="H2583" t="s">
        <v>33</v>
      </c>
      <c r="I2583" t="s">
        <v>59</v>
      </c>
      <c r="O2583" s="5"/>
      <c r="P2583" s="5"/>
    </row>
    <row r="2584" spans="1:16" x14ac:dyDescent="0.35">
      <c r="A2584" s="4">
        <v>42585</v>
      </c>
      <c r="B2584" t="s">
        <v>30</v>
      </c>
      <c r="C2584">
        <v>113</v>
      </c>
      <c r="D2584">
        <v>9</v>
      </c>
      <c r="E2584">
        <v>2</v>
      </c>
      <c r="F2584" t="s">
        <v>315</v>
      </c>
      <c r="G2584" t="s">
        <v>32</v>
      </c>
      <c r="H2584" t="s">
        <v>33</v>
      </c>
      <c r="I2584" t="s">
        <v>59</v>
      </c>
      <c r="O2584" s="5"/>
      <c r="P2584" s="5"/>
    </row>
    <row r="2585" spans="1:16" x14ac:dyDescent="0.35">
      <c r="A2585" s="4">
        <v>42585</v>
      </c>
      <c r="B2585" t="s">
        <v>30</v>
      </c>
      <c r="C2585">
        <v>402</v>
      </c>
      <c r="D2585">
        <v>3</v>
      </c>
      <c r="E2585">
        <v>1</v>
      </c>
      <c r="F2585" t="s">
        <v>315</v>
      </c>
      <c r="G2585" t="s">
        <v>32</v>
      </c>
      <c r="H2585" t="s">
        <v>33</v>
      </c>
      <c r="I2585" t="s">
        <v>59</v>
      </c>
      <c r="O2585" s="5"/>
      <c r="P2585" s="5"/>
    </row>
    <row r="2586" spans="1:16" x14ac:dyDescent="0.35">
      <c r="A2586" s="4">
        <v>42585</v>
      </c>
      <c r="B2586" t="s">
        <v>30</v>
      </c>
      <c r="C2586">
        <v>402</v>
      </c>
      <c r="D2586">
        <v>3</v>
      </c>
      <c r="E2586">
        <v>2</v>
      </c>
      <c r="F2586" t="s">
        <v>315</v>
      </c>
      <c r="G2586" t="s">
        <v>32</v>
      </c>
      <c r="H2586" t="s">
        <v>33</v>
      </c>
      <c r="I2586" t="s">
        <v>59</v>
      </c>
      <c r="O2586" s="5"/>
      <c r="P2586" s="5"/>
    </row>
    <row r="2587" spans="1:16" x14ac:dyDescent="0.35">
      <c r="A2587" s="4">
        <v>42585</v>
      </c>
      <c r="B2587" t="s">
        <v>30</v>
      </c>
      <c r="C2587">
        <v>402</v>
      </c>
      <c r="D2587">
        <v>4</v>
      </c>
      <c r="E2587">
        <v>1</v>
      </c>
      <c r="F2587" t="s">
        <v>315</v>
      </c>
      <c r="G2587" t="s">
        <v>32</v>
      </c>
      <c r="H2587" t="s">
        <v>33</v>
      </c>
      <c r="I2587" t="s">
        <v>59</v>
      </c>
      <c r="O2587" s="5"/>
      <c r="P2587" s="5"/>
    </row>
    <row r="2588" spans="1:16" x14ac:dyDescent="0.35">
      <c r="A2588" s="4">
        <v>42585</v>
      </c>
      <c r="B2588" t="s">
        <v>30</v>
      </c>
      <c r="C2588">
        <v>402</v>
      </c>
      <c r="D2588">
        <v>5</v>
      </c>
      <c r="E2588">
        <v>1</v>
      </c>
      <c r="F2588" t="s">
        <v>315</v>
      </c>
      <c r="G2588" t="s">
        <v>32</v>
      </c>
      <c r="H2588" t="s">
        <v>33</v>
      </c>
      <c r="I2588" t="s">
        <v>59</v>
      </c>
      <c r="O2588" s="5"/>
      <c r="P2588" s="5"/>
    </row>
    <row r="2589" spans="1:16" x14ac:dyDescent="0.35">
      <c r="A2589" s="4">
        <v>42585</v>
      </c>
      <c r="B2589" t="s">
        <v>30</v>
      </c>
      <c r="C2589">
        <v>402</v>
      </c>
      <c r="D2589">
        <v>5</v>
      </c>
      <c r="E2589">
        <v>2</v>
      </c>
      <c r="F2589" t="s">
        <v>315</v>
      </c>
      <c r="G2589" t="s">
        <v>32</v>
      </c>
      <c r="H2589" t="s">
        <v>33</v>
      </c>
      <c r="I2589" t="s">
        <v>59</v>
      </c>
      <c r="O2589" s="5"/>
      <c r="P2589" s="5"/>
    </row>
    <row r="2590" spans="1:16" x14ac:dyDescent="0.35">
      <c r="A2590" s="4">
        <v>42585</v>
      </c>
      <c r="B2590" t="s">
        <v>30</v>
      </c>
      <c r="C2590">
        <v>402</v>
      </c>
      <c r="D2590">
        <v>7</v>
      </c>
      <c r="E2590">
        <v>1</v>
      </c>
      <c r="F2590" t="s">
        <v>315</v>
      </c>
      <c r="G2590" t="s">
        <v>32</v>
      </c>
      <c r="H2590" t="s">
        <v>33</v>
      </c>
      <c r="I2590" t="s">
        <v>59</v>
      </c>
      <c r="O2590" s="5"/>
      <c r="P2590" s="5"/>
    </row>
    <row r="2591" spans="1:16" x14ac:dyDescent="0.35">
      <c r="A2591" s="4">
        <v>42585</v>
      </c>
      <c r="B2591" t="s">
        <v>30</v>
      </c>
      <c r="C2591">
        <v>402</v>
      </c>
      <c r="D2591">
        <v>8</v>
      </c>
      <c r="E2591">
        <v>1</v>
      </c>
      <c r="F2591" t="s">
        <v>315</v>
      </c>
      <c r="G2591" t="s">
        <v>32</v>
      </c>
      <c r="H2591" t="s">
        <v>33</v>
      </c>
      <c r="I2591" t="s">
        <v>59</v>
      </c>
      <c r="O2591" s="5"/>
      <c r="P2591" s="5"/>
    </row>
    <row r="2592" spans="1:16" x14ac:dyDescent="0.35">
      <c r="A2592" s="4">
        <v>42585</v>
      </c>
      <c r="B2592" t="s">
        <v>30</v>
      </c>
      <c r="C2592">
        <v>304</v>
      </c>
      <c r="D2592">
        <v>10</v>
      </c>
      <c r="E2592">
        <v>1</v>
      </c>
      <c r="F2592" t="s">
        <v>315</v>
      </c>
      <c r="G2592" t="s">
        <v>32</v>
      </c>
      <c r="H2592" t="s">
        <v>33</v>
      </c>
      <c r="I2592" t="s">
        <v>59</v>
      </c>
      <c r="O2592" s="5"/>
      <c r="P2592" s="5"/>
    </row>
    <row r="2593" spans="1:30" x14ac:dyDescent="0.35">
      <c r="A2593" s="4">
        <v>42585</v>
      </c>
      <c r="B2593" t="s">
        <v>30</v>
      </c>
      <c r="C2593">
        <v>304</v>
      </c>
      <c r="D2593">
        <v>7</v>
      </c>
      <c r="E2593">
        <v>1</v>
      </c>
      <c r="F2593" t="s">
        <v>315</v>
      </c>
      <c r="G2593" t="s">
        <v>32</v>
      </c>
      <c r="H2593" t="s">
        <v>33</v>
      </c>
      <c r="I2593" t="s">
        <v>59</v>
      </c>
      <c r="O2593" s="5"/>
      <c r="P2593" s="5"/>
    </row>
    <row r="2594" spans="1:30" x14ac:dyDescent="0.35">
      <c r="A2594" s="4">
        <v>42585</v>
      </c>
      <c r="B2594" t="s">
        <v>30</v>
      </c>
      <c r="C2594">
        <v>112</v>
      </c>
      <c r="D2594">
        <v>4</v>
      </c>
      <c r="E2594">
        <v>2</v>
      </c>
      <c r="F2594" t="s">
        <v>315</v>
      </c>
      <c r="G2594" t="s">
        <v>32</v>
      </c>
      <c r="H2594" t="s">
        <v>33</v>
      </c>
      <c r="I2594" t="s">
        <v>94</v>
      </c>
      <c r="J2594" t="s">
        <v>35</v>
      </c>
      <c r="K2594" t="s">
        <v>113</v>
      </c>
      <c r="L2594" t="s">
        <v>37</v>
      </c>
      <c r="M2594">
        <v>0</v>
      </c>
      <c r="N2594">
        <v>1</v>
      </c>
      <c r="O2594" s="5" t="s">
        <v>336</v>
      </c>
      <c r="P2594" s="5"/>
      <c r="Q2594">
        <f>20.5-4</f>
        <v>16.5</v>
      </c>
      <c r="R2594" t="s">
        <v>64</v>
      </c>
      <c r="T2594">
        <v>28</v>
      </c>
      <c r="W2594">
        <v>12.8</v>
      </c>
      <c r="Z2594" t="s">
        <v>102</v>
      </c>
      <c r="AA2594" t="s">
        <v>201</v>
      </c>
      <c r="AB2594" t="s">
        <v>60</v>
      </c>
      <c r="AC2594" t="s">
        <v>87</v>
      </c>
    </row>
    <row r="2595" spans="1:30" x14ac:dyDescent="0.35">
      <c r="A2595" s="4">
        <v>42585</v>
      </c>
      <c r="B2595" t="s">
        <v>30</v>
      </c>
      <c r="C2595">
        <v>112</v>
      </c>
      <c r="D2595">
        <v>2</v>
      </c>
      <c r="E2595">
        <v>2</v>
      </c>
      <c r="F2595" t="s">
        <v>315</v>
      </c>
      <c r="G2595" t="s">
        <v>32</v>
      </c>
      <c r="H2595" t="s">
        <v>33</v>
      </c>
      <c r="I2595" t="s">
        <v>94</v>
      </c>
      <c r="J2595" t="s">
        <v>35</v>
      </c>
      <c r="K2595" t="s">
        <v>36</v>
      </c>
      <c r="L2595" t="s">
        <v>37</v>
      </c>
      <c r="M2595">
        <v>0</v>
      </c>
      <c r="N2595">
        <v>1</v>
      </c>
      <c r="O2595" s="5" t="s">
        <v>349</v>
      </c>
      <c r="P2595" s="5"/>
      <c r="Q2595">
        <f>24-4.5</f>
        <v>19.5</v>
      </c>
      <c r="R2595" t="s">
        <v>38</v>
      </c>
      <c r="T2595">
        <v>29</v>
      </c>
      <c r="W2595">
        <v>13</v>
      </c>
      <c r="X2595">
        <v>25.5</v>
      </c>
      <c r="Z2595" t="s">
        <v>102</v>
      </c>
      <c r="AA2595" t="s">
        <v>201</v>
      </c>
      <c r="AB2595" t="s">
        <v>60</v>
      </c>
      <c r="AC2595" t="s">
        <v>87</v>
      </c>
    </row>
    <row r="2596" spans="1:30" x14ac:dyDescent="0.35">
      <c r="A2596" s="4">
        <v>42585</v>
      </c>
      <c r="B2596" t="s">
        <v>30</v>
      </c>
      <c r="C2596">
        <v>112</v>
      </c>
      <c r="D2596">
        <v>1</v>
      </c>
      <c r="E2596">
        <v>2</v>
      </c>
      <c r="F2596" t="s">
        <v>315</v>
      </c>
      <c r="G2596" t="s">
        <v>32</v>
      </c>
      <c r="H2596" t="s">
        <v>33</v>
      </c>
      <c r="I2596" t="s">
        <v>94</v>
      </c>
      <c r="J2596" t="s">
        <v>35</v>
      </c>
      <c r="K2596" t="s">
        <v>36</v>
      </c>
      <c r="L2596" t="s">
        <v>45</v>
      </c>
      <c r="M2596">
        <v>0</v>
      </c>
      <c r="N2596">
        <v>1</v>
      </c>
      <c r="O2596" s="5" t="s">
        <v>350</v>
      </c>
      <c r="P2596" s="5"/>
      <c r="Q2596">
        <f>28.5-5</f>
        <v>23.5</v>
      </c>
      <c r="R2596" t="s">
        <v>143</v>
      </c>
      <c r="S2596" t="s">
        <v>102</v>
      </c>
      <c r="T2596">
        <v>27</v>
      </c>
      <c r="W2596">
        <v>12.9</v>
      </c>
      <c r="X2596">
        <v>26.7</v>
      </c>
      <c r="Z2596" t="s">
        <v>39</v>
      </c>
      <c r="AB2596" t="s">
        <v>60</v>
      </c>
      <c r="AC2596" t="s">
        <v>87</v>
      </c>
    </row>
    <row r="2597" spans="1:30" x14ac:dyDescent="0.35">
      <c r="A2597" s="4">
        <v>42585</v>
      </c>
      <c r="B2597" t="s">
        <v>30</v>
      </c>
      <c r="C2597">
        <v>112</v>
      </c>
      <c r="D2597">
        <v>9</v>
      </c>
      <c r="E2597">
        <v>2</v>
      </c>
      <c r="F2597" t="s">
        <v>315</v>
      </c>
      <c r="G2597" t="s">
        <v>32</v>
      </c>
      <c r="H2597" t="s">
        <v>33</v>
      </c>
      <c r="I2597" t="s">
        <v>94</v>
      </c>
      <c r="J2597" t="s">
        <v>35</v>
      </c>
      <c r="K2597" t="s">
        <v>36</v>
      </c>
      <c r="L2597" t="s">
        <v>37</v>
      </c>
      <c r="M2597">
        <v>0</v>
      </c>
      <c r="N2597">
        <v>1</v>
      </c>
      <c r="O2597" s="5" t="s">
        <v>351</v>
      </c>
      <c r="P2597" s="5"/>
      <c r="Q2597">
        <f>22.5-4</f>
        <v>18.5</v>
      </c>
      <c r="R2597" t="s">
        <v>38</v>
      </c>
      <c r="T2597">
        <v>30</v>
      </c>
      <c r="W2597">
        <v>12.8</v>
      </c>
      <c r="X2597">
        <v>26.9</v>
      </c>
      <c r="Z2597" t="s">
        <v>102</v>
      </c>
      <c r="AA2597" t="s">
        <v>201</v>
      </c>
      <c r="AB2597" t="s">
        <v>60</v>
      </c>
      <c r="AC2597" t="s">
        <v>87</v>
      </c>
    </row>
    <row r="2598" spans="1:30" x14ac:dyDescent="0.35">
      <c r="A2598" s="4">
        <v>42585</v>
      </c>
      <c r="B2598" t="s">
        <v>30</v>
      </c>
      <c r="C2598">
        <v>203</v>
      </c>
      <c r="D2598">
        <v>1</v>
      </c>
      <c r="E2598">
        <v>2</v>
      </c>
      <c r="F2598" t="s">
        <v>42</v>
      </c>
      <c r="G2598" t="s">
        <v>32</v>
      </c>
      <c r="H2598" t="s">
        <v>33</v>
      </c>
      <c r="I2598" t="s">
        <v>94</v>
      </c>
      <c r="J2598" t="s">
        <v>44</v>
      </c>
      <c r="K2598" t="s">
        <v>36</v>
      </c>
      <c r="L2598" t="s">
        <v>45</v>
      </c>
      <c r="M2598">
        <v>0</v>
      </c>
      <c r="N2598">
        <v>0</v>
      </c>
      <c r="O2598" s="5" t="s">
        <v>168</v>
      </c>
      <c r="P2598" s="5">
        <v>50656</v>
      </c>
      <c r="Q2598">
        <f>36-12.5</f>
        <v>23.5</v>
      </c>
      <c r="R2598" t="s">
        <v>74</v>
      </c>
      <c r="S2598" t="s">
        <v>102</v>
      </c>
      <c r="T2598">
        <v>29</v>
      </c>
      <c r="W2598">
        <v>13.1</v>
      </c>
      <c r="X2598">
        <v>26.4</v>
      </c>
      <c r="Z2598" t="s">
        <v>39</v>
      </c>
      <c r="AB2598" t="s">
        <v>47</v>
      </c>
      <c r="AC2598" t="s">
        <v>41</v>
      </c>
    </row>
    <row r="2599" spans="1:30" x14ac:dyDescent="0.35">
      <c r="A2599" s="4">
        <v>42585</v>
      </c>
      <c r="B2599" t="s">
        <v>30</v>
      </c>
      <c r="C2599">
        <v>203</v>
      </c>
      <c r="D2599">
        <v>7</v>
      </c>
      <c r="E2599">
        <v>1</v>
      </c>
      <c r="F2599" t="s">
        <v>42</v>
      </c>
      <c r="G2599" t="s">
        <v>32</v>
      </c>
      <c r="H2599" t="s">
        <v>33</v>
      </c>
      <c r="I2599" t="s">
        <v>94</v>
      </c>
      <c r="J2599" t="s">
        <v>44</v>
      </c>
      <c r="K2599" t="s">
        <v>36</v>
      </c>
      <c r="L2599" t="s">
        <v>45</v>
      </c>
      <c r="M2599">
        <v>0</v>
      </c>
      <c r="N2599">
        <v>0</v>
      </c>
      <c r="O2599" s="5" t="s">
        <v>168</v>
      </c>
      <c r="P2599" s="5">
        <v>50838</v>
      </c>
      <c r="Q2599">
        <f>33.5-12</f>
        <v>21.5</v>
      </c>
      <c r="R2599" t="s">
        <v>74</v>
      </c>
      <c r="S2599" t="s">
        <v>102</v>
      </c>
      <c r="T2599">
        <v>29</v>
      </c>
      <c r="W2599">
        <v>12.5</v>
      </c>
      <c r="X2599">
        <v>25.1</v>
      </c>
      <c r="Z2599" t="s">
        <v>39</v>
      </c>
      <c r="AB2599" t="s">
        <v>47</v>
      </c>
      <c r="AC2599" t="s">
        <v>41</v>
      </c>
    </row>
    <row r="2600" spans="1:30" x14ac:dyDescent="0.35">
      <c r="A2600" s="4">
        <v>42586</v>
      </c>
      <c r="B2600" t="s">
        <v>30</v>
      </c>
      <c r="C2600">
        <v>202</v>
      </c>
      <c r="D2600">
        <v>10</v>
      </c>
      <c r="E2600">
        <v>1</v>
      </c>
      <c r="F2600" t="s">
        <v>42</v>
      </c>
      <c r="G2600" t="s">
        <v>32</v>
      </c>
      <c r="H2600" t="s">
        <v>33</v>
      </c>
      <c r="I2600" t="s">
        <v>43</v>
      </c>
      <c r="J2600" t="s">
        <v>35</v>
      </c>
      <c r="K2600" t="s">
        <v>113</v>
      </c>
      <c r="L2600" t="s">
        <v>37</v>
      </c>
      <c r="M2600">
        <v>0</v>
      </c>
      <c r="N2600">
        <v>1</v>
      </c>
      <c r="O2600" s="5" t="s">
        <v>352</v>
      </c>
      <c r="P2600" s="5" t="s">
        <v>353</v>
      </c>
      <c r="Q2600">
        <f>30.5-13</f>
        <v>17.5</v>
      </c>
      <c r="R2600" t="s">
        <v>64</v>
      </c>
      <c r="T2600">
        <v>17</v>
      </c>
      <c r="U2600">
        <v>85</v>
      </c>
      <c r="V2600">
        <v>15</v>
      </c>
      <c r="W2600">
        <v>13.3</v>
      </c>
      <c r="X2600">
        <v>27.3</v>
      </c>
      <c r="Z2600" t="s">
        <v>39</v>
      </c>
      <c r="AB2600" t="s">
        <v>47</v>
      </c>
      <c r="AC2600" t="s">
        <v>41</v>
      </c>
    </row>
    <row r="2601" spans="1:30" x14ac:dyDescent="0.35">
      <c r="A2601" s="4">
        <v>42586</v>
      </c>
      <c r="B2601" t="s">
        <v>30</v>
      </c>
      <c r="C2601">
        <v>202</v>
      </c>
      <c r="D2601">
        <v>3</v>
      </c>
      <c r="E2601">
        <v>1</v>
      </c>
      <c r="F2601" t="s">
        <v>42</v>
      </c>
      <c r="G2601" t="s">
        <v>32</v>
      </c>
      <c r="H2601" t="s">
        <v>33</v>
      </c>
      <c r="I2601" t="s">
        <v>43</v>
      </c>
      <c r="J2601" t="s">
        <v>35</v>
      </c>
      <c r="K2601" t="s">
        <v>113</v>
      </c>
      <c r="L2601" t="s">
        <v>37</v>
      </c>
      <c r="M2601">
        <v>0</v>
      </c>
      <c r="N2601">
        <v>1</v>
      </c>
      <c r="O2601" s="5" t="s">
        <v>354</v>
      </c>
      <c r="P2601" s="5" t="s">
        <v>355</v>
      </c>
      <c r="Q2601">
        <f>29-14</f>
        <v>15</v>
      </c>
      <c r="R2601" t="s">
        <v>64</v>
      </c>
      <c r="T2601">
        <v>19</v>
      </c>
      <c r="U2601">
        <v>26</v>
      </c>
      <c r="V2601">
        <v>20</v>
      </c>
      <c r="W2601">
        <v>13.5</v>
      </c>
      <c r="X2601">
        <v>29</v>
      </c>
      <c r="Z2601" t="s">
        <v>39</v>
      </c>
      <c r="AB2601" t="s">
        <v>47</v>
      </c>
      <c r="AC2601" t="s">
        <v>41</v>
      </c>
    </row>
    <row r="2602" spans="1:30" x14ac:dyDescent="0.35">
      <c r="A2602" s="4">
        <v>42586</v>
      </c>
      <c r="B2602" t="s">
        <v>30</v>
      </c>
      <c r="C2602">
        <v>203</v>
      </c>
      <c r="D2602">
        <v>10</v>
      </c>
      <c r="E2602">
        <v>1</v>
      </c>
      <c r="F2602" t="s">
        <v>42</v>
      </c>
      <c r="G2602" t="s">
        <v>32</v>
      </c>
      <c r="H2602" t="s">
        <v>33</v>
      </c>
      <c r="I2602" t="s">
        <v>43</v>
      </c>
      <c r="J2602" t="s">
        <v>35</v>
      </c>
      <c r="K2602" t="s">
        <v>88</v>
      </c>
      <c r="L2602" t="s">
        <v>37</v>
      </c>
      <c r="M2602">
        <v>0</v>
      </c>
      <c r="N2602">
        <v>1</v>
      </c>
      <c r="O2602" s="5" t="s">
        <v>356</v>
      </c>
      <c r="P2602" s="5" t="s">
        <v>357</v>
      </c>
      <c r="Q2602">
        <f>26.5-15.5</f>
        <v>11</v>
      </c>
      <c r="R2602" t="s">
        <v>64</v>
      </c>
      <c r="T2602">
        <v>17</v>
      </c>
      <c r="U2602">
        <v>63</v>
      </c>
      <c r="V2602">
        <v>14</v>
      </c>
      <c r="W2602">
        <v>11.5</v>
      </c>
      <c r="X2602">
        <v>24.7</v>
      </c>
      <c r="Z2602" t="s">
        <v>39</v>
      </c>
      <c r="AB2602" t="s">
        <v>47</v>
      </c>
      <c r="AC2602" t="s">
        <v>41</v>
      </c>
    </row>
    <row r="2603" spans="1:30" x14ac:dyDescent="0.35">
      <c r="A2603" s="4">
        <v>42586</v>
      </c>
      <c r="B2603" t="s">
        <v>30</v>
      </c>
      <c r="C2603">
        <v>203</v>
      </c>
      <c r="D2603">
        <v>8</v>
      </c>
      <c r="E2603">
        <v>1</v>
      </c>
      <c r="F2603" t="s">
        <v>42</v>
      </c>
      <c r="G2603" t="s">
        <v>32</v>
      </c>
      <c r="H2603" t="s">
        <v>33</v>
      </c>
      <c r="I2603" t="s">
        <v>43</v>
      </c>
      <c r="J2603" t="s">
        <v>35</v>
      </c>
      <c r="K2603" t="s">
        <v>88</v>
      </c>
      <c r="L2603" t="s">
        <v>45</v>
      </c>
      <c r="M2603">
        <v>0</v>
      </c>
      <c r="N2603">
        <v>1</v>
      </c>
      <c r="O2603" s="5" t="s">
        <v>358</v>
      </c>
      <c r="P2603" s="5" t="s">
        <v>359</v>
      </c>
      <c r="Q2603">
        <f>21-13</f>
        <v>8</v>
      </c>
      <c r="R2603" t="s">
        <v>46</v>
      </c>
      <c r="S2603" t="s">
        <v>39</v>
      </c>
      <c r="T2603">
        <v>16</v>
      </c>
      <c r="U2603">
        <v>64</v>
      </c>
      <c r="V2603">
        <v>13</v>
      </c>
      <c r="W2603">
        <v>11.6</v>
      </c>
      <c r="X2603">
        <v>23.8</v>
      </c>
      <c r="Y2603" t="s">
        <v>360</v>
      </c>
      <c r="Z2603" t="s">
        <v>39</v>
      </c>
      <c r="AB2603" t="s">
        <v>47</v>
      </c>
      <c r="AC2603" t="s">
        <v>41</v>
      </c>
    </row>
    <row r="2604" spans="1:30" x14ac:dyDescent="0.35">
      <c r="A2604" s="4">
        <v>42586</v>
      </c>
      <c r="B2604" t="s">
        <v>30</v>
      </c>
      <c r="C2604">
        <v>203</v>
      </c>
      <c r="D2604">
        <v>3</v>
      </c>
      <c r="E2604">
        <v>1</v>
      </c>
      <c r="F2604" t="s">
        <v>42</v>
      </c>
      <c r="G2604" t="s">
        <v>32</v>
      </c>
      <c r="H2604" t="s">
        <v>33</v>
      </c>
      <c r="I2604" t="s">
        <v>43</v>
      </c>
      <c r="J2604" t="s">
        <v>35</v>
      </c>
      <c r="K2604" t="s">
        <v>113</v>
      </c>
      <c r="L2604" t="s">
        <v>37</v>
      </c>
      <c r="M2604">
        <v>0</v>
      </c>
      <c r="N2604">
        <v>1</v>
      </c>
      <c r="O2604" s="5" t="s">
        <v>361</v>
      </c>
      <c r="P2604" s="5" t="s">
        <v>362</v>
      </c>
      <c r="Q2604">
        <f>29.5-13</f>
        <v>16.5</v>
      </c>
      <c r="R2604" t="s">
        <v>38</v>
      </c>
      <c r="T2604">
        <v>17</v>
      </c>
      <c r="U2604">
        <v>85</v>
      </c>
      <c r="V2604">
        <v>15</v>
      </c>
      <c r="W2604">
        <v>13</v>
      </c>
      <c r="X2604">
        <v>25.3</v>
      </c>
      <c r="Z2604" t="s">
        <v>39</v>
      </c>
      <c r="AB2604" t="s">
        <v>47</v>
      </c>
      <c r="AC2604" t="s">
        <v>41</v>
      </c>
    </row>
    <row r="2605" spans="1:30" x14ac:dyDescent="0.35">
      <c r="A2605" s="4">
        <v>42586</v>
      </c>
      <c r="B2605" t="s">
        <v>30</v>
      </c>
      <c r="C2605">
        <v>203</v>
      </c>
      <c r="D2605">
        <v>2</v>
      </c>
      <c r="E2605">
        <v>1</v>
      </c>
      <c r="F2605" t="s">
        <v>42</v>
      </c>
      <c r="G2605" t="s">
        <v>32</v>
      </c>
      <c r="H2605" t="s">
        <v>33</v>
      </c>
      <c r="I2605" t="s">
        <v>43</v>
      </c>
      <c r="J2605" t="s">
        <v>35</v>
      </c>
      <c r="K2605" t="s">
        <v>113</v>
      </c>
      <c r="L2605" t="s">
        <v>45</v>
      </c>
      <c r="M2605">
        <v>0</v>
      </c>
      <c r="N2605">
        <v>1</v>
      </c>
      <c r="O2605" s="5" t="s">
        <v>363</v>
      </c>
      <c r="P2605" s="5" t="s">
        <v>364</v>
      </c>
      <c r="Q2605">
        <f>27-13.5</f>
        <v>13.5</v>
      </c>
      <c r="R2605" t="s">
        <v>46</v>
      </c>
      <c r="S2605" t="s">
        <v>39</v>
      </c>
      <c r="T2605">
        <v>18</v>
      </c>
      <c r="U2605">
        <v>75</v>
      </c>
      <c r="V2605">
        <v>15</v>
      </c>
      <c r="W2605">
        <v>12.9</v>
      </c>
      <c r="X2605">
        <v>24.6</v>
      </c>
      <c r="Z2605" t="s">
        <v>39</v>
      </c>
      <c r="AB2605" t="s">
        <v>47</v>
      </c>
      <c r="AC2605" t="s">
        <v>41</v>
      </c>
    </row>
    <row r="2606" spans="1:30" x14ac:dyDescent="0.35">
      <c r="A2606" s="4">
        <v>42586</v>
      </c>
      <c r="B2606" t="s">
        <v>30</v>
      </c>
      <c r="C2606">
        <v>201</v>
      </c>
      <c r="D2606">
        <v>5</v>
      </c>
      <c r="E2606">
        <v>1</v>
      </c>
      <c r="F2606" t="s">
        <v>42</v>
      </c>
      <c r="G2606" t="s">
        <v>32</v>
      </c>
      <c r="H2606" t="s">
        <v>33</v>
      </c>
      <c r="I2606" t="s">
        <v>43</v>
      </c>
      <c r="J2606" t="s">
        <v>35</v>
      </c>
      <c r="K2606" t="s">
        <v>88</v>
      </c>
      <c r="L2606" t="s">
        <v>37</v>
      </c>
      <c r="M2606">
        <v>0</v>
      </c>
      <c r="N2606">
        <v>1</v>
      </c>
      <c r="O2606" s="5" t="s">
        <v>365</v>
      </c>
      <c r="P2606" s="5" t="s">
        <v>366</v>
      </c>
      <c r="Q2606">
        <f>27-13</f>
        <v>14</v>
      </c>
      <c r="R2606" t="s">
        <v>64</v>
      </c>
      <c r="T2606">
        <v>17.5</v>
      </c>
      <c r="U2606">
        <v>92</v>
      </c>
      <c r="V2606">
        <v>16.5</v>
      </c>
      <c r="W2606">
        <v>12.7</v>
      </c>
      <c r="X2606">
        <v>27.2</v>
      </c>
      <c r="Z2606" t="s">
        <v>39</v>
      </c>
      <c r="AB2606" t="s">
        <v>47</v>
      </c>
      <c r="AC2606" t="s">
        <v>41</v>
      </c>
      <c r="AD2606" t="s">
        <v>367</v>
      </c>
    </row>
    <row r="2607" spans="1:30" x14ac:dyDescent="0.35">
      <c r="A2607" s="4">
        <v>42586</v>
      </c>
      <c r="B2607" t="s">
        <v>30</v>
      </c>
      <c r="C2607">
        <v>201</v>
      </c>
      <c r="D2607">
        <v>5</v>
      </c>
      <c r="E2607">
        <v>1</v>
      </c>
      <c r="F2607" t="s">
        <v>42</v>
      </c>
      <c r="G2607" t="s">
        <v>32</v>
      </c>
      <c r="H2607" t="s">
        <v>33</v>
      </c>
      <c r="I2607" t="s">
        <v>43</v>
      </c>
      <c r="J2607" t="s">
        <v>35</v>
      </c>
      <c r="K2607" t="s">
        <v>88</v>
      </c>
      <c r="L2607" t="s">
        <v>45</v>
      </c>
      <c r="M2607">
        <v>0</v>
      </c>
      <c r="N2607">
        <v>1</v>
      </c>
      <c r="O2607" s="5" t="s">
        <v>368</v>
      </c>
      <c r="P2607" s="5" t="s">
        <v>369</v>
      </c>
      <c r="Q2607">
        <f>27-13</f>
        <v>14</v>
      </c>
      <c r="R2607" t="s">
        <v>46</v>
      </c>
      <c r="S2607" t="s">
        <v>39</v>
      </c>
      <c r="T2607">
        <v>17</v>
      </c>
      <c r="U2607">
        <v>86</v>
      </c>
      <c r="V2607">
        <v>17</v>
      </c>
      <c r="W2607">
        <v>13.1</v>
      </c>
      <c r="X2607">
        <v>25.8</v>
      </c>
      <c r="Z2607" t="s">
        <v>39</v>
      </c>
      <c r="AB2607" t="s">
        <v>47</v>
      </c>
      <c r="AC2607" t="s">
        <v>41</v>
      </c>
      <c r="AD2607" t="s">
        <v>367</v>
      </c>
    </row>
    <row r="2608" spans="1:30" x14ac:dyDescent="0.35">
      <c r="A2608" s="4">
        <v>42586</v>
      </c>
      <c r="B2608" t="s">
        <v>30</v>
      </c>
      <c r="C2608">
        <v>304</v>
      </c>
      <c r="D2608">
        <v>5</v>
      </c>
      <c r="E2608">
        <v>1</v>
      </c>
      <c r="F2608" t="s">
        <v>315</v>
      </c>
      <c r="G2608" t="s">
        <v>32</v>
      </c>
      <c r="H2608" t="s">
        <v>33</v>
      </c>
      <c r="I2608" t="s">
        <v>43</v>
      </c>
      <c r="J2608" t="s">
        <v>44</v>
      </c>
      <c r="K2608" t="s">
        <v>88</v>
      </c>
      <c r="L2608" t="s">
        <v>45</v>
      </c>
      <c r="M2608">
        <v>0</v>
      </c>
      <c r="N2608">
        <v>0</v>
      </c>
      <c r="O2608" s="5" t="s">
        <v>311</v>
      </c>
      <c r="P2608" s="5" t="s">
        <v>312</v>
      </c>
      <c r="Q2608">
        <f>30-16</f>
        <v>14</v>
      </c>
      <c r="R2608" t="s">
        <v>46</v>
      </c>
      <c r="S2608" t="s">
        <v>39</v>
      </c>
      <c r="Z2608" t="s">
        <v>39</v>
      </c>
      <c r="AB2608" t="s">
        <v>60</v>
      </c>
      <c r="AC2608" t="s">
        <v>87</v>
      </c>
      <c r="AD2608" t="s">
        <v>370</v>
      </c>
    </row>
    <row r="2609" spans="1:30" x14ac:dyDescent="0.35">
      <c r="A2609" s="4">
        <v>42586</v>
      </c>
      <c r="B2609" t="s">
        <v>30</v>
      </c>
      <c r="C2609">
        <v>111</v>
      </c>
      <c r="D2609">
        <v>2</v>
      </c>
      <c r="E2609">
        <v>2</v>
      </c>
      <c r="F2609" t="s">
        <v>315</v>
      </c>
      <c r="G2609" t="s">
        <v>32</v>
      </c>
      <c r="H2609" t="s">
        <v>33</v>
      </c>
      <c r="I2609" t="s">
        <v>43</v>
      </c>
      <c r="J2609" t="s">
        <v>35</v>
      </c>
      <c r="K2609" t="s">
        <v>113</v>
      </c>
      <c r="L2609" t="s">
        <v>37</v>
      </c>
      <c r="M2609">
        <v>0</v>
      </c>
      <c r="N2609">
        <v>1</v>
      </c>
      <c r="O2609" s="5" t="s">
        <v>371</v>
      </c>
      <c r="P2609" s="5" t="s">
        <v>372</v>
      </c>
      <c r="Q2609">
        <f>30-13</f>
        <v>17</v>
      </c>
      <c r="R2609" t="s">
        <v>38</v>
      </c>
      <c r="T2609">
        <v>19</v>
      </c>
      <c r="U2609">
        <v>90</v>
      </c>
      <c r="V2609">
        <v>16</v>
      </c>
      <c r="W2609">
        <v>12.9</v>
      </c>
      <c r="X2609">
        <v>27.2</v>
      </c>
      <c r="Z2609" t="s">
        <v>102</v>
      </c>
      <c r="AA2609" t="s">
        <v>201</v>
      </c>
      <c r="AB2609" t="s">
        <v>60</v>
      </c>
      <c r="AC2609" t="s">
        <v>87</v>
      </c>
    </row>
    <row r="2610" spans="1:30" x14ac:dyDescent="0.35">
      <c r="A2610" s="4">
        <v>42586</v>
      </c>
      <c r="B2610" t="s">
        <v>30</v>
      </c>
      <c r="C2610">
        <v>111</v>
      </c>
      <c r="D2610">
        <v>2</v>
      </c>
      <c r="E2610">
        <v>1</v>
      </c>
      <c r="F2610" t="s">
        <v>315</v>
      </c>
      <c r="G2610" t="s">
        <v>32</v>
      </c>
      <c r="H2610" t="s">
        <v>33</v>
      </c>
      <c r="I2610" t="s">
        <v>43</v>
      </c>
      <c r="J2610" t="s">
        <v>35</v>
      </c>
      <c r="K2610" t="s">
        <v>36</v>
      </c>
      <c r="L2610" t="s">
        <v>37</v>
      </c>
      <c r="M2610">
        <v>0</v>
      </c>
      <c r="N2610">
        <v>1</v>
      </c>
      <c r="O2610" s="5" t="s">
        <v>373</v>
      </c>
      <c r="P2610" s="5" t="s">
        <v>374</v>
      </c>
      <c r="Q2610">
        <f>38-17</f>
        <v>21</v>
      </c>
      <c r="R2610" t="s">
        <v>38</v>
      </c>
      <c r="T2610">
        <v>18</v>
      </c>
      <c r="U2610">
        <v>95</v>
      </c>
      <c r="V2610">
        <v>17</v>
      </c>
      <c r="W2610">
        <v>12.9</v>
      </c>
      <c r="X2610">
        <v>26.8</v>
      </c>
      <c r="Z2610" t="s">
        <v>39</v>
      </c>
      <c r="AB2610" t="s">
        <v>47</v>
      </c>
      <c r="AC2610" t="s">
        <v>41</v>
      </c>
      <c r="AD2610" t="s">
        <v>375</v>
      </c>
    </row>
    <row r="2611" spans="1:30" x14ac:dyDescent="0.35">
      <c r="A2611" s="4">
        <v>42586</v>
      </c>
      <c r="B2611" t="s">
        <v>30</v>
      </c>
      <c r="C2611">
        <v>304</v>
      </c>
      <c r="D2611">
        <v>2</v>
      </c>
      <c r="E2611">
        <v>2</v>
      </c>
      <c r="F2611" t="s">
        <v>42</v>
      </c>
      <c r="G2611" t="s">
        <v>32</v>
      </c>
      <c r="H2611" t="s">
        <v>33</v>
      </c>
      <c r="I2611" t="s">
        <v>43</v>
      </c>
      <c r="J2611" t="s">
        <v>44</v>
      </c>
      <c r="K2611" t="s">
        <v>113</v>
      </c>
      <c r="L2611" t="s">
        <v>37</v>
      </c>
      <c r="M2611">
        <v>0</v>
      </c>
      <c r="N2611">
        <v>0</v>
      </c>
      <c r="O2611" s="5" t="s">
        <v>316</v>
      </c>
      <c r="P2611" s="5" t="s">
        <v>317</v>
      </c>
      <c r="Q2611">
        <f>29.5-14</f>
        <v>15.5</v>
      </c>
      <c r="R2611" t="s">
        <v>64</v>
      </c>
      <c r="AB2611" t="s">
        <v>47</v>
      </c>
      <c r="AC2611" t="s">
        <v>41</v>
      </c>
      <c r="AD2611" t="s">
        <v>376</v>
      </c>
    </row>
    <row r="2612" spans="1:30" x14ac:dyDescent="0.35">
      <c r="A2612" s="4">
        <v>42586</v>
      </c>
      <c r="B2612" t="s">
        <v>30</v>
      </c>
      <c r="C2612">
        <v>304</v>
      </c>
      <c r="D2612">
        <v>3</v>
      </c>
      <c r="E2612">
        <v>1</v>
      </c>
      <c r="F2612" t="s">
        <v>315</v>
      </c>
      <c r="G2612" t="s">
        <v>32</v>
      </c>
      <c r="H2612" t="s">
        <v>33</v>
      </c>
      <c r="I2612" t="s">
        <v>43</v>
      </c>
      <c r="J2612" t="s">
        <v>44</v>
      </c>
      <c r="K2612" t="s">
        <v>113</v>
      </c>
      <c r="L2612" t="s">
        <v>45</v>
      </c>
      <c r="M2612">
        <v>0</v>
      </c>
      <c r="N2612">
        <v>0</v>
      </c>
      <c r="O2612" s="5" t="s">
        <v>318</v>
      </c>
      <c r="P2612" s="5" t="s">
        <v>319</v>
      </c>
      <c r="Q2612">
        <f>33-17.5</f>
        <v>15.5</v>
      </c>
      <c r="R2612" t="s">
        <v>46</v>
      </c>
      <c r="S2612" t="s">
        <v>39</v>
      </c>
      <c r="T2612">
        <v>19.5</v>
      </c>
      <c r="U2612">
        <v>78</v>
      </c>
      <c r="Z2612" t="s">
        <v>102</v>
      </c>
      <c r="AA2612" t="s">
        <v>201</v>
      </c>
      <c r="AB2612" t="s">
        <v>60</v>
      </c>
      <c r="AC2612" t="s">
        <v>87</v>
      </c>
      <c r="AD2612" t="s">
        <v>370</v>
      </c>
    </row>
    <row r="2613" spans="1:30" x14ac:dyDescent="0.35">
      <c r="A2613" s="4">
        <v>42586</v>
      </c>
      <c r="B2613" t="s">
        <v>30</v>
      </c>
      <c r="C2613">
        <v>304</v>
      </c>
      <c r="D2613">
        <v>9</v>
      </c>
      <c r="E2613">
        <v>2</v>
      </c>
      <c r="F2613" t="s">
        <v>315</v>
      </c>
      <c r="G2613" t="s">
        <v>32</v>
      </c>
      <c r="H2613" t="s">
        <v>33</v>
      </c>
      <c r="I2613" t="s">
        <v>43</v>
      </c>
      <c r="J2613" t="s">
        <v>44</v>
      </c>
      <c r="K2613" t="s">
        <v>88</v>
      </c>
      <c r="L2613" t="s">
        <v>45</v>
      </c>
      <c r="M2613">
        <v>0</v>
      </c>
      <c r="N2613">
        <v>0</v>
      </c>
      <c r="O2613" s="5" t="s">
        <v>321</v>
      </c>
      <c r="P2613" s="5" t="s">
        <v>322</v>
      </c>
      <c r="Q2613">
        <f>29.5-17</f>
        <v>12.5</v>
      </c>
      <c r="R2613" t="s">
        <v>46</v>
      </c>
      <c r="S2613" t="s">
        <v>39</v>
      </c>
      <c r="T2613">
        <v>21</v>
      </c>
      <c r="U2613">
        <v>79</v>
      </c>
      <c r="V2613">
        <v>15</v>
      </c>
      <c r="W2613">
        <v>12.9</v>
      </c>
      <c r="X2613">
        <v>27.6</v>
      </c>
      <c r="Z2613" t="s">
        <v>39</v>
      </c>
      <c r="AB2613" t="s">
        <v>60</v>
      </c>
      <c r="AC2613" t="s">
        <v>87</v>
      </c>
    </row>
    <row r="2614" spans="1:30" x14ac:dyDescent="0.35">
      <c r="A2614" s="4">
        <v>42586</v>
      </c>
      <c r="B2614" t="s">
        <v>30</v>
      </c>
      <c r="C2614">
        <v>112</v>
      </c>
      <c r="D2614">
        <v>6</v>
      </c>
      <c r="E2614">
        <v>1</v>
      </c>
      <c r="F2614" t="s">
        <v>315</v>
      </c>
      <c r="G2614" t="s">
        <v>32</v>
      </c>
      <c r="H2614" t="s">
        <v>33</v>
      </c>
      <c r="I2614" t="s">
        <v>43</v>
      </c>
      <c r="J2614" t="s">
        <v>44</v>
      </c>
      <c r="K2614" t="s">
        <v>88</v>
      </c>
      <c r="L2614" t="s">
        <v>37</v>
      </c>
      <c r="M2614">
        <v>0</v>
      </c>
      <c r="N2614">
        <v>0</v>
      </c>
      <c r="O2614" s="5" t="s">
        <v>323</v>
      </c>
      <c r="P2614" s="5" t="s">
        <v>324</v>
      </c>
      <c r="Q2614">
        <f>28-15</f>
        <v>13</v>
      </c>
      <c r="R2614" t="s">
        <v>64</v>
      </c>
      <c r="T2614">
        <v>18</v>
      </c>
      <c r="U2614">
        <v>89</v>
      </c>
      <c r="V2614">
        <v>15</v>
      </c>
      <c r="W2614">
        <v>12.7</v>
      </c>
      <c r="X2614">
        <v>26.9</v>
      </c>
      <c r="Z2614" t="s">
        <v>102</v>
      </c>
      <c r="AA2614" t="s">
        <v>201</v>
      </c>
      <c r="AB2614" t="s">
        <v>60</v>
      </c>
      <c r="AC2614" t="s">
        <v>87</v>
      </c>
    </row>
    <row r="2615" spans="1:30" x14ac:dyDescent="0.35">
      <c r="A2615" s="4">
        <v>42586</v>
      </c>
      <c r="B2615" t="s">
        <v>30</v>
      </c>
      <c r="C2615">
        <v>304</v>
      </c>
      <c r="D2615">
        <v>7</v>
      </c>
      <c r="E2615">
        <v>1</v>
      </c>
      <c r="F2615" t="s">
        <v>315</v>
      </c>
      <c r="G2615" t="s">
        <v>32</v>
      </c>
      <c r="H2615" t="s">
        <v>33</v>
      </c>
      <c r="I2615" t="s">
        <v>43</v>
      </c>
      <c r="J2615" t="s">
        <v>35</v>
      </c>
      <c r="K2615" t="s">
        <v>36</v>
      </c>
      <c r="L2615" t="s">
        <v>37</v>
      </c>
      <c r="M2615">
        <v>0</v>
      </c>
      <c r="N2615">
        <v>1</v>
      </c>
      <c r="O2615" s="5" t="s">
        <v>377</v>
      </c>
      <c r="P2615" s="5" t="s">
        <v>378</v>
      </c>
      <c r="Q2615">
        <f>35-14.5</f>
        <v>20.5</v>
      </c>
      <c r="R2615" t="s">
        <v>38</v>
      </c>
      <c r="Z2615" t="s">
        <v>102</v>
      </c>
      <c r="AA2615" t="s">
        <v>201</v>
      </c>
      <c r="AB2615" t="s">
        <v>60</v>
      </c>
      <c r="AC2615" t="s">
        <v>87</v>
      </c>
    </row>
    <row r="2616" spans="1:30" x14ac:dyDescent="0.35">
      <c r="A2616" s="4">
        <v>42586</v>
      </c>
      <c r="B2616" t="s">
        <v>30</v>
      </c>
      <c r="C2616">
        <v>113</v>
      </c>
      <c r="D2616">
        <v>10</v>
      </c>
      <c r="E2616">
        <v>1</v>
      </c>
      <c r="F2616" t="s">
        <v>315</v>
      </c>
      <c r="G2616" t="s">
        <v>32</v>
      </c>
      <c r="H2616" t="s">
        <v>33</v>
      </c>
      <c r="I2616" t="s">
        <v>43</v>
      </c>
      <c r="J2616" t="s">
        <v>44</v>
      </c>
      <c r="K2616" t="s">
        <v>88</v>
      </c>
      <c r="L2616" t="s">
        <v>45</v>
      </c>
      <c r="M2616">
        <v>0</v>
      </c>
      <c r="N2616">
        <v>0</v>
      </c>
      <c r="O2616" s="5" t="s">
        <v>379</v>
      </c>
      <c r="P2616" s="5" t="s">
        <v>380</v>
      </c>
      <c r="Q2616">
        <f>30-17</f>
        <v>13</v>
      </c>
      <c r="R2616" t="s">
        <v>46</v>
      </c>
      <c r="S2616" t="s">
        <v>39</v>
      </c>
      <c r="T2616">
        <v>18</v>
      </c>
      <c r="U2616">
        <v>75</v>
      </c>
      <c r="V2616">
        <v>14</v>
      </c>
      <c r="W2616">
        <v>12.7</v>
      </c>
      <c r="X2616">
        <v>25.7</v>
      </c>
      <c r="Y2616" t="s">
        <v>381</v>
      </c>
      <c r="Z2616" t="s">
        <v>39</v>
      </c>
      <c r="AB2616" t="s">
        <v>60</v>
      </c>
      <c r="AC2616" t="s">
        <v>87</v>
      </c>
      <c r="AD2616" t="s">
        <v>382</v>
      </c>
    </row>
    <row r="2617" spans="1:30" x14ac:dyDescent="0.35">
      <c r="A2617" s="4">
        <v>42586</v>
      </c>
      <c r="B2617" t="s">
        <v>30</v>
      </c>
      <c r="C2617">
        <v>113</v>
      </c>
      <c r="D2617">
        <v>4</v>
      </c>
      <c r="E2617">
        <v>2</v>
      </c>
      <c r="F2617" t="s">
        <v>315</v>
      </c>
      <c r="G2617" t="s">
        <v>32</v>
      </c>
      <c r="H2617" t="s">
        <v>33</v>
      </c>
      <c r="I2617" t="s">
        <v>43</v>
      </c>
      <c r="J2617" t="s">
        <v>35</v>
      </c>
      <c r="K2617" t="s">
        <v>113</v>
      </c>
      <c r="L2617" t="s">
        <v>37</v>
      </c>
      <c r="M2617">
        <v>0</v>
      </c>
      <c r="N2617">
        <v>1</v>
      </c>
      <c r="O2617" s="5" t="s">
        <v>383</v>
      </c>
      <c r="P2617" s="5" t="s">
        <v>384</v>
      </c>
      <c r="Q2617">
        <f>36.5-20</f>
        <v>16.5</v>
      </c>
      <c r="R2617" t="s">
        <v>64</v>
      </c>
      <c r="T2617">
        <v>20</v>
      </c>
      <c r="U2617">
        <v>88</v>
      </c>
      <c r="V2617">
        <v>16</v>
      </c>
      <c r="W2617">
        <v>12.7</v>
      </c>
      <c r="X2617">
        <v>26.6</v>
      </c>
      <c r="Z2617" t="s">
        <v>39</v>
      </c>
      <c r="AB2617" t="s">
        <v>60</v>
      </c>
      <c r="AC2617" t="s">
        <v>87</v>
      </c>
    </row>
    <row r="2618" spans="1:30" x14ac:dyDescent="0.35">
      <c r="A2618" s="4">
        <v>42586</v>
      </c>
      <c r="B2618" t="s">
        <v>30</v>
      </c>
      <c r="C2618">
        <v>113</v>
      </c>
      <c r="D2618">
        <v>3</v>
      </c>
      <c r="E2618">
        <v>2</v>
      </c>
      <c r="F2618" t="s">
        <v>315</v>
      </c>
      <c r="G2618" t="s">
        <v>32</v>
      </c>
      <c r="H2618" t="s">
        <v>33</v>
      </c>
      <c r="I2618" t="s">
        <v>43</v>
      </c>
      <c r="J2618" t="s">
        <v>35</v>
      </c>
      <c r="K2618" t="s">
        <v>36</v>
      </c>
      <c r="L2618" t="s">
        <v>45</v>
      </c>
      <c r="M2618">
        <v>0</v>
      </c>
      <c r="N2618">
        <v>1</v>
      </c>
      <c r="O2618" s="5" t="s">
        <v>385</v>
      </c>
      <c r="P2618" s="5" t="s">
        <v>386</v>
      </c>
      <c r="Q2618">
        <f>31-13</f>
        <v>18</v>
      </c>
      <c r="R2618" t="s">
        <v>161</v>
      </c>
      <c r="S2618" t="s">
        <v>102</v>
      </c>
      <c r="T2618">
        <v>19</v>
      </c>
      <c r="U2618">
        <v>90</v>
      </c>
      <c r="V2618">
        <v>16</v>
      </c>
      <c r="W2618">
        <v>12.9</v>
      </c>
      <c r="X2618">
        <v>27.4</v>
      </c>
      <c r="Z2618" t="s">
        <v>39</v>
      </c>
      <c r="AB2618" t="s">
        <v>60</v>
      </c>
      <c r="AC2618" t="s">
        <v>87</v>
      </c>
    </row>
    <row r="2619" spans="1:30" x14ac:dyDescent="0.35">
      <c r="A2619" s="4">
        <v>42586</v>
      </c>
      <c r="B2619" t="s">
        <v>30</v>
      </c>
      <c r="C2619">
        <v>113</v>
      </c>
      <c r="D2619">
        <v>1</v>
      </c>
      <c r="E2619">
        <v>1</v>
      </c>
      <c r="F2619" t="s">
        <v>315</v>
      </c>
      <c r="G2619" t="s">
        <v>32</v>
      </c>
      <c r="H2619" t="s">
        <v>33</v>
      </c>
      <c r="I2619" t="s">
        <v>43</v>
      </c>
      <c r="J2619" t="s">
        <v>35</v>
      </c>
      <c r="K2619" t="s">
        <v>88</v>
      </c>
      <c r="L2619" t="s">
        <v>45</v>
      </c>
      <c r="M2619">
        <v>0</v>
      </c>
      <c r="N2619">
        <v>1</v>
      </c>
      <c r="O2619" s="5" t="s">
        <v>387</v>
      </c>
      <c r="P2619" s="5" t="s">
        <v>388</v>
      </c>
      <c r="Q2619">
        <f>31-21</f>
        <v>10</v>
      </c>
      <c r="R2619" t="s">
        <v>46</v>
      </c>
      <c r="S2619" t="s">
        <v>39</v>
      </c>
      <c r="T2619">
        <v>18</v>
      </c>
      <c r="U2619">
        <v>81</v>
      </c>
      <c r="V2619">
        <v>15</v>
      </c>
      <c r="W2619">
        <v>12.7</v>
      </c>
      <c r="X2619">
        <v>24.6</v>
      </c>
      <c r="Z2619" t="s">
        <v>102</v>
      </c>
      <c r="AA2619" t="s">
        <v>201</v>
      </c>
      <c r="AB2619" t="s">
        <v>60</v>
      </c>
      <c r="AC2619" t="s">
        <v>87</v>
      </c>
    </row>
    <row r="2620" spans="1:30" x14ac:dyDescent="0.35">
      <c r="A2620" s="4">
        <v>42586</v>
      </c>
      <c r="B2620" t="s">
        <v>30</v>
      </c>
      <c r="C2620">
        <v>112</v>
      </c>
      <c r="D2620">
        <v>8</v>
      </c>
      <c r="E2620">
        <v>1</v>
      </c>
      <c r="F2620" t="s">
        <v>315</v>
      </c>
      <c r="G2620" t="s">
        <v>32</v>
      </c>
      <c r="H2620" t="s">
        <v>33</v>
      </c>
      <c r="I2620" t="s">
        <v>43</v>
      </c>
      <c r="J2620" t="s">
        <v>35</v>
      </c>
      <c r="K2620" t="s">
        <v>88</v>
      </c>
      <c r="L2620" t="s">
        <v>45</v>
      </c>
      <c r="M2620">
        <v>0</v>
      </c>
      <c r="N2620">
        <v>1</v>
      </c>
      <c r="O2620" s="5" t="s">
        <v>389</v>
      </c>
      <c r="P2620" s="5" t="s">
        <v>390</v>
      </c>
      <c r="Q2620">
        <f>24.5-13.5</f>
        <v>11</v>
      </c>
      <c r="R2620" t="s">
        <v>46</v>
      </c>
      <c r="S2620" t="s">
        <v>39</v>
      </c>
      <c r="T2620">
        <v>17</v>
      </c>
      <c r="U2620">
        <v>72</v>
      </c>
      <c r="V2620">
        <v>16</v>
      </c>
      <c r="W2620">
        <v>12.5</v>
      </c>
      <c r="X2620">
        <v>24.6</v>
      </c>
      <c r="Z2620" t="s">
        <v>39</v>
      </c>
      <c r="AB2620" t="s">
        <v>60</v>
      </c>
      <c r="AC2620" t="s">
        <v>87</v>
      </c>
    </row>
    <row r="2621" spans="1:30" x14ac:dyDescent="0.35">
      <c r="A2621" s="4">
        <v>42586</v>
      </c>
      <c r="B2621" t="s">
        <v>30</v>
      </c>
      <c r="C2621">
        <v>112</v>
      </c>
      <c r="D2621">
        <v>4</v>
      </c>
      <c r="E2621">
        <v>2</v>
      </c>
      <c r="F2621" t="s">
        <v>315</v>
      </c>
      <c r="G2621" t="s">
        <v>32</v>
      </c>
      <c r="H2621" t="s">
        <v>33</v>
      </c>
      <c r="I2621" t="s">
        <v>43</v>
      </c>
      <c r="J2621" t="s">
        <v>35</v>
      </c>
      <c r="K2621" t="s">
        <v>113</v>
      </c>
      <c r="L2621" t="s">
        <v>37</v>
      </c>
      <c r="M2621">
        <v>0</v>
      </c>
      <c r="N2621">
        <v>0</v>
      </c>
      <c r="O2621" s="5" t="s">
        <v>391</v>
      </c>
      <c r="P2621" s="5" t="s">
        <v>392</v>
      </c>
      <c r="Q2621">
        <f>34-15</f>
        <v>19</v>
      </c>
      <c r="R2621" t="s">
        <v>38</v>
      </c>
      <c r="T2621">
        <v>19</v>
      </c>
      <c r="U2621">
        <v>87</v>
      </c>
      <c r="V2621">
        <v>15</v>
      </c>
      <c r="W2621">
        <v>12.8</v>
      </c>
      <c r="X2621">
        <v>27</v>
      </c>
      <c r="Z2621" t="s">
        <v>39</v>
      </c>
      <c r="AB2621" t="s">
        <v>60</v>
      </c>
      <c r="AC2621" t="s">
        <v>87</v>
      </c>
    </row>
    <row r="2622" spans="1:30" x14ac:dyDescent="0.35">
      <c r="A2622" s="4">
        <v>42586</v>
      </c>
      <c r="B2622" t="s">
        <v>30</v>
      </c>
      <c r="C2622">
        <v>304</v>
      </c>
      <c r="D2622">
        <v>4</v>
      </c>
      <c r="E2622">
        <v>2</v>
      </c>
      <c r="F2622" t="s">
        <v>42</v>
      </c>
      <c r="G2622" t="s">
        <v>32</v>
      </c>
      <c r="H2622" t="s">
        <v>33</v>
      </c>
      <c r="I2622" t="s">
        <v>43</v>
      </c>
      <c r="J2622" t="s">
        <v>35</v>
      </c>
      <c r="K2622" t="s">
        <v>113</v>
      </c>
      <c r="L2622" t="s">
        <v>37</v>
      </c>
      <c r="M2622">
        <v>0</v>
      </c>
      <c r="N2622">
        <v>1</v>
      </c>
      <c r="O2622" s="5" t="s">
        <v>393</v>
      </c>
      <c r="P2622" s="5" t="s">
        <v>394</v>
      </c>
      <c r="Q2622">
        <f>28-12</f>
        <v>16</v>
      </c>
      <c r="R2622" t="s">
        <v>64</v>
      </c>
      <c r="AB2622" t="s">
        <v>47</v>
      </c>
      <c r="AC2622" t="s">
        <v>41</v>
      </c>
      <c r="AD2622" t="s">
        <v>376</v>
      </c>
    </row>
    <row r="2623" spans="1:30" x14ac:dyDescent="0.35">
      <c r="A2623" s="4">
        <v>42586</v>
      </c>
      <c r="B2623" t="s">
        <v>30</v>
      </c>
      <c r="C2623">
        <v>304</v>
      </c>
      <c r="D2623">
        <v>8</v>
      </c>
      <c r="E2623">
        <v>1</v>
      </c>
      <c r="F2623" t="s">
        <v>42</v>
      </c>
      <c r="G2623" t="s">
        <v>32</v>
      </c>
      <c r="H2623" t="s">
        <v>33</v>
      </c>
      <c r="I2623" t="s">
        <v>43</v>
      </c>
      <c r="J2623" t="s">
        <v>35</v>
      </c>
      <c r="K2623" t="s">
        <v>36</v>
      </c>
      <c r="L2623" t="s">
        <v>45</v>
      </c>
      <c r="M2623">
        <v>0</v>
      </c>
      <c r="N2623">
        <v>1</v>
      </c>
      <c r="O2623" s="5" t="s">
        <v>395</v>
      </c>
      <c r="P2623" s="5" t="s">
        <v>396</v>
      </c>
      <c r="Q2623">
        <f>32-13</f>
        <v>19</v>
      </c>
      <c r="R2623" t="s">
        <v>74</v>
      </c>
      <c r="S2623" t="s">
        <v>102</v>
      </c>
      <c r="AB2623" t="s">
        <v>47</v>
      </c>
      <c r="AC2623" t="s">
        <v>41</v>
      </c>
    </row>
    <row r="2624" spans="1:30" x14ac:dyDescent="0.35">
      <c r="A2624" s="4">
        <v>42586</v>
      </c>
      <c r="B2624" t="s">
        <v>30</v>
      </c>
      <c r="C2624">
        <v>201</v>
      </c>
      <c r="D2624">
        <v>8</v>
      </c>
      <c r="E2624">
        <v>1</v>
      </c>
      <c r="F2624" t="s">
        <v>42</v>
      </c>
      <c r="G2624" t="s">
        <v>32</v>
      </c>
      <c r="H2624" t="s">
        <v>33</v>
      </c>
      <c r="I2624" t="s">
        <v>43</v>
      </c>
      <c r="J2624" t="s">
        <v>44</v>
      </c>
      <c r="K2624" t="s">
        <v>36</v>
      </c>
      <c r="L2624" t="s">
        <v>45</v>
      </c>
      <c r="M2624">
        <v>0</v>
      </c>
      <c r="N2624">
        <v>0</v>
      </c>
      <c r="O2624" s="5">
        <v>50359</v>
      </c>
      <c r="P2624" s="5">
        <v>50358</v>
      </c>
      <c r="Q2624">
        <f>37-14</f>
        <v>23</v>
      </c>
      <c r="R2624" t="s">
        <v>46</v>
      </c>
      <c r="S2624" t="s">
        <v>39</v>
      </c>
      <c r="T2624">
        <v>18</v>
      </c>
      <c r="U2624">
        <v>90</v>
      </c>
      <c r="V2624">
        <v>18</v>
      </c>
      <c r="W2624">
        <v>13.7</v>
      </c>
      <c r="X2624">
        <v>27</v>
      </c>
      <c r="Z2624" t="s">
        <v>102</v>
      </c>
      <c r="AB2624" t="s">
        <v>47</v>
      </c>
      <c r="AC2624" t="s">
        <v>41</v>
      </c>
    </row>
    <row r="2625" spans="1:30" x14ac:dyDescent="0.35">
      <c r="A2625" s="4">
        <v>42586</v>
      </c>
      <c r="B2625" t="s">
        <v>30</v>
      </c>
      <c r="C2625">
        <v>112</v>
      </c>
      <c r="D2625">
        <v>6</v>
      </c>
      <c r="E2625">
        <v>2</v>
      </c>
      <c r="F2625" t="s">
        <v>315</v>
      </c>
      <c r="G2625" t="s">
        <v>32</v>
      </c>
      <c r="H2625" t="s">
        <v>33</v>
      </c>
      <c r="I2625" t="s">
        <v>43</v>
      </c>
      <c r="J2625" t="s">
        <v>44</v>
      </c>
      <c r="K2625" t="s">
        <v>36</v>
      </c>
      <c r="L2625" t="s">
        <v>37</v>
      </c>
      <c r="M2625">
        <v>0</v>
      </c>
      <c r="N2625">
        <v>0</v>
      </c>
      <c r="O2625" s="5" t="s">
        <v>397</v>
      </c>
      <c r="P2625" s="5" t="s">
        <v>398</v>
      </c>
      <c r="Q2625">
        <f>36-16.5</f>
        <v>19.5</v>
      </c>
      <c r="R2625" t="s">
        <v>38</v>
      </c>
      <c r="T2625">
        <v>19</v>
      </c>
      <c r="U2625">
        <v>82</v>
      </c>
      <c r="V2625">
        <v>16.5</v>
      </c>
      <c r="W2625">
        <v>12.8</v>
      </c>
      <c r="X2625">
        <v>27.2</v>
      </c>
      <c r="Z2625" t="s">
        <v>39</v>
      </c>
      <c r="AB2625" t="s">
        <v>60</v>
      </c>
      <c r="AC2625" t="s">
        <v>87</v>
      </c>
      <c r="AD2625" t="s">
        <v>399</v>
      </c>
    </row>
    <row r="2626" spans="1:30" x14ac:dyDescent="0.35">
      <c r="A2626" s="4">
        <v>42586</v>
      </c>
      <c r="B2626" t="s">
        <v>30</v>
      </c>
      <c r="C2626">
        <v>113</v>
      </c>
      <c r="D2626">
        <v>4</v>
      </c>
      <c r="E2626">
        <v>1</v>
      </c>
      <c r="F2626" t="s">
        <v>315</v>
      </c>
      <c r="G2626" t="s">
        <v>32</v>
      </c>
      <c r="H2626" t="s">
        <v>33</v>
      </c>
      <c r="I2626" t="s">
        <v>43</v>
      </c>
      <c r="J2626" t="s">
        <v>44</v>
      </c>
      <c r="K2626" t="s">
        <v>36</v>
      </c>
      <c r="L2626" t="s">
        <v>45</v>
      </c>
      <c r="M2626">
        <v>0</v>
      </c>
      <c r="N2626">
        <v>0</v>
      </c>
      <c r="O2626" s="5" t="s">
        <v>400</v>
      </c>
      <c r="P2626" s="5" t="s">
        <v>401</v>
      </c>
      <c r="Q2626">
        <f>35-13</f>
        <v>22</v>
      </c>
      <c r="R2626" t="s">
        <v>145</v>
      </c>
      <c r="S2626" t="s">
        <v>102</v>
      </c>
      <c r="T2626">
        <v>19</v>
      </c>
      <c r="U2626">
        <v>82</v>
      </c>
      <c r="V2626">
        <v>15</v>
      </c>
      <c r="W2626">
        <v>12.8</v>
      </c>
      <c r="X2626">
        <v>27</v>
      </c>
      <c r="Z2626" t="s">
        <v>39</v>
      </c>
      <c r="AB2626" t="s">
        <v>60</v>
      </c>
      <c r="AC2626" t="s">
        <v>87</v>
      </c>
    </row>
    <row r="2627" spans="1:30" x14ac:dyDescent="0.35">
      <c r="A2627" s="4">
        <v>42586</v>
      </c>
      <c r="B2627" t="s">
        <v>30</v>
      </c>
      <c r="C2627">
        <v>111</v>
      </c>
      <c r="D2627">
        <v>4</v>
      </c>
      <c r="E2627">
        <v>1</v>
      </c>
      <c r="F2627" t="s">
        <v>315</v>
      </c>
      <c r="G2627" t="s">
        <v>32</v>
      </c>
      <c r="H2627" t="s">
        <v>33</v>
      </c>
      <c r="I2627" t="s">
        <v>43</v>
      </c>
      <c r="J2627" t="s">
        <v>44</v>
      </c>
      <c r="K2627" t="s">
        <v>36</v>
      </c>
      <c r="L2627" t="s">
        <v>37</v>
      </c>
      <c r="M2627">
        <v>0</v>
      </c>
      <c r="N2627">
        <v>0</v>
      </c>
      <c r="O2627" s="5" t="s">
        <v>402</v>
      </c>
      <c r="P2627" s="5" t="s">
        <v>403</v>
      </c>
      <c r="Q2627">
        <f>35-14</f>
        <v>21</v>
      </c>
      <c r="R2627" t="s">
        <v>38</v>
      </c>
      <c r="T2627">
        <v>21</v>
      </c>
      <c r="U2627">
        <v>94</v>
      </c>
      <c r="V2627">
        <v>16</v>
      </c>
      <c r="W2627">
        <v>12.9</v>
      </c>
      <c r="X2627">
        <v>27.5</v>
      </c>
      <c r="Z2627" t="s">
        <v>102</v>
      </c>
      <c r="AA2627" t="s">
        <v>201</v>
      </c>
      <c r="AB2627" t="s">
        <v>60</v>
      </c>
      <c r="AC2627" t="s">
        <v>87</v>
      </c>
    </row>
    <row r="2628" spans="1:30" x14ac:dyDescent="0.35">
      <c r="A2628" s="4">
        <v>42586</v>
      </c>
      <c r="B2628" t="s">
        <v>30</v>
      </c>
      <c r="C2628">
        <v>112</v>
      </c>
      <c r="D2628">
        <v>10</v>
      </c>
      <c r="E2628">
        <v>1</v>
      </c>
      <c r="F2628" t="s">
        <v>315</v>
      </c>
      <c r="G2628" t="s">
        <v>32</v>
      </c>
      <c r="H2628" t="s">
        <v>33</v>
      </c>
      <c r="I2628" t="s">
        <v>43</v>
      </c>
      <c r="J2628" t="s">
        <v>44</v>
      </c>
      <c r="K2628" t="s">
        <v>36</v>
      </c>
      <c r="L2628" t="s">
        <v>37</v>
      </c>
      <c r="M2628">
        <v>0</v>
      </c>
      <c r="N2628">
        <v>0</v>
      </c>
      <c r="O2628" s="5" t="s">
        <v>404</v>
      </c>
      <c r="P2628" s="5" t="s">
        <v>405</v>
      </c>
      <c r="Q2628">
        <f>35-16</f>
        <v>19</v>
      </c>
      <c r="R2628" t="s">
        <v>38</v>
      </c>
      <c r="T2628">
        <v>19.5</v>
      </c>
      <c r="U2628">
        <v>88</v>
      </c>
      <c r="V2628">
        <v>16</v>
      </c>
      <c r="W2628">
        <v>12.9</v>
      </c>
      <c r="X2628">
        <v>26.8</v>
      </c>
      <c r="Z2628" t="s">
        <v>102</v>
      </c>
      <c r="AB2628" t="s">
        <v>60</v>
      </c>
      <c r="AC2628" t="s">
        <v>87</v>
      </c>
    </row>
    <row r="2629" spans="1:30" x14ac:dyDescent="0.35">
      <c r="A2629" s="4">
        <v>42586</v>
      </c>
      <c r="B2629" t="s">
        <v>30</v>
      </c>
      <c r="C2629">
        <v>203</v>
      </c>
      <c r="D2629">
        <v>9</v>
      </c>
      <c r="E2629">
        <v>2</v>
      </c>
      <c r="F2629" t="s">
        <v>42</v>
      </c>
      <c r="G2629" t="s">
        <v>32</v>
      </c>
      <c r="H2629" t="s">
        <v>33</v>
      </c>
      <c r="I2629" t="s">
        <v>43</v>
      </c>
      <c r="J2629" t="s">
        <v>44</v>
      </c>
      <c r="K2629" t="s">
        <v>113</v>
      </c>
      <c r="L2629" t="s">
        <v>45</v>
      </c>
      <c r="M2629">
        <v>0</v>
      </c>
      <c r="N2629">
        <v>0</v>
      </c>
      <c r="O2629" s="5">
        <v>50633</v>
      </c>
      <c r="P2629" s="5">
        <v>50634</v>
      </c>
      <c r="Q2629">
        <f>32-13</f>
        <v>19</v>
      </c>
      <c r="R2629" t="s">
        <v>74</v>
      </c>
      <c r="S2629" t="s">
        <v>102</v>
      </c>
      <c r="T2629">
        <v>19</v>
      </c>
      <c r="U2629">
        <v>82</v>
      </c>
      <c r="V2629">
        <v>18.5</v>
      </c>
      <c r="W2629">
        <v>13.4</v>
      </c>
      <c r="X2629">
        <v>26.2</v>
      </c>
      <c r="Z2629" t="s">
        <v>102</v>
      </c>
      <c r="AB2629" t="s">
        <v>47</v>
      </c>
      <c r="AC2629" t="s">
        <v>41</v>
      </c>
    </row>
    <row r="2630" spans="1:30" x14ac:dyDescent="0.35">
      <c r="A2630" s="4">
        <v>42586</v>
      </c>
      <c r="B2630" t="s">
        <v>30</v>
      </c>
      <c r="C2630">
        <v>203</v>
      </c>
      <c r="D2630">
        <v>5</v>
      </c>
      <c r="E2630">
        <v>1</v>
      </c>
      <c r="F2630" t="s">
        <v>42</v>
      </c>
      <c r="G2630" t="s">
        <v>32</v>
      </c>
      <c r="H2630" t="s">
        <v>33</v>
      </c>
      <c r="I2630" t="s">
        <v>43</v>
      </c>
      <c r="J2630" t="s">
        <v>44</v>
      </c>
      <c r="K2630" t="s">
        <v>113</v>
      </c>
      <c r="L2630" t="s">
        <v>37</v>
      </c>
      <c r="M2630">
        <v>0</v>
      </c>
      <c r="N2630">
        <v>0</v>
      </c>
      <c r="O2630" s="5">
        <v>50665</v>
      </c>
      <c r="P2630" s="5">
        <v>50664</v>
      </c>
      <c r="Q2630">
        <f>29.5-13</f>
        <v>16.5</v>
      </c>
      <c r="R2630" t="s">
        <v>64</v>
      </c>
      <c r="T2630">
        <v>18</v>
      </c>
      <c r="U2630">
        <v>97</v>
      </c>
      <c r="V2630">
        <v>15.5</v>
      </c>
      <c r="W2630">
        <v>12.9</v>
      </c>
      <c r="X2630">
        <v>26</v>
      </c>
      <c r="Z2630" t="s">
        <v>39</v>
      </c>
      <c r="AB2630" t="s">
        <v>47</v>
      </c>
      <c r="AC2630" t="s">
        <v>41</v>
      </c>
    </row>
    <row r="2631" spans="1:30" x14ac:dyDescent="0.35">
      <c r="A2631" s="4">
        <v>42586</v>
      </c>
      <c r="B2631" t="s">
        <v>30</v>
      </c>
      <c r="C2631">
        <v>112</v>
      </c>
      <c r="D2631">
        <v>4</v>
      </c>
      <c r="E2631">
        <v>1</v>
      </c>
      <c r="F2631" t="s">
        <v>315</v>
      </c>
      <c r="G2631" t="s">
        <v>32</v>
      </c>
      <c r="H2631" t="s">
        <v>33</v>
      </c>
      <c r="I2631" t="s">
        <v>43</v>
      </c>
      <c r="J2631" t="s">
        <v>44</v>
      </c>
      <c r="K2631" t="s">
        <v>113</v>
      </c>
      <c r="L2631" t="s">
        <v>45</v>
      </c>
      <c r="M2631">
        <v>0</v>
      </c>
      <c r="N2631">
        <v>0</v>
      </c>
      <c r="O2631" s="5" t="s">
        <v>406</v>
      </c>
      <c r="P2631" s="5" t="s">
        <v>407</v>
      </c>
      <c r="Q2631">
        <f>30.5-14.5</f>
        <v>16</v>
      </c>
      <c r="R2631" t="s">
        <v>61</v>
      </c>
      <c r="S2631" t="s">
        <v>39</v>
      </c>
      <c r="T2631">
        <v>19</v>
      </c>
      <c r="U2631">
        <v>85</v>
      </c>
      <c r="V2631">
        <v>15</v>
      </c>
      <c r="W2631">
        <v>12.8</v>
      </c>
      <c r="X2631">
        <v>26.7</v>
      </c>
      <c r="Z2631" t="s">
        <v>39</v>
      </c>
      <c r="AB2631" t="s">
        <v>60</v>
      </c>
      <c r="AC2631" t="s">
        <v>87</v>
      </c>
    </row>
    <row r="2632" spans="1:30" x14ac:dyDescent="0.35">
      <c r="A2632" s="4">
        <v>42586</v>
      </c>
      <c r="B2632" t="s">
        <v>30</v>
      </c>
      <c r="C2632">
        <v>111</v>
      </c>
      <c r="D2632">
        <v>8</v>
      </c>
      <c r="E2632">
        <v>1</v>
      </c>
      <c r="F2632" t="s">
        <v>315</v>
      </c>
      <c r="G2632" t="s">
        <v>32</v>
      </c>
      <c r="H2632" t="s">
        <v>33</v>
      </c>
      <c r="I2632" t="s">
        <v>43</v>
      </c>
      <c r="J2632" t="s">
        <v>44</v>
      </c>
      <c r="K2632" t="s">
        <v>88</v>
      </c>
      <c r="L2632" t="s">
        <v>45</v>
      </c>
      <c r="M2632">
        <v>0</v>
      </c>
      <c r="N2632">
        <v>0</v>
      </c>
      <c r="O2632" s="5" t="s">
        <v>408</v>
      </c>
      <c r="P2632" s="5" t="s">
        <v>409</v>
      </c>
      <c r="Q2632">
        <f>28-14.5</f>
        <v>13.5</v>
      </c>
      <c r="R2632" t="s">
        <v>46</v>
      </c>
      <c r="S2632" t="s">
        <v>39</v>
      </c>
      <c r="T2632">
        <v>20</v>
      </c>
      <c r="V2632">
        <v>16</v>
      </c>
      <c r="W2632">
        <v>12.8</v>
      </c>
      <c r="X2632">
        <v>27</v>
      </c>
      <c r="Z2632" t="s">
        <v>39</v>
      </c>
      <c r="AB2632" t="s">
        <v>60</v>
      </c>
      <c r="AC2632" t="s">
        <v>87</v>
      </c>
    </row>
    <row r="2633" spans="1:30" x14ac:dyDescent="0.35">
      <c r="A2633" s="4">
        <v>42586</v>
      </c>
      <c r="B2633" t="s">
        <v>30</v>
      </c>
      <c r="C2633">
        <v>202</v>
      </c>
      <c r="D2633">
        <v>3</v>
      </c>
      <c r="E2633">
        <v>2</v>
      </c>
      <c r="F2633" t="s">
        <v>42</v>
      </c>
      <c r="G2633" t="s">
        <v>32</v>
      </c>
      <c r="H2633" t="s">
        <v>33</v>
      </c>
      <c r="I2633" t="s">
        <v>43</v>
      </c>
      <c r="J2633" t="s">
        <v>44</v>
      </c>
      <c r="K2633" t="s">
        <v>113</v>
      </c>
      <c r="L2633" t="s">
        <v>45</v>
      </c>
      <c r="M2633">
        <v>0</v>
      </c>
      <c r="N2633">
        <v>0</v>
      </c>
      <c r="O2633" s="5">
        <v>50778</v>
      </c>
      <c r="P2633" s="5">
        <v>50777</v>
      </c>
      <c r="Q2633">
        <v>14</v>
      </c>
      <c r="R2633" t="s">
        <v>46</v>
      </c>
      <c r="S2633" t="s">
        <v>39</v>
      </c>
      <c r="T2633">
        <v>18</v>
      </c>
      <c r="V2633">
        <v>14</v>
      </c>
      <c r="W2633">
        <v>12.2</v>
      </c>
      <c r="X2633">
        <v>26.5</v>
      </c>
      <c r="Z2633" t="s">
        <v>102</v>
      </c>
      <c r="AB2633" t="s">
        <v>47</v>
      </c>
      <c r="AC2633" t="s">
        <v>41</v>
      </c>
    </row>
    <row r="2634" spans="1:30" x14ac:dyDescent="0.35">
      <c r="A2634" s="4">
        <v>42586</v>
      </c>
      <c r="B2634" t="s">
        <v>30</v>
      </c>
      <c r="C2634">
        <v>201</v>
      </c>
      <c r="D2634">
        <v>1</v>
      </c>
      <c r="E2634">
        <v>1</v>
      </c>
      <c r="F2634" t="s">
        <v>42</v>
      </c>
      <c r="G2634" t="s">
        <v>32</v>
      </c>
      <c r="H2634" t="s">
        <v>33</v>
      </c>
      <c r="I2634" t="s">
        <v>43</v>
      </c>
      <c r="J2634" t="s">
        <v>44</v>
      </c>
      <c r="K2634" t="s">
        <v>113</v>
      </c>
      <c r="L2634" t="s">
        <v>45</v>
      </c>
      <c r="M2634">
        <v>0</v>
      </c>
      <c r="N2634">
        <v>0</v>
      </c>
      <c r="O2634" s="5">
        <v>50780</v>
      </c>
      <c r="P2634" s="5">
        <v>50779</v>
      </c>
      <c r="Q2634">
        <f>31.5-13</f>
        <v>18.5</v>
      </c>
      <c r="R2634" t="s">
        <v>46</v>
      </c>
      <c r="S2634" t="s">
        <v>39</v>
      </c>
      <c r="T2634">
        <v>18</v>
      </c>
      <c r="U2634">
        <v>81</v>
      </c>
      <c r="V2634">
        <v>16</v>
      </c>
      <c r="W2634">
        <v>13.4</v>
      </c>
      <c r="X2634">
        <v>27</v>
      </c>
      <c r="Z2634" t="s">
        <v>102</v>
      </c>
      <c r="AB2634" t="s">
        <v>47</v>
      </c>
      <c r="AC2634" t="s">
        <v>41</v>
      </c>
    </row>
    <row r="2635" spans="1:30" x14ac:dyDescent="0.35">
      <c r="A2635" s="4">
        <v>42586</v>
      </c>
      <c r="B2635" t="s">
        <v>30</v>
      </c>
      <c r="C2635">
        <v>202</v>
      </c>
      <c r="D2635">
        <v>5</v>
      </c>
      <c r="E2635">
        <v>1</v>
      </c>
      <c r="F2635" t="s">
        <v>42</v>
      </c>
      <c r="G2635" t="s">
        <v>32</v>
      </c>
      <c r="H2635" t="s">
        <v>33</v>
      </c>
      <c r="I2635" t="s">
        <v>43</v>
      </c>
      <c r="J2635" t="s">
        <v>44</v>
      </c>
      <c r="K2635" t="s">
        <v>113</v>
      </c>
      <c r="L2635" t="s">
        <v>37</v>
      </c>
      <c r="M2635">
        <v>0</v>
      </c>
      <c r="N2635">
        <v>0</v>
      </c>
      <c r="O2635" s="5">
        <v>50786</v>
      </c>
      <c r="P2635" s="5">
        <v>50785</v>
      </c>
      <c r="Q2635">
        <f>30-15.5</f>
        <v>14.5</v>
      </c>
      <c r="R2635" t="s">
        <v>64</v>
      </c>
      <c r="T2635">
        <v>18</v>
      </c>
      <c r="U2635">
        <v>77</v>
      </c>
      <c r="V2635">
        <v>15</v>
      </c>
      <c r="W2635">
        <v>12.1</v>
      </c>
      <c r="X2635">
        <v>27</v>
      </c>
      <c r="Z2635" t="s">
        <v>102</v>
      </c>
      <c r="AB2635" t="s">
        <v>47</v>
      </c>
      <c r="AC2635" t="s">
        <v>41</v>
      </c>
    </row>
    <row r="2636" spans="1:30" x14ac:dyDescent="0.35">
      <c r="A2636" s="4">
        <v>42586</v>
      </c>
      <c r="B2636" t="s">
        <v>30</v>
      </c>
      <c r="C2636">
        <v>113</v>
      </c>
      <c r="D2636">
        <v>6</v>
      </c>
      <c r="E2636">
        <v>2</v>
      </c>
      <c r="F2636" t="s">
        <v>315</v>
      </c>
      <c r="G2636" t="s">
        <v>32</v>
      </c>
      <c r="H2636" t="s">
        <v>33</v>
      </c>
      <c r="I2636" t="s">
        <v>43</v>
      </c>
      <c r="J2636" t="s">
        <v>44</v>
      </c>
      <c r="K2636" t="s">
        <v>113</v>
      </c>
      <c r="L2636" t="s">
        <v>37</v>
      </c>
      <c r="M2636">
        <v>0</v>
      </c>
      <c r="N2636">
        <v>0</v>
      </c>
      <c r="O2636" s="5" t="s">
        <v>410</v>
      </c>
      <c r="P2636" s="5" t="s">
        <v>411</v>
      </c>
      <c r="Q2636">
        <f>30.5-15</f>
        <v>15.5</v>
      </c>
      <c r="R2636" t="s">
        <v>64</v>
      </c>
      <c r="T2636">
        <v>20</v>
      </c>
      <c r="V2636">
        <v>16</v>
      </c>
      <c r="W2636">
        <v>12.9</v>
      </c>
      <c r="X2636">
        <v>27</v>
      </c>
      <c r="Z2636" t="s">
        <v>102</v>
      </c>
      <c r="AA2636" t="s">
        <v>201</v>
      </c>
      <c r="AB2636" t="s">
        <v>60</v>
      </c>
      <c r="AC2636" t="s">
        <v>87</v>
      </c>
    </row>
    <row r="2637" spans="1:30" x14ac:dyDescent="0.35">
      <c r="A2637" s="4">
        <v>42586</v>
      </c>
      <c r="B2637" t="s">
        <v>30</v>
      </c>
      <c r="C2637">
        <v>304</v>
      </c>
      <c r="D2637">
        <v>1</v>
      </c>
      <c r="E2637">
        <v>1</v>
      </c>
      <c r="F2637" t="s">
        <v>315</v>
      </c>
      <c r="G2637" t="s">
        <v>32</v>
      </c>
      <c r="H2637" t="s">
        <v>33</v>
      </c>
      <c r="I2637" t="s">
        <v>43</v>
      </c>
      <c r="J2637" t="s">
        <v>44</v>
      </c>
      <c r="K2637" t="s">
        <v>113</v>
      </c>
      <c r="L2637" t="s">
        <v>37</v>
      </c>
      <c r="M2637">
        <v>0</v>
      </c>
      <c r="N2637">
        <v>0</v>
      </c>
      <c r="O2637" s="5" t="s">
        <v>412</v>
      </c>
      <c r="P2637" s="5" t="s">
        <v>413</v>
      </c>
      <c r="Q2637">
        <f>33.5-18</f>
        <v>15.5</v>
      </c>
      <c r="R2637" t="s">
        <v>64</v>
      </c>
      <c r="Z2637" t="s">
        <v>102</v>
      </c>
      <c r="AA2637" t="s">
        <v>201</v>
      </c>
      <c r="AB2637" t="s">
        <v>60</v>
      </c>
      <c r="AC2637" t="s">
        <v>87</v>
      </c>
      <c r="AD2637" t="s">
        <v>370</v>
      </c>
    </row>
    <row r="2638" spans="1:30" x14ac:dyDescent="0.35">
      <c r="A2638" s="4">
        <v>42586</v>
      </c>
      <c r="B2638" t="s">
        <v>30</v>
      </c>
      <c r="C2638">
        <v>202</v>
      </c>
      <c r="D2638">
        <v>4</v>
      </c>
      <c r="E2638">
        <v>2</v>
      </c>
      <c r="F2638" t="s">
        <v>42</v>
      </c>
      <c r="G2638" t="s">
        <v>32</v>
      </c>
      <c r="H2638" t="s">
        <v>33</v>
      </c>
      <c r="I2638" t="s">
        <v>43</v>
      </c>
      <c r="J2638" t="s">
        <v>44</v>
      </c>
      <c r="K2638" t="s">
        <v>113</v>
      </c>
      <c r="L2638" t="s">
        <v>37</v>
      </c>
      <c r="M2638">
        <v>0</v>
      </c>
      <c r="N2638">
        <v>0</v>
      </c>
      <c r="O2638" s="5">
        <v>50833</v>
      </c>
      <c r="P2638" s="5">
        <v>50945</v>
      </c>
      <c r="Q2638">
        <f>30.5-15.5</f>
        <v>15</v>
      </c>
      <c r="R2638" t="s">
        <v>64</v>
      </c>
      <c r="T2638">
        <v>17</v>
      </c>
      <c r="U2638">
        <v>93</v>
      </c>
      <c r="V2638">
        <v>15</v>
      </c>
      <c r="W2638">
        <v>13.1</v>
      </c>
      <c r="X2638">
        <v>27.3</v>
      </c>
      <c r="Z2638" t="s">
        <v>102</v>
      </c>
      <c r="AB2638" t="s">
        <v>47</v>
      </c>
      <c r="AC2638" t="s">
        <v>41</v>
      </c>
    </row>
    <row r="2639" spans="1:30" x14ac:dyDescent="0.35">
      <c r="A2639" s="4">
        <v>42586</v>
      </c>
      <c r="B2639" t="s">
        <v>30</v>
      </c>
      <c r="C2639">
        <v>203</v>
      </c>
      <c r="D2639">
        <v>10</v>
      </c>
      <c r="E2639">
        <v>2</v>
      </c>
      <c r="F2639" t="s">
        <v>42</v>
      </c>
      <c r="G2639" t="s">
        <v>32</v>
      </c>
      <c r="H2639" t="s">
        <v>33</v>
      </c>
      <c r="I2639" t="s">
        <v>43</v>
      </c>
      <c r="J2639" t="s">
        <v>48</v>
      </c>
      <c r="K2639" t="s">
        <v>113</v>
      </c>
      <c r="L2639" t="s">
        <v>45</v>
      </c>
      <c r="M2639">
        <v>0</v>
      </c>
      <c r="N2639">
        <v>0</v>
      </c>
      <c r="O2639" s="5">
        <v>50834</v>
      </c>
      <c r="P2639" s="5" t="s">
        <v>414</v>
      </c>
      <c r="Q2639">
        <f>30-14</f>
        <v>16</v>
      </c>
      <c r="R2639" t="s">
        <v>46</v>
      </c>
      <c r="S2639" t="s">
        <v>39</v>
      </c>
      <c r="T2639">
        <v>19</v>
      </c>
      <c r="U2639">
        <v>81.5</v>
      </c>
      <c r="V2639">
        <v>14</v>
      </c>
      <c r="W2639">
        <v>13.1</v>
      </c>
      <c r="X2639">
        <v>25.8</v>
      </c>
      <c r="Z2639" t="s">
        <v>39</v>
      </c>
      <c r="AB2639" t="s">
        <v>47</v>
      </c>
      <c r="AC2639" t="s">
        <v>41</v>
      </c>
    </row>
    <row r="2640" spans="1:30" x14ac:dyDescent="0.35">
      <c r="A2640" s="4">
        <v>42586</v>
      </c>
      <c r="B2640" t="s">
        <v>30</v>
      </c>
      <c r="C2640">
        <v>203</v>
      </c>
      <c r="D2640">
        <v>8</v>
      </c>
      <c r="E2640">
        <v>2</v>
      </c>
      <c r="F2640" t="s">
        <v>42</v>
      </c>
      <c r="G2640" t="s">
        <v>32</v>
      </c>
      <c r="H2640" t="s">
        <v>33</v>
      </c>
      <c r="I2640" t="s">
        <v>43</v>
      </c>
      <c r="J2640" t="s">
        <v>44</v>
      </c>
      <c r="K2640" t="s">
        <v>113</v>
      </c>
      <c r="L2640" t="s">
        <v>45</v>
      </c>
      <c r="M2640">
        <v>0</v>
      </c>
      <c r="N2640">
        <v>0</v>
      </c>
      <c r="O2640" s="5">
        <v>50836</v>
      </c>
      <c r="P2640" s="5">
        <v>50935</v>
      </c>
      <c r="Q2640">
        <f>29-13</f>
        <v>16</v>
      </c>
      <c r="R2640" t="s">
        <v>46</v>
      </c>
      <c r="T2640">
        <v>19</v>
      </c>
      <c r="U2640">
        <v>88</v>
      </c>
      <c r="V2640">
        <v>16</v>
      </c>
      <c r="W2640">
        <v>13.5</v>
      </c>
      <c r="X2640">
        <v>26.9</v>
      </c>
      <c r="Z2640" t="s">
        <v>39</v>
      </c>
      <c r="AB2640" t="s">
        <v>47</v>
      </c>
      <c r="AC2640" t="s">
        <v>41</v>
      </c>
    </row>
    <row r="2641" spans="1:30" x14ac:dyDescent="0.35">
      <c r="A2641" s="4">
        <v>42586</v>
      </c>
      <c r="B2641" t="s">
        <v>30</v>
      </c>
      <c r="C2641">
        <v>203</v>
      </c>
      <c r="D2641">
        <v>4</v>
      </c>
      <c r="E2641">
        <v>1</v>
      </c>
      <c r="F2641" t="s">
        <v>42</v>
      </c>
      <c r="G2641" t="s">
        <v>32</v>
      </c>
      <c r="H2641" t="s">
        <v>33</v>
      </c>
      <c r="I2641" t="s">
        <v>43</v>
      </c>
      <c r="J2641" t="s">
        <v>44</v>
      </c>
      <c r="K2641" t="s">
        <v>113</v>
      </c>
      <c r="L2641" t="s">
        <v>37</v>
      </c>
      <c r="M2641">
        <v>0</v>
      </c>
      <c r="N2641">
        <v>0</v>
      </c>
      <c r="O2641" s="5">
        <v>50840</v>
      </c>
      <c r="P2641" s="5">
        <v>50933</v>
      </c>
      <c r="Q2641">
        <f>31-12.5</f>
        <v>18.5</v>
      </c>
      <c r="R2641" t="s">
        <v>38</v>
      </c>
      <c r="T2641">
        <v>18.5</v>
      </c>
      <c r="U2641">
        <v>87</v>
      </c>
      <c r="V2641">
        <v>14.5</v>
      </c>
      <c r="W2641">
        <v>13.4</v>
      </c>
      <c r="X2641">
        <v>27.5</v>
      </c>
      <c r="Z2641" t="s">
        <v>39</v>
      </c>
      <c r="AB2641" t="s">
        <v>47</v>
      </c>
      <c r="AC2641" t="s">
        <v>41</v>
      </c>
    </row>
    <row r="2642" spans="1:30" x14ac:dyDescent="0.35">
      <c r="A2642" s="4">
        <v>42586</v>
      </c>
      <c r="B2642" t="s">
        <v>30</v>
      </c>
      <c r="C2642">
        <v>203</v>
      </c>
      <c r="D2642">
        <v>3</v>
      </c>
      <c r="E2642">
        <v>2</v>
      </c>
      <c r="F2642" t="s">
        <v>42</v>
      </c>
      <c r="G2642" t="s">
        <v>32</v>
      </c>
      <c r="H2642" t="s">
        <v>33</v>
      </c>
      <c r="I2642" t="s">
        <v>43</v>
      </c>
      <c r="J2642" t="s">
        <v>44</v>
      </c>
      <c r="K2642" t="s">
        <v>113</v>
      </c>
      <c r="L2642" t="s">
        <v>45</v>
      </c>
      <c r="M2642">
        <v>0</v>
      </c>
      <c r="N2642">
        <v>0</v>
      </c>
      <c r="O2642" s="5">
        <v>50841</v>
      </c>
      <c r="P2642" s="5">
        <v>50950</v>
      </c>
      <c r="Q2642">
        <f>30-14.5</f>
        <v>15.5</v>
      </c>
      <c r="R2642" t="s">
        <v>46</v>
      </c>
      <c r="S2642" t="s">
        <v>39</v>
      </c>
      <c r="T2642">
        <v>19</v>
      </c>
      <c r="U2642">
        <v>92</v>
      </c>
      <c r="V2642">
        <v>15</v>
      </c>
      <c r="W2642">
        <v>12.9</v>
      </c>
      <c r="X2642">
        <v>25.6</v>
      </c>
      <c r="Z2642" t="s">
        <v>102</v>
      </c>
      <c r="AB2642" t="s">
        <v>47</v>
      </c>
      <c r="AC2642" t="s">
        <v>41</v>
      </c>
    </row>
    <row r="2643" spans="1:30" x14ac:dyDescent="0.35">
      <c r="A2643" s="4">
        <v>42586</v>
      </c>
      <c r="B2643" t="s">
        <v>30</v>
      </c>
      <c r="C2643">
        <v>203</v>
      </c>
      <c r="D2643">
        <v>1</v>
      </c>
      <c r="E2643">
        <v>2</v>
      </c>
      <c r="F2643" t="s">
        <v>42</v>
      </c>
      <c r="G2643" t="s">
        <v>32</v>
      </c>
      <c r="H2643" t="s">
        <v>33</v>
      </c>
      <c r="I2643" t="s">
        <v>43</v>
      </c>
      <c r="J2643" t="s">
        <v>44</v>
      </c>
      <c r="K2643" t="s">
        <v>88</v>
      </c>
      <c r="L2643" t="s">
        <v>45</v>
      </c>
      <c r="M2643">
        <v>0</v>
      </c>
      <c r="N2643">
        <v>0</v>
      </c>
      <c r="O2643" s="5">
        <v>50842</v>
      </c>
      <c r="P2643" s="5">
        <v>50932</v>
      </c>
      <c r="Q2643">
        <v>13</v>
      </c>
      <c r="R2643" t="s">
        <v>46</v>
      </c>
      <c r="S2643" t="s">
        <v>39</v>
      </c>
      <c r="T2643">
        <v>18</v>
      </c>
      <c r="U2643">
        <v>86</v>
      </c>
      <c r="V2643">
        <v>18</v>
      </c>
      <c r="W2643">
        <v>13</v>
      </c>
      <c r="X2643">
        <v>24.7</v>
      </c>
      <c r="Z2643" t="s">
        <v>39</v>
      </c>
      <c r="AB2643" t="s">
        <v>47</v>
      </c>
      <c r="AC2643" t="s">
        <v>41</v>
      </c>
    </row>
    <row r="2644" spans="1:30" x14ac:dyDescent="0.35">
      <c r="A2644" s="4">
        <v>42586</v>
      </c>
      <c r="B2644" t="s">
        <v>30</v>
      </c>
      <c r="C2644">
        <v>201</v>
      </c>
      <c r="D2644">
        <v>9</v>
      </c>
      <c r="E2644">
        <v>1</v>
      </c>
      <c r="F2644" t="s">
        <v>42</v>
      </c>
      <c r="G2644" t="s">
        <v>32</v>
      </c>
      <c r="H2644" t="s">
        <v>33</v>
      </c>
      <c r="I2644" t="s">
        <v>43</v>
      </c>
      <c r="J2644" t="s">
        <v>44</v>
      </c>
      <c r="K2644" t="s">
        <v>113</v>
      </c>
      <c r="L2644" t="s">
        <v>45</v>
      </c>
      <c r="M2644">
        <v>0</v>
      </c>
      <c r="N2644">
        <v>0</v>
      </c>
      <c r="O2644" s="5">
        <v>50844</v>
      </c>
      <c r="P2644" s="5">
        <v>50843</v>
      </c>
      <c r="Q2644">
        <f>29.5-14.5</f>
        <v>15</v>
      </c>
      <c r="R2644" t="s">
        <v>46</v>
      </c>
      <c r="S2644" t="s">
        <v>39</v>
      </c>
      <c r="T2644">
        <v>19</v>
      </c>
      <c r="U2644">
        <v>75.5</v>
      </c>
      <c r="V2644">
        <v>18</v>
      </c>
      <c r="W2644">
        <v>12.8</v>
      </c>
      <c r="X2644">
        <v>28.1</v>
      </c>
      <c r="Z2644" t="s">
        <v>102</v>
      </c>
      <c r="AB2644" t="s">
        <v>47</v>
      </c>
      <c r="AC2644" t="s">
        <v>41</v>
      </c>
    </row>
    <row r="2645" spans="1:30" x14ac:dyDescent="0.35">
      <c r="A2645" s="4">
        <v>42586</v>
      </c>
      <c r="B2645" t="s">
        <v>30</v>
      </c>
      <c r="C2645">
        <v>201</v>
      </c>
      <c r="D2645">
        <v>4</v>
      </c>
      <c r="E2645">
        <v>1</v>
      </c>
      <c r="F2645" t="s">
        <v>42</v>
      </c>
      <c r="G2645" t="s">
        <v>32</v>
      </c>
      <c r="H2645" t="s">
        <v>33</v>
      </c>
      <c r="I2645" t="s">
        <v>43</v>
      </c>
      <c r="J2645" t="s">
        <v>44</v>
      </c>
      <c r="K2645" t="s">
        <v>88</v>
      </c>
      <c r="L2645" t="s">
        <v>45</v>
      </c>
      <c r="M2645">
        <v>0</v>
      </c>
      <c r="N2645">
        <v>0</v>
      </c>
      <c r="O2645" s="5">
        <v>50846</v>
      </c>
      <c r="P2645" s="5">
        <v>50845</v>
      </c>
      <c r="Q2645">
        <f>25-13</f>
        <v>12</v>
      </c>
      <c r="R2645" t="s">
        <v>46</v>
      </c>
      <c r="S2645" t="s">
        <v>39</v>
      </c>
      <c r="T2645">
        <v>18</v>
      </c>
      <c r="V2645">
        <v>15.5</v>
      </c>
      <c r="W2645">
        <v>12.5</v>
      </c>
      <c r="X2645">
        <v>24.2</v>
      </c>
      <c r="Z2645" t="s">
        <v>39</v>
      </c>
      <c r="AB2645" t="s">
        <v>47</v>
      </c>
      <c r="AC2645" t="s">
        <v>41</v>
      </c>
    </row>
    <row r="2646" spans="1:30" x14ac:dyDescent="0.35">
      <c r="A2646" s="4">
        <v>42586</v>
      </c>
      <c r="B2646" t="s">
        <v>30</v>
      </c>
      <c r="C2646">
        <v>201</v>
      </c>
      <c r="D2646">
        <v>10</v>
      </c>
      <c r="E2646">
        <v>2</v>
      </c>
      <c r="F2646" t="s">
        <v>42</v>
      </c>
      <c r="G2646" t="s">
        <v>32</v>
      </c>
      <c r="H2646" t="s">
        <v>33</v>
      </c>
      <c r="I2646" t="s">
        <v>43</v>
      </c>
      <c r="J2646" t="s">
        <v>44</v>
      </c>
      <c r="K2646" t="s">
        <v>113</v>
      </c>
      <c r="L2646" t="s">
        <v>37</v>
      </c>
      <c r="M2646">
        <v>0</v>
      </c>
      <c r="N2646">
        <v>0</v>
      </c>
      <c r="O2646" s="5">
        <v>50848</v>
      </c>
      <c r="P2646" s="5">
        <v>50847</v>
      </c>
      <c r="Q2646">
        <f>31.5-15</f>
        <v>16.5</v>
      </c>
      <c r="R2646" t="s">
        <v>38</v>
      </c>
      <c r="T2646">
        <v>18</v>
      </c>
      <c r="U2646">
        <v>86</v>
      </c>
      <c r="V2646">
        <v>15</v>
      </c>
      <c r="W2646">
        <v>13</v>
      </c>
      <c r="X2646">
        <v>25.3</v>
      </c>
      <c r="Z2646" t="s">
        <v>102</v>
      </c>
      <c r="AB2646" t="s">
        <v>47</v>
      </c>
      <c r="AC2646" t="s">
        <v>41</v>
      </c>
    </row>
    <row r="2647" spans="1:30" x14ac:dyDescent="0.35">
      <c r="A2647" s="4">
        <v>42586</v>
      </c>
      <c r="B2647" t="s">
        <v>30</v>
      </c>
      <c r="C2647">
        <v>201</v>
      </c>
      <c r="D2647">
        <v>7</v>
      </c>
      <c r="E2647">
        <v>1</v>
      </c>
      <c r="F2647" t="s">
        <v>42</v>
      </c>
      <c r="G2647" t="s">
        <v>32</v>
      </c>
      <c r="H2647" t="s">
        <v>33</v>
      </c>
      <c r="I2647" t="s">
        <v>43</v>
      </c>
      <c r="J2647" t="s">
        <v>44</v>
      </c>
      <c r="K2647" t="s">
        <v>113</v>
      </c>
      <c r="L2647" t="s">
        <v>37</v>
      </c>
      <c r="M2647">
        <v>0</v>
      </c>
      <c r="N2647">
        <v>0</v>
      </c>
      <c r="O2647" s="5">
        <v>50850</v>
      </c>
      <c r="P2647" s="5">
        <v>50849</v>
      </c>
      <c r="R2647" t="s">
        <v>38</v>
      </c>
      <c r="T2647">
        <v>17</v>
      </c>
      <c r="U2647">
        <v>77.5</v>
      </c>
      <c r="V2647">
        <v>19</v>
      </c>
      <c r="W2647">
        <v>13.3</v>
      </c>
      <c r="X2647">
        <v>27.8</v>
      </c>
      <c r="Z2647" t="s">
        <v>102</v>
      </c>
      <c r="AB2647" t="s">
        <v>47</v>
      </c>
      <c r="AC2647" t="s">
        <v>41</v>
      </c>
    </row>
    <row r="2648" spans="1:30" x14ac:dyDescent="0.35">
      <c r="A2648" s="4">
        <v>42586</v>
      </c>
      <c r="B2648" t="s">
        <v>30</v>
      </c>
      <c r="C2648">
        <v>113</v>
      </c>
      <c r="D2648">
        <v>8</v>
      </c>
      <c r="E2648">
        <v>2</v>
      </c>
      <c r="F2648" t="s">
        <v>315</v>
      </c>
      <c r="G2648" t="s">
        <v>32</v>
      </c>
      <c r="H2648" t="s">
        <v>33</v>
      </c>
      <c r="I2648" t="s">
        <v>43</v>
      </c>
      <c r="J2648" t="s">
        <v>44</v>
      </c>
      <c r="K2648" t="s">
        <v>36</v>
      </c>
      <c r="L2648" t="s">
        <v>45</v>
      </c>
      <c r="M2648">
        <v>0</v>
      </c>
      <c r="N2648">
        <v>0</v>
      </c>
      <c r="O2648" s="5" t="s">
        <v>415</v>
      </c>
      <c r="P2648" s="5" t="s">
        <v>416</v>
      </c>
      <c r="Q2648">
        <f>39-16</f>
        <v>23</v>
      </c>
      <c r="R2648" t="s">
        <v>145</v>
      </c>
      <c r="S2648" t="s">
        <v>102</v>
      </c>
      <c r="T2648">
        <v>20</v>
      </c>
      <c r="U2648">
        <v>92</v>
      </c>
      <c r="V2648">
        <v>17</v>
      </c>
      <c r="W2648">
        <v>12.8</v>
      </c>
      <c r="X2648">
        <v>27.2</v>
      </c>
      <c r="Z2648" t="s">
        <v>102</v>
      </c>
      <c r="AA2648" t="s">
        <v>201</v>
      </c>
      <c r="AB2648" t="s">
        <v>60</v>
      </c>
      <c r="AC2648" t="s">
        <v>87</v>
      </c>
    </row>
    <row r="2649" spans="1:30" x14ac:dyDescent="0.35">
      <c r="A2649" s="4">
        <v>42586</v>
      </c>
      <c r="B2649" t="s">
        <v>30</v>
      </c>
      <c r="C2649">
        <v>113</v>
      </c>
      <c r="D2649">
        <v>7</v>
      </c>
      <c r="E2649">
        <v>1</v>
      </c>
      <c r="F2649" t="s">
        <v>315</v>
      </c>
      <c r="G2649" t="s">
        <v>32</v>
      </c>
      <c r="H2649" t="s">
        <v>33</v>
      </c>
      <c r="I2649" t="s">
        <v>43</v>
      </c>
      <c r="J2649" t="s">
        <v>44</v>
      </c>
      <c r="K2649" t="s">
        <v>88</v>
      </c>
      <c r="L2649" t="s">
        <v>45</v>
      </c>
      <c r="M2649">
        <v>0</v>
      </c>
      <c r="N2649">
        <v>0</v>
      </c>
      <c r="O2649" s="5" t="s">
        <v>417</v>
      </c>
      <c r="P2649" s="5" t="s">
        <v>418</v>
      </c>
      <c r="Q2649">
        <f>26-13</f>
        <v>13</v>
      </c>
      <c r="R2649" t="s">
        <v>46</v>
      </c>
      <c r="S2649" t="s">
        <v>39</v>
      </c>
      <c r="T2649">
        <v>19</v>
      </c>
      <c r="U2649">
        <v>75</v>
      </c>
      <c r="V2649">
        <v>15</v>
      </c>
      <c r="W2649">
        <v>12.8</v>
      </c>
      <c r="X2649">
        <v>25.7</v>
      </c>
      <c r="Z2649" t="s">
        <v>39</v>
      </c>
      <c r="AB2649" t="s">
        <v>60</v>
      </c>
      <c r="AC2649" t="s">
        <v>87</v>
      </c>
    </row>
    <row r="2650" spans="1:30" x14ac:dyDescent="0.35">
      <c r="A2650" s="4">
        <v>42586</v>
      </c>
      <c r="B2650" t="s">
        <v>30</v>
      </c>
      <c r="C2650">
        <v>113</v>
      </c>
      <c r="D2650">
        <v>10</v>
      </c>
      <c r="E2650">
        <v>2</v>
      </c>
      <c r="F2650" t="s">
        <v>315</v>
      </c>
      <c r="G2650" t="s">
        <v>32</v>
      </c>
      <c r="H2650" t="s">
        <v>33</v>
      </c>
      <c r="I2650" t="s">
        <v>43</v>
      </c>
      <c r="J2650" t="s">
        <v>44</v>
      </c>
      <c r="K2650" t="s">
        <v>88</v>
      </c>
      <c r="L2650" t="s">
        <v>37</v>
      </c>
      <c r="M2650">
        <v>0</v>
      </c>
      <c r="N2650">
        <v>0</v>
      </c>
      <c r="O2650" s="5" t="s">
        <v>419</v>
      </c>
      <c r="P2650" s="5" t="s">
        <v>420</v>
      </c>
      <c r="Q2650">
        <f>31.5-17</f>
        <v>14.5</v>
      </c>
      <c r="R2650" t="s">
        <v>64</v>
      </c>
      <c r="T2650">
        <v>20</v>
      </c>
      <c r="U2650">
        <v>79</v>
      </c>
      <c r="V2650">
        <v>15.5</v>
      </c>
      <c r="W2650">
        <v>12.8</v>
      </c>
      <c r="X2650">
        <v>26.7</v>
      </c>
      <c r="Z2650" t="s">
        <v>102</v>
      </c>
      <c r="AA2650" t="s">
        <v>201</v>
      </c>
      <c r="AB2650" t="s">
        <v>60</v>
      </c>
      <c r="AC2650" t="s">
        <v>87</v>
      </c>
      <c r="AD2650" t="s">
        <v>421</v>
      </c>
    </row>
    <row r="2651" spans="1:30" x14ac:dyDescent="0.35">
      <c r="A2651" s="4">
        <v>42586</v>
      </c>
      <c r="B2651" t="s">
        <v>30</v>
      </c>
      <c r="C2651">
        <v>201</v>
      </c>
      <c r="D2651">
        <v>5</v>
      </c>
      <c r="E2651">
        <v>2</v>
      </c>
      <c r="F2651" t="s">
        <v>42</v>
      </c>
      <c r="G2651" t="s">
        <v>32</v>
      </c>
      <c r="H2651" t="s">
        <v>33</v>
      </c>
      <c r="I2651" t="s">
        <v>43</v>
      </c>
      <c r="J2651" t="s">
        <v>44</v>
      </c>
      <c r="K2651" t="s">
        <v>113</v>
      </c>
      <c r="L2651" t="s">
        <v>37</v>
      </c>
      <c r="M2651">
        <v>0</v>
      </c>
      <c r="N2651">
        <v>0</v>
      </c>
      <c r="O2651" s="5">
        <v>50928</v>
      </c>
      <c r="P2651" s="5">
        <v>50927</v>
      </c>
      <c r="Q2651">
        <f>29-14.5</f>
        <v>14.5</v>
      </c>
      <c r="R2651" t="s">
        <v>64</v>
      </c>
      <c r="T2651">
        <v>18</v>
      </c>
      <c r="U2651">
        <v>80</v>
      </c>
      <c r="V2651">
        <v>16.5</v>
      </c>
      <c r="W2651">
        <v>12.3</v>
      </c>
      <c r="X2651">
        <v>27.1</v>
      </c>
      <c r="Z2651" t="s">
        <v>39</v>
      </c>
      <c r="AB2651" t="s">
        <v>47</v>
      </c>
      <c r="AC2651" t="s">
        <v>41</v>
      </c>
    </row>
    <row r="2652" spans="1:30" x14ac:dyDescent="0.35">
      <c r="A2652" s="4">
        <v>42586</v>
      </c>
      <c r="B2652" t="s">
        <v>30</v>
      </c>
      <c r="C2652">
        <v>201</v>
      </c>
      <c r="D2652">
        <v>7</v>
      </c>
      <c r="E2652">
        <v>2</v>
      </c>
      <c r="F2652" t="s">
        <v>42</v>
      </c>
      <c r="G2652" t="s">
        <v>32</v>
      </c>
      <c r="H2652" t="s">
        <v>33</v>
      </c>
      <c r="I2652" t="s">
        <v>43</v>
      </c>
      <c r="J2652" t="s">
        <v>44</v>
      </c>
      <c r="K2652" t="s">
        <v>88</v>
      </c>
      <c r="L2652" t="s">
        <v>45</v>
      </c>
      <c r="M2652">
        <v>0</v>
      </c>
      <c r="N2652">
        <v>0</v>
      </c>
      <c r="O2652" s="5" t="s">
        <v>333</v>
      </c>
      <c r="P2652" s="5">
        <v>50929</v>
      </c>
      <c r="Q2652">
        <v>13</v>
      </c>
      <c r="Z2652" t="s">
        <v>39</v>
      </c>
    </row>
    <row r="2653" spans="1:30" x14ac:dyDescent="0.35">
      <c r="A2653" s="4">
        <v>42586</v>
      </c>
      <c r="B2653" t="s">
        <v>30</v>
      </c>
      <c r="C2653">
        <v>202</v>
      </c>
      <c r="D2653">
        <v>2</v>
      </c>
      <c r="E2653">
        <v>2</v>
      </c>
      <c r="F2653" t="s">
        <v>42</v>
      </c>
      <c r="G2653" t="s">
        <v>32</v>
      </c>
      <c r="H2653" t="s">
        <v>33</v>
      </c>
      <c r="I2653" t="s">
        <v>43</v>
      </c>
      <c r="J2653" t="s">
        <v>44</v>
      </c>
      <c r="K2653" t="s">
        <v>113</v>
      </c>
      <c r="L2653" t="s">
        <v>37</v>
      </c>
      <c r="M2653">
        <v>0</v>
      </c>
      <c r="N2653">
        <v>0</v>
      </c>
      <c r="O2653" s="5">
        <v>50937</v>
      </c>
      <c r="P2653" s="5">
        <v>50936</v>
      </c>
      <c r="Q2653">
        <v>16</v>
      </c>
      <c r="R2653" t="s">
        <v>38</v>
      </c>
      <c r="T2653">
        <v>20</v>
      </c>
      <c r="U2653">
        <v>87</v>
      </c>
      <c r="V2653">
        <v>15</v>
      </c>
      <c r="W2653">
        <v>12.8</v>
      </c>
      <c r="X2653">
        <v>25.8</v>
      </c>
      <c r="Z2653" t="s">
        <v>39</v>
      </c>
      <c r="AB2653" t="s">
        <v>47</v>
      </c>
      <c r="AC2653" t="s">
        <v>41</v>
      </c>
    </row>
    <row r="2654" spans="1:30" x14ac:dyDescent="0.35">
      <c r="A2654" s="4">
        <v>42586</v>
      </c>
      <c r="B2654" t="s">
        <v>30</v>
      </c>
      <c r="C2654">
        <v>203</v>
      </c>
      <c r="D2654">
        <v>9</v>
      </c>
      <c r="E2654">
        <v>1</v>
      </c>
      <c r="F2654" t="s">
        <v>42</v>
      </c>
      <c r="G2654" t="s">
        <v>32</v>
      </c>
      <c r="H2654" t="s">
        <v>33</v>
      </c>
      <c r="I2654" t="s">
        <v>43</v>
      </c>
      <c r="J2654" t="s">
        <v>44</v>
      </c>
      <c r="K2654" t="s">
        <v>113</v>
      </c>
      <c r="L2654" t="s">
        <v>37</v>
      </c>
      <c r="M2654">
        <v>0</v>
      </c>
      <c r="N2654">
        <v>0</v>
      </c>
      <c r="O2654" s="5">
        <v>50949</v>
      </c>
      <c r="P2654" s="5">
        <v>50948</v>
      </c>
      <c r="Q2654">
        <f>29-13</f>
        <v>16</v>
      </c>
      <c r="R2654" t="s">
        <v>64</v>
      </c>
      <c r="T2654">
        <v>19</v>
      </c>
      <c r="U2654">
        <v>90</v>
      </c>
      <c r="V2654">
        <v>15</v>
      </c>
      <c r="W2654">
        <v>12.7</v>
      </c>
      <c r="X2654">
        <v>23</v>
      </c>
      <c r="Y2654" t="s">
        <v>422</v>
      </c>
      <c r="Z2654" t="s">
        <v>39</v>
      </c>
      <c r="AB2654" t="s">
        <v>47</v>
      </c>
      <c r="AC2654" t="s">
        <v>41</v>
      </c>
    </row>
    <row r="2655" spans="1:30" x14ac:dyDescent="0.35">
      <c r="A2655" s="4">
        <v>42586</v>
      </c>
      <c r="B2655" t="s">
        <v>30</v>
      </c>
      <c r="C2655">
        <v>112</v>
      </c>
      <c r="D2655">
        <v>10</v>
      </c>
      <c r="E2655">
        <v>2</v>
      </c>
      <c r="F2655" t="s">
        <v>315</v>
      </c>
      <c r="G2655" t="s">
        <v>32</v>
      </c>
      <c r="H2655" t="s">
        <v>33</v>
      </c>
      <c r="I2655" t="s">
        <v>43</v>
      </c>
      <c r="J2655" t="s">
        <v>44</v>
      </c>
      <c r="K2655" t="s">
        <v>36</v>
      </c>
      <c r="L2655" t="s">
        <v>45</v>
      </c>
      <c r="M2655">
        <v>0</v>
      </c>
      <c r="N2655">
        <v>0</v>
      </c>
      <c r="O2655" s="5" t="s">
        <v>423</v>
      </c>
      <c r="P2655" s="5" t="s">
        <v>424</v>
      </c>
      <c r="Q2655">
        <f>37-18</f>
        <v>19</v>
      </c>
      <c r="R2655" t="s">
        <v>161</v>
      </c>
      <c r="S2655" t="s">
        <v>102</v>
      </c>
      <c r="T2655">
        <v>19</v>
      </c>
      <c r="U2655">
        <v>92</v>
      </c>
      <c r="V2655">
        <v>15</v>
      </c>
      <c r="W2655">
        <v>12.9</v>
      </c>
      <c r="X2655">
        <v>26.9</v>
      </c>
      <c r="Z2655" t="s">
        <v>102</v>
      </c>
      <c r="AB2655" t="s">
        <v>60</v>
      </c>
      <c r="AC2655" t="s">
        <v>87</v>
      </c>
    </row>
    <row r="2656" spans="1:30" x14ac:dyDescent="0.35">
      <c r="A2656" s="4">
        <v>42586</v>
      </c>
      <c r="B2656" t="s">
        <v>30</v>
      </c>
      <c r="C2656">
        <v>402</v>
      </c>
      <c r="D2656">
        <v>2</v>
      </c>
      <c r="E2656">
        <v>2</v>
      </c>
      <c r="F2656" t="s">
        <v>315</v>
      </c>
      <c r="G2656" t="s">
        <v>32</v>
      </c>
      <c r="H2656" t="s">
        <v>33</v>
      </c>
      <c r="I2656" t="s">
        <v>43</v>
      </c>
      <c r="J2656" t="s">
        <v>425</v>
      </c>
      <c r="O2656" s="5"/>
      <c r="P2656" s="5"/>
    </row>
    <row r="2657" spans="1:30" x14ac:dyDescent="0.35">
      <c r="A2657" s="4">
        <v>42586</v>
      </c>
      <c r="B2657" t="s">
        <v>30</v>
      </c>
      <c r="C2657">
        <v>203</v>
      </c>
      <c r="D2657">
        <v>2</v>
      </c>
      <c r="E2657">
        <v>2</v>
      </c>
      <c r="F2657" t="s">
        <v>42</v>
      </c>
      <c r="G2657" t="s">
        <v>32</v>
      </c>
      <c r="H2657" t="s">
        <v>33</v>
      </c>
      <c r="I2657" t="s">
        <v>34</v>
      </c>
      <c r="J2657" t="s">
        <v>35</v>
      </c>
      <c r="K2657" t="s">
        <v>113</v>
      </c>
      <c r="L2657" t="s">
        <v>45</v>
      </c>
      <c r="M2657">
        <v>0</v>
      </c>
      <c r="N2657">
        <v>1</v>
      </c>
      <c r="O2657" s="5" t="s">
        <v>426</v>
      </c>
      <c r="P2657" s="5"/>
      <c r="Q2657">
        <f>165-90</f>
        <v>75</v>
      </c>
      <c r="R2657" t="s">
        <v>46</v>
      </c>
      <c r="S2657" t="s">
        <v>39</v>
      </c>
      <c r="T2657">
        <v>30</v>
      </c>
      <c r="W2657">
        <v>21.9</v>
      </c>
      <c r="X2657">
        <v>40</v>
      </c>
      <c r="Z2657" t="s">
        <v>102</v>
      </c>
      <c r="AB2657" t="s">
        <v>47</v>
      </c>
      <c r="AC2657" t="s">
        <v>41</v>
      </c>
    </row>
    <row r="2658" spans="1:30" x14ac:dyDescent="0.35">
      <c r="A2658" s="4">
        <v>42586</v>
      </c>
      <c r="B2658" t="s">
        <v>30</v>
      </c>
      <c r="C2658">
        <v>201</v>
      </c>
      <c r="D2658">
        <v>2</v>
      </c>
      <c r="E2658">
        <v>1</v>
      </c>
      <c r="F2658" t="s">
        <v>42</v>
      </c>
      <c r="G2658" t="s">
        <v>32</v>
      </c>
      <c r="H2658" t="s">
        <v>33</v>
      </c>
      <c r="I2658" t="s">
        <v>34</v>
      </c>
      <c r="J2658" t="s">
        <v>44</v>
      </c>
      <c r="K2658" t="s">
        <v>88</v>
      </c>
      <c r="L2658" t="s">
        <v>45</v>
      </c>
      <c r="M2658">
        <v>0</v>
      </c>
      <c r="N2658">
        <v>0</v>
      </c>
      <c r="O2658" s="5" t="s">
        <v>427</v>
      </c>
      <c r="P2658" s="5"/>
      <c r="Q2658">
        <f>170-90</f>
        <v>80</v>
      </c>
      <c r="R2658" t="s">
        <v>46</v>
      </c>
      <c r="S2658" t="s">
        <v>39</v>
      </c>
      <c r="T2658">
        <v>29</v>
      </c>
      <c r="W2658">
        <v>21.7</v>
      </c>
      <c r="X2658">
        <v>40</v>
      </c>
      <c r="Z2658" t="s">
        <v>39</v>
      </c>
      <c r="AB2658" t="s">
        <v>47</v>
      </c>
      <c r="AC2658" t="s">
        <v>41</v>
      </c>
    </row>
    <row r="2659" spans="1:30" x14ac:dyDescent="0.35">
      <c r="A2659" s="4">
        <v>42586</v>
      </c>
      <c r="B2659" t="s">
        <v>30</v>
      </c>
      <c r="C2659">
        <v>402</v>
      </c>
      <c r="D2659">
        <v>8</v>
      </c>
      <c r="E2659">
        <v>2</v>
      </c>
      <c r="F2659" t="s">
        <v>315</v>
      </c>
      <c r="G2659" t="s">
        <v>32</v>
      </c>
      <c r="H2659" t="s">
        <v>33</v>
      </c>
      <c r="I2659" t="s">
        <v>34</v>
      </c>
      <c r="J2659" t="s">
        <v>44</v>
      </c>
      <c r="K2659" t="s">
        <v>113</v>
      </c>
      <c r="L2659" t="s">
        <v>37</v>
      </c>
      <c r="M2659">
        <v>0</v>
      </c>
      <c r="N2659">
        <v>0</v>
      </c>
      <c r="O2659" s="5" t="s">
        <v>428</v>
      </c>
      <c r="P2659" s="5"/>
      <c r="Q2659">
        <f>146-48</f>
        <v>98</v>
      </c>
      <c r="R2659" t="s">
        <v>38</v>
      </c>
      <c r="T2659">
        <v>31</v>
      </c>
      <c r="W2659">
        <v>22.2</v>
      </c>
      <c r="X2659">
        <v>34.799999999999997</v>
      </c>
      <c r="Z2659" t="s">
        <v>102</v>
      </c>
      <c r="AA2659" t="s">
        <v>429</v>
      </c>
      <c r="AB2659" t="s">
        <v>60</v>
      </c>
      <c r="AC2659" t="s">
        <v>87</v>
      </c>
    </row>
    <row r="2660" spans="1:30" x14ac:dyDescent="0.35">
      <c r="A2660" s="4">
        <v>42586</v>
      </c>
      <c r="B2660" t="s">
        <v>30</v>
      </c>
      <c r="C2660">
        <v>112</v>
      </c>
      <c r="D2660">
        <v>9</v>
      </c>
      <c r="E2660">
        <v>2</v>
      </c>
      <c r="F2660" t="s">
        <v>315</v>
      </c>
      <c r="G2660" t="s">
        <v>32</v>
      </c>
      <c r="H2660" t="s">
        <v>33</v>
      </c>
      <c r="I2660" t="s">
        <v>34</v>
      </c>
      <c r="J2660" t="s">
        <v>122</v>
      </c>
      <c r="O2660" s="5"/>
      <c r="P2660" s="5"/>
    </row>
    <row r="2661" spans="1:30" x14ac:dyDescent="0.35">
      <c r="A2661" s="4">
        <v>42586</v>
      </c>
      <c r="B2661" t="s">
        <v>30</v>
      </c>
      <c r="C2661">
        <v>201</v>
      </c>
      <c r="D2661">
        <v>10</v>
      </c>
      <c r="E2661">
        <v>1</v>
      </c>
      <c r="F2661" t="s">
        <v>42</v>
      </c>
      <c r="G2661" t="s">
        <v>32</v>
      </c>
      <c r="H2661" t="s">
        <v>33</v>
      </c>
      <c r="I2661" t="s">
        <v>58</v>
      </c>
      <c r="J2661" t="s">
        <v>35</v>
      </c>
      <c r="K2661" t="s">
        <v>88</v>
      </c>
      <c r="L2661" t="s">
        <v>45</v>
      </c>
      <c r="M2661">
        <v>0</v>
      </c>
      <c r="N2661">
        <v>1</v>
      </c>
      <c r="O2661" s="5" t="s">
        <v>430</v>
      </c>
      <c r="P2661" s="5"/>
      <c r="Q2661">
        <f>31-14</f>
        <v>17</v>
      </c>
      <c r="R2661" t="s">
        <v>79</v>
      </c>
      <c r="S2661" t="s">
        <v>39</v>
      </c>
      <c r="T2661">
        <v>17</v>
      </c>
      <c r="W2661">
        <v>12.4</v>
      </c>
      <c r="X2661">
        <v>25.15</v>
      </c>
      <c r="Z2661" t="s">
        <v>102</v>
      </c>
      <c r="AB2661" t="s">
        <v>47</v>
      </c>
      <c r="AC2661" t="s">
        <v>41</v>
      </c>
    </row>
    <row r="2662" spans="1:30" x14ac:dyDescent="0.35">
      <c r="A2662" s="4">
        <v>42586</v>
      </c>
      <c r="B2662" t="s">
        <v>30</v>
      </c>
      <c r="C2662">
        <v>304</v>
      </c>
      <c r="D2662">
        <v>6</v>
      </c>
      <c r="E2662">
        <v>2</v>
      </c>
      <c r="F2662" t="s">
        <v>42</v>
      </c>
      <c r="G2662" t="s">
        <v>32</v>
      </c>
      <c r="H2662" t="s">
        <v>33</v>
      </c>
      <c r="I2662" t="s">
        <v>58</v>
      </c>
      <c r="J2662" t="s">
        <v>35</v>
      </c>
      <c r="K2662" t="s">
        <v>88</v>
      </c>
      <c r="L2662" t="s">
        <v>45</v>
      </c>
      <c r="M2662">
        <v>0</v>
      </c>
      <c r="N2662">
        <v>1</v>
      </c>
      <c r="O2662" s="5" t="s">
        <v>431</v>
      </c>
      <c r="P2662" s="5"/>
      <c r="Q2662">
        <f>32-14</f>
        <v>18</v>
      </c>
      <c r="R2662" t="s">
        <v>46</v>
      </c>
      <c r="S2662" t="s">
        <v>39</v>
      </c>
      <c r="Z2662" t="s">
        <v>102</v>
      </c>
      <c r="AB2662" t="s">
        <v>47</v>
      </c>
      <c r="AC2662" t="s">
        <v>41</v>
      </c>
      <c r="AD2662" t="s">
        <v>376</v>
      </c>
    </row>
    <row r="2663" spans="1:30" x14ac:dyDescent="0.35">
      <c r="A2663" s="4">
        <v>42586</v>
      </c>
      <c r="B2663" t="s">
        <v>30</v>
      </c>
      <c r="C2663">
        <v>201</v>
      </c>
      <c r="D2663">
        <v>8</v>
      </c>
      <c r="E2663">
        <v>2</v>
      </c>
      <c r="F2663" t="s">
        <v>42</v>
      </c>
      <c r="G2663" t="s">
        <v>32</v>
      </c>
      <c r="H2663" t="s">
        <v>33</v>
      </c>
      <c r="I2663" t="s">
        <v>58</v>
      </c>
      <c r="J2663" t="s">
        <v>44</v>
      </c>
      <c r="K2663" t="s">
        <v>36</v>
      </c>
      <c r="L2663" t="s">
        <v>37</v>
      </c>
      <c r="M2663">
        <v>0</v>
      </c>
      <c r="N2663">
        <v>0</v>
      </c>
      <c r="O2663" s="5">
        <v>50672</v>
      </c>
      <c r="P2663" s="5"/>
      <c r="Q2663">
        <f>34.5-12</f>
        <v>22.5</v>
      </c>
      <c r="R2663" t="s">
        <v>64</v>
      </c>
      <c r="T2663">
        <v>17</v>
      </c>
      <c r="W2663">
        <v>12.7</v>
      </c>
      <c r="X2663">
        <v>30.8</v>
      </c>
      <c r="Z2663" t="s">
        <v>102</v>
      </c>
      <c r="AB2663" t="s">
        <v>47</v>
      </c>
      <c r="AC2663" t="s">
        <v>41</v>
      </c>
    </row>
    <row r="2664" spans="1:30" x14ac:dyDescent="0.35">
      <c r="A2664" s="4">
        <v>42586</v>
      </c>
      <c r="B2664" t="s">
        <v>30</v>
      </c>
      <c r="C2664">
        <v>402</v>
      </c>
      <c r="D2664">
        <v>1</v>
      </c>
      <c r="E2664">
        <v>2</v>
      </c>
      <c r="F2664" t="s">
        <v>315</v>
      </c>
      <c r="G2664" t="s">
        <v>32</v>
      </c>
      <c r="H2664" t="s">
        <v>33</v>
      </c>
      <c r="I2664" t="s">
        <v>58</v>
      </c>
      <c r="J2664" t="s">
        <v>425</v>
      </c>
      <c r="O2664" s="5" t="s">
        <v>432</v>
      </c>
      <c r="P2664" s="5"/>
    </row>
    <row r="2665" spans="1:30" x14ac:dyDescent="0.35">
      <c r="A2665" s="4">
        <v>42586</v>
      </c>
      <c r="B2665" t="s">
        <v>30</v>
      </c>
      <c r="C2665">
        <v>203</v>
      </c>
      <c r="D2665">
        <v>7</v>
      </c>
      <c r="E2665">
        <v>2</v>
      </c>
      <c r="F2665" t="s">
        <v>42</v>
      </c>
      <c r="G2665" t="s">
        <v>32</v>
      </c>
      <c r="H2665" t="s">
        <v>33</v>
      </c>
      <c r="I2665" t="s">
        <v>58</v>
      </c>
      <c r="J2665" t="s">
        <v>44</v>
      </c>
      <c r="K2665" t="s">
        <v>36</v>
      </c>
      <c r="L2665" t="s">
        <v>37</v>
      </c>
      <c r="M2665">
        <v>0</v>
      </c>
      <c r="N2665">
        <v>0</v>
      </c>
      <c r="O2665" s="5">
        <v>50934</v>
      </c>
      <c r="P2665" s="5"/>
      <c r="Q2665">
        <f>31-13</f>
        <v>18</v>
      </c>
      <c r="R2665" t="s">
        <v>64</v>
      </c>
      <c r="T2665">
        <v>17</v>
      </c>
      <c r="W2665">
        <v>12.2</v>
      </c>
      <c r="X2665">
        <v>26.7</v>
      </c>
      <c r="Z2665" t="s">
        <v>102</v>
      </c>
      <c r="AB2665" t="s">
        <v>47</v>
      </c>
      <c r="AC2665" t="s">
        <v>41</v>
      </c>
    </row>
    <row r="2666" spans="1:30" x14ac:dyDescent="0.35">
      <c r="A2666" s="4">
        <v>42586</v>
      </c>
      <c r="B2666" t="s">
        <v>30</v>
      </c>
      <c r="C2666">
        <v>203</v>
      </c>
      <c r="D2666">
        <v>6</v>
      </c>
      <c r="E2666">
        <v>1</v>
      </c>
      <c r="F2666" t="s">
        <v>42</v>
      </c>
      <c r="G2666" t="s">
        <v>32</v>
      </c>
      <c r="H2666" t="s">
        <v>33</v>
      </c>
      <c r="I2666" t="s">
        <v>55</v>
      </c>
      <c r="J2666" t="s">
        <v>66</v>
      </c>
      <c r="O2666" s="5"/>
      <c r="P2666" s="5"/>
      <c r="AB2666" t="s">
        <v>47</v>
      </c>
      <c r="AC2666" t="s">
        <v>41</v>
      </c>
    </row>
    <row r="2667" spans="1:30" x14ac:dyDescent="0.35">
      <c r="A2667" s="4">
        <v>42586</v>
      </c>
      <c r="B2667" t="s">
        <v>30</v>
      </c>
      <c r="C2667">
        <v>112</v>
      </c>
      <c r="D2667">
        <v>3</v>
      </c>
      <c r="E2667">
        <v>1</v>
      </c>
      <c r="F2667" t="s">
        <v>315</v>
      </c>
      <c r="G2667" t="s">
        <v>32</v>
      </c>
      <c r="H2667" t="s">
        <v>33</v>
      </c>
      <c r="I2667" t="s">
        <v>55</v>
      </c>
      <c r="J2667" t="s">
        <v>66</v>
      </c>
      <c r="O2667" s="5"/>
      <c r="P2667" s="5"/>
    </row>
    <row r="2668" spans="1:30" x14ac:dyDescent="0.35">
      <c r="A2668" s="4">
        <v>42586</v>
      </c>
      <c r="B2668" t="s">
        <v>30</v>
      </c>
      <c r="C2668">
        <v>402</v>
      </c>
      <c r="D2668">
        <v>2</v>
      </c>
      <c r="E2668">
        <v>1</v>
      </c>
      <c r="F2668" t="s">
        <v>315</v>
      </c>
      <c r="G2668" t="s">
        <v>32</v>
      </c>
      <c r="H2668" t="s">
        <v>33</v>
      </c>
      <c r="I2668" t="s">
        <v>84</v>
      </c>
      <c r="O2668" s="5"/>
      <c r="P2668" s="5"/>
    </row>
    <row r="2669" spans="1:30" x14ac:dyDescent="0.35">
      <c r="A2669" s="4">
        <v>42586</v>
      </c>
      <c r="B2669" t="s">
        <v>30</v>
      </c>
      <c r="C2669">
        <v>402</v>
      </c>
      <c r="D2669">
        <v>4</v>
      </c>
      <c r="E2669">
        <v>2</v>
      </c>
      <c r="F2669" t="s">
        <v>315</v>
      </c>
      <c r="G2669" t="s">
        <v>32</v>
      </c>
      <c r="H2669" t="s">
        <v>33</v>
      </c>
      <c r="I2669" t="s">
        <v>84</v>
      </c>
      <c r="O2669" s="5"/>
      <c r="P2669" s="5"/>
    </row>
    <row r="2670" spans="1:30" x14ac:dyDescent="0.35">
      <c r="A2670" s="4">
        <v>42586</v>
      </c>
      <c r="B2670" t="s">
        <v>30</v>
      </c>
      <c r="C2670">
        <v>402</v>
      </c>
      <c r="D2670">
        <v>5</v>
      </c>
      <c r="E2670">
        <v>1</v>
      </c>
      <c r="F2670" t="s">
        <v>315</v>
      </c>
      <c r="G2670" t="s">
        <v>32</v>
      </c>
      <c r="H2670" t="s">
        <v>33</v>
      </c>
      <c r="I2670" t="s">
        <v>84</v>
      </c>
      <c r="O2670" s="5"/>
      <c r="P2670" s="5"/>
    </row>
    <row r="2671" spans="1:30" x14ac:dyDescent="0.35">
      <c r="A2671" s="4">
        <v>42586</v>
      </c>
      <c r="B2671" t="s">
        <v>30</v>
      </c>
      <c r="C2671">
        <v>402</v>
      </c>
      <c r="D2671">
        <v>7</v>
      </c>
      <c r="E2671">
        <v>2</v>
      </c>
      <c r="F2671" t="s">
        <v>315</v>
      </c>
      <c r="G2671" t="s">
        <v>32</v>
      </c>
      <c r="H2671" t="s">
        <v>33</v>
      </c>
      <c r="I2671" t="s">
        <v>84</v>
      </c>
      <c r="O2671" s="5"/>
      <c r="P2671" s="5"/>
    </row>
    <row r="2672" spans="1:30" x14ac:dyDescent="0.35">
      <c r="A2672" s="4">
        <v>42586</v>
      </c>
      <c r="B2672" t="s">
        <v>30</v>
      </c>
      <c r="C2672">
        <v>402</v>
      </c>
      <c r="D2672">
        <v>8</v>
      </c>
      <c r="E2672">
        <v>1</v>
      </c>
      <c r="F2672" t="s">
        <v>315</v>
      </c>
      <c r="G2672" t="s">
        <v>32</v>
      </c>
      <c r="H2672" t="s">
        <v>33</v>
      </c>
      <c r="I2672" t="s">
        <v>84</v>
      </c>
      <c r="O2672" s="5"/>
      <c r="P2672" s="5"/>
    </row>
    <row r="2673" spans="1:16" x14ac:dyDescent="0.35">
      <c r="A2673" s="4">
        <v>42586</v>
      </c>
      <c r="B2673" t="s">
        <v>30</v>
      </c>
      <c r="C2673">
        <v>402</v>
      </c>
      <c r="D2673">
        <v>9</v>
      </c>
      <c r="E2673">
        <v>1</v>
      </c>
      <c r="F2673" t="s">
        <v>315</v>
      </c>
      <c r="G2673" t="s">
        <v>32</v>
      </c>
      <c r="H2673" t="s">
        <v>33</v>
      </c>
      <c r="I2673" t="s">
        <v>84</v>
      </c>
      <c r="O2673" s="5"/>
      <c r="P2673" s="5"/>
    </row>
    <row r="2674" spans="1:16" x14ac:dyDescent="0.35">
      <c r="A2674" s="4">
        <v>42586</v>
      </c>
      <c r="B2674" t="s">
        <v>30</v>
      </c>
      <c r="C2674">
        <v>402</v>
      </c>
      <c r="D2674">
        <v>9</v>
      </c>
      <c r="E2674">
        <v>2</v>
      </c>
      <c r="F2674" t="s">
        <v>315</v>
      </c>
      <c r="G2674" t="s">
        <v>32</v>
      </c>
      <c r="H2674" t="s">
        <v>33</v>
      </c>
      <c r="I2674" t="s">
        <v>84</v>
      </c>
      <c r="O2674" s="5"/>
      <c r="P2674" s="5"/>
    </row>
    <row r="2675" spans="1:16" x14ac:dyDescent="0.35">
      <c r="A2675" s="4">
        <v>42586</v>
      </c>
      <c r="B2675" t="s">
        <v>30</v>
      </c>
      <c r="C2675">
        <v>402</v>
      </c>
      <c r="D2675">
        <v>10</v>
      </c>
      <c r="E2675">
        <v>1</v>
      </c>
      <c r="F2675" t="s">
        <v>315</v>
      </c>
      <c r="G2675" t="s">
        <v>32</v>
      </c>
      <c r="H2675" t="s">
        <v>33</v>
      </c>
      <c r="I2675" t="s">
        <v>84</v>
      </c>
      <c r="O2675" s="5"/>
      <c r="P2675" s="5"/>
    </row>
    <row r="2676" spans="1:16" x14ac:dyDescent="0.35">
      <c r="A2676" s="4">
        <v>42586</v>
      </c>
      <c r="B2676" t="s">
        <v>30</v>
      </c>
      <c r="C2676">
        <v>402</v>
      </c>
      <c r="D2676">
        <v>10</v>
      </c>
      <c r="E2676">
        <v>2</v>
      </c>
      <c r="F2676" t="s">
        <v>315</v>
      </c>
      <c r="G2676" t="s">
        <v>32</v>
      </c>
      <c r="H2676" t="s">
        <v>33</v>
      </c>
      <c r="I2676" t="s">
        <v>84</v>
      </c>
      <c r="O2676" s="5"/>
      <c r="P2676" s="5"/>
    </row>
    <row r="2677" spans="1:16" x14ac:dyDescent="0.35">
      <c r="A2677" s="4">
        <v>42586</v>
      </c>
      <c r="B2677" t="s">
        <v>30</v>
      </c>
      <c r="C2677">
        <v>201</v>
      </c>
      <c r="D2677">
        <v>3</v>
      </c>
      <c r="E2677">
        <v>1</v>
      </c>
      <c r="F2677" t="s">
        <v>42</v>
      </c>
      <c r="G2677" t="s">
        <v>32</v>
      </c>
      <c r="H2677" t="s">
        <v>33</v>
      </c>
      <c r="I2677" t="s">
        <v>59</v>
      </c>
      <c r="O2677" s="5"/>
      <c r="P2677" s="5"/>
    </row>
    <row r="2678" spans="1:16" x14ac:dyDescent="0.35">
      <c r="A2678" s="4">
        <v>42586</v>
      </c>
      <c r="B2678" t="s">
        <v>30</v>
      </c>
      <c r="C2678">
        <v>201</v>
      </c>
      <c r="D2678">
        <v>3</v>
      </c>
      <c r="E2678">
        <v>2</v>
      </c>
      <c r="F2678" t="s">
        <v>42</v>
      </c>
      <c r="G2678" t="s">
        <v>32</v>
      </c>
      <c r="H2678" t="s">
        <v>33</v>
      </c>
      <c r="I2678" t="s">
        <v>59</v>
      </c>
      <c r="O2678" s="5"/>
      <c r="P2678" s="5"/>
    </row>
    <row r="2679" spans="1:16" x14ac:dyDescent="0.35">
      <c r="A2679" s="4">
        <v>42586</v>
      </c>
      <c r="B2679" t="s">
        <v>30</v>
      </c>
      <c r="C2679">
        <v>201</v>
      </c>
      <c r="D2679">
        <v>6</v>
      </c>
      <c r="E2679">
        <v>1</v>
      </c>
      <c r="F2679" t="s">
        <v>42</v>
      </c>
      <c r="G2679" t="s">
        <v>32</v>
      </c>
      <c r="H2679" t="s">
        <v>33</v>
      </c>
      <c r="I2679" t="s">
        <v>59</v>
      </c>
      <c r="O2679" s="5"/>
      <c r="P2679" s="5"/>
    </row>
    <row r="2680" spans="1:16" x14ac:dyDescent="0.35">
      <c r="A2680" s="4">
        <v>42586</v>
      </c>
      <c r="B2680" t="s">
        <v>30</v>
      </c>
      <c r="C2680">
        <v>201</v>
      </c>
      <c r="D2680">
        <v>6</v>
      </c>
      <c r="E2680">
        <v>2</v>
      </c>
      <c r="F2680" t="s">
        <v>42</v>
      </c>
      <c r="G2680" t="s">
        <v>32</v>
      </c>
      <c r="H2680" t="s">
        <v>33</v>
      </c>
      <c r="I2680" t="s">
        <v>59</v>
      </c>
      <c r="O2680" s="5"/>
      <c r="P2680" s="5"/>
    </row>
    <row r="2681" spans="1:16" x14ac:dyDescent="0.35">
      <c r="A2681" s="4">
        <v>42586</v>
      </c>
      <c r="B2681" t="s">
        <v>30</v>
      </c>
      <c r="C2681">
        <v>203</v>
      </c>
      <c r="D2681">
        <v>1</v>
      </c>
      <c r="E2681">
        <v>1</v>
      </c>
      <c r="F2681" t="s">
        <v>42</v>
      </c>
      <c r="G2681" t="s">
        <v>32</v>
      </c>
      <c r="H2681" t="s">
        <v>33</v>
      </c>
      <c r="I2681" t="s">
        <v>59</v>
      </c>
      <c r="O2681" s="5"/>
      <c r="P2681" s="5"/>
    </row>
    <row r="2682" spans="1:16" x14ac:dyDescent="0.35">
      <c r="A2682" s="4">
        <v>42586</v>
      </c>
      <c r="B2682" t="s">
        <v>30</v>
      </c>
      <c r="C2682">
        <v>202</v>
      </c>
      <c r="D2682">
        <v>1</v>
      </c>
      <c r="E2682">
        <v>1</v>
      </c>
      <c r="F2682" t="s">
        <v>42</v>
      </c>
      <c r="G2682" t="s">
        <v>32</v>
      </c>
      <c r="H2682" t="s">
        <v>33</v>
      </c>
      <c r="I2682" t="s">
        <v>59</v>
      </c>
      <c r="O2682" s="5"/>
      <c r="P2682" s="5"/>
    </row>
    <row r="2683" spans="1:16" x14ac:dyDescent="0.35">
      <c r="A2683" s="4">
        <v>42586</v>
      </c>
      <c r="B2683" t="s">
        <v>30</v>
      </c>
      <c r="C2683">
        <v>202</v>
      </c>
      <c r="D2683">
        <v>2</v>
      </c>
      <c r="E2683">
        <v>1</v>
      </c>
      <c r="F2683" t="s">
        <v>42</v>
      </c>
      <c r="G2683" t="s">
        <v>32</v>
      </c>
      <c r="H2683" t="s">
        <v>33</v>
      </c>
      <c r="I2683" t="s">
        <v>59</v>
      </c>
      <c r="O2683" s="5"/>
      <c r="P2683" s="5"/>
    </row>
    <row r="2684" spans="1:16" x14ac:dyDescent="0.35">
      <c r="A2684" s="4">
        <v>42586</v>
      </c>
      <c r="B2684" t="s">
        <v>30</v>
      </c>
      <c r="C2684">
        <v>202</v>
      </c>
      <c r="D2684">
        <v>4</v>
      </c>
      <c r="E2684">
        <v>1</v>
      </c>
      <c r="F2684" t="s">
        <v>42</v>
      </c>
      <c r="G2684" t="s">
        <v>32</v>
      </c>
      <c r="H2684" t="s">
        <v>33</v>
      </c>
      <c r="I2684" t="s">
        <v>59</v>
      </c>
      <c r="O2684" s="5"/>
      <c r="P2684" s="5"/>
    </row>
    <row r="2685" spans="1:16" x14ac:dyDescent="0.35">
      <c r="A2685" s="4">
        <v>42586</v>
      </c>
      <c r="B2685" t="s">
        <v>30</v>
      </c>
      <c r="C2685">
        <v>202</v>
      </c>
      <c r="D2685">
        <v>6</v>
      </c>
      <c r="E2685">
        <v>1</v>
      </c>
      <c r="F2685" t="s">
        <v>42</v>
      </c>
      <c r="G2685" t="s">
        <v>32</v>
      </c>
      <c r="H2685" t="s">
        <v>33</v>
      </c>
      <c r="I2685" t="s">
        <v>59</v>
      </c>
      <c r="O2685" s="5"/>
      <c r="P2685" s="5"/>
    </row>
    <row r="2686" spans="1:16" x14ac:dyDescent="0.35">
      <c r="A2686" s="4">
        <v>42586</v>
      </c>
      <c r="B2686" t="s">
        <v>30</v>
      </c>
      <c r="C2686">
        <v>202</v>
      </c>
      <c r="D2686">
        <v>7</v>
      </c>
      <c r="E2686">
        <v>1</v>
      </c>
      <c r="F2686" t="s">
        <v>42</v>
      </c>
      <c r="G2686" t="s">
        <v>32</v>
      </c>
      <c r="H2686" t="s">
        <v>33</v>
      </c>
      <c r="I2686" t="s">
        <v>59</v>
      </c>
      <c r="O2686" s="5"/>
      <c r="P2686" s="5"/>
    </row>
    <row r="2687" spans="1:16" x14ac:dyDescent="0.35">
      <c r="A2687" s="4">
        <v>42586</v>
      </c>
      <c r="B2687" t="s">
        <v>30</v>
      </c>
      <c r="C2687">
        <v>202</v>
      </c>
      <c r="D2687">
        <v>8</v>
      </c>
      <c r="E2687">
        <v>1</v>
      </c>
      <c r="F2687" t="s">
        <v>42</v>
      </c>
      <c r="G2687" t="s">
        <v>32</v>
      </c>
      <c r="H2687" t="s">
        <v>33</v>
      </c>
      <c r="I2687" t="s">
        <v>59</v>
      </c>
      <c r="O2687" s="5"/>
      <c r="P2687" s="5"/>
    </row>
    <row r="2688" spans="1:16" x14ac:dyDescent="0.35">
      <c r="A2688" s="4">
        <v>42586</v>
      </c>
      <c r="B2688" t="s">
        <v>30</v>
      </c>
      <c r="C2688">
        <v>304</v>
      </c>
      <c r="D2688">
        <v>8</v>
      </c>
      <c r="E2688">
        <v>2</v>
      </c>
      <c r="F2688" t="s">
        <v>42</v>
      </c>
      <c r="G2688" t="s">
        <v>32</v>
      </c>
      <c r="H2688" t="s">
        <v>33</v>
      </c>
      <c r="I2688" t="s">
        <v>59</v>
      </c>
      <c r="O2688" s="5"/>
      <c r="P2688" s="5"/>
    </row>
    <row r="2689" spans="1:16" x14ac:dyDescent="0.35">
      <c r="A2689" s="4">
        <v>42586</v>
      </c>
      <c r="B2689" t="s">
        <v>30</v>
      </c>
      <c r="C2689">
        <v>304</v>
      </c>
      <c r="D2689">
        <v>6</v>
      </c>
      <c r="E2689">
        <v>1</v>
      </c>
      <c r="F2689" t="s">
        <v>42</v>
      </c>
      <c r="G2689" t="s">
        <v>32</v>
      </c>
      <c r="H2689" t="s">
        <v>33</v>
      </c>
      <c r="I2689" t="s">
        <v>59</v>
      </c>
      <c r="O2689" s="5"/>
      <c r="P2689" s="5"/>
    </row>
    <row r="2690" spans="1:16" x14ac:dyDescent="0.35">
      <c r="A2690" s="4">
        <v>42586</v>
      </c>
      <c r="B2690" t="s">
        <v>30</v>
      </c>
      <c r="C2690">
        <v>111</v>
      </c>
      <c r="D2690">
        <v>1</v>
      </c>
      <c r="E2690">
        <v>1</v>
      </c>
      <c r="F2690" t="s">
        <v>315</v>
      </c>
      <c r="G2690" t="s">
        <v>32</v>
      </c>
      <c r="H2690" t="s">
        <v>33</v>
      </c>
      <c r="I2690" t="s">
        <v>59</v>
      </c>
      <c r="O2690" s="5"/>
      <c r="P2690" s="5"/>
    </row>
    <row r="2691" spans="1:16" x14ac:dyDescent="0.35">
      <c r="A2691" s="4">
        <v>42586</v>
      </c>
      <c r="B2691" t="s">
        <v>30</v>
      </c>
      <c r="C2691">
        <v>111</v>
      </c>
      <c r="D2691">
        <v>4</v>
      </c>
      <c r="E2691">
        <v>2</v>
      </c>
      <c r="F2691" t="s">
        <v>315</v>
      </c>
      <c r="G2691" t="s">
        <v>32</v>
      </c>
      <c r="H2691" t="s">
        <v>33</v>
      </c>
      <c r="I2691" t="s">
        <v>59</v>
      </c>
      <c r="O2691" s="5"/>
      <c r="P2691" s="5"/>
    </row>
    <row r="2692" spans="1:16" x14ac:dyDescent="0.35">
      <c r="A2692" s="4">
        <v>42586</v>
      </c>
      <c r="B2692" t="s">
        <v>30</v>
      </c>
      <c r="C2692">
        <v>111</v>
      </c>
      <c r="D2692">
        <v>7</v>
      </c>
      <c r="E2692">
        <v>1</v>
      </c>
      <c r="F2692" t="s">
        <v>315</v>
      </c>
      <c r="G2692" t="s">
        <v>32</v>
      </c>
      <c r="H2692" t="s">
        <v>33</v>
      </c>
      <c r="I2692" t="s">
        <v>59</v>
      </c>
      <c r="O2692" s="5"/>
      <c r="P2692" s="5"/>
    </row>
    <row r="2693" spans="1:16" x14ac:dyDescent="0.35">
      <c r="A2693" s="4">
        <v>42586</v>
      </c>
      <c r="B2693" t="s">
        <v>30</v>
      </c>
      <c r="C2693">
        <v>111</v>
      </c>
      <c r="D2693">
        <v>9</v>
      </c>
      <c r="E2693">
        <v>1</v>
      </c>
      <c r="F2693" t="s">
        <v>315</v>
      </c>
      <c r="G2693" t="s">
        <v>32</v>
      </c>
      <c r="H2693" t="s">
        <v>33</v>
      </c>
      <c r="I2693" t="s">
        <v>59</v>
      </c>
      <c r="O2693" s="5"/>
      <c r="P2693" s="5"/>
    </row>
    <row r="2694" spans="1:16" x14ac:dyDescent="0.35">
      <c r="A2694" s="4">
        <v>42586</v>
      </c>
      <c r="B2694" t="s">
        <v>30</v>
      </c>
      <c r="C2694">
        <v>111</v>
      </c>
      <c r="D2694">
        <v>9</v>
      </c>
      <c r="E2694">
        <v>2</v>
      </c>
      <c r="F2694" t="s">
        <v>315</v>
      </c>
      <c r="G2694" t="s">
        <v>32</v>
      </c>
      <c r="H2694" t="s">
        <v>33</v>
      </c>
      <c r="I2694" t="s">
        <v>59</v>
      </c>
      <c r="O2694" s="5"/>
      <c r="P2694" s="5"/>
    </row>
    <row r="2695" spans="1:16" x14ac:dyDescent="0.35">
      <c r="A2695" s="4">
        <v>42586</v>
      </c>
      <c r="B2695" t="s">
        <v>30</v>
      </c>
      <c r="C2695">
        <v>112</v>
      </c>
      <c r="D2695">
        <v>1</v>
      </c>
      <c r="E2695">
        <v>1</v>
      </c>
      <c r="F2695" t="s">
        <v>315</v>
      </c>
      <c r="G2695" t="s">
        <v>32</v>
      </c>
      <c r="H2695" t="s">
        <v>33</v>
      </c>
      <c r="I2695" t="s">
        <v>59</v>
      </c>
      <c r="O2695" s="5"/>
      <c r="P2695" s="5"/>
    </row>
    <row r="2696" spans="1:16" x14ac:dyDescent="0.35">
      <c r="A2696" s="4">
        <v>42586</v>
      </c>
      <c r="B2696" t="s">
        <v>30</v>
      </c>
      <c r="C2696">
        <v>112</v>
      </c>
      <c r="D2696">
        <v>2</v>
      </c>
      <c r="E2696">
        <v>1</v>
      </c>
      <c r="F2696" t="s">
        <v>315</v>
      </c>
      <c r="G2696" t="s">
        <v>32</v>
      </c>
      <c r="H2696" t="s">
        <v>33</v>
      </c>
      <c r="I2696" t="s">
        <v>59</v>
      </c>
      <c r="O2696" s="5"/>
      <c r="P2696" s="5"/>
    </row>
    <row r="2697" spans="1:16" x14ac:dyDescent="0.35">
      <c r="A2697" s="4">
        <v>42586</v>
      </c>
      <c r="B2697" t="s">
        <v>30</v>
      </c>
      <c r="C2697">
        <v>112</v>
      </c>
      <c r="D2697">
        <v>3</v>
      </c>
      <c r="E2697">
        <v>2</v>
      </c>
      <c r="F2697" t="s">
        <v>315</v>
      </c>
      <c r="G2697" t="s">
        <v>32</v>
      </c>
      <c r="H2697" t="s">
        <v>33</v>
      </c>
      <c r="I2697" t="s">
        <v>59</v>
      </c>
      <c r="O2697" s="5"/>
      <c r="P2697" s="5"/>
    </row>
    <row r="2698" spans="1:16" x14ac:dyDescent="0.35">
      <c r="A2698" s="4">
        <v>42586</v>
      </c>
      <c r="B2698" t="s">
        <v>30</v>
      </c>
      <c r="C2698">
        <v>112</v>
      </c>
      <c r="D2698">
        <v>5</v>
      </c>
      <c r="E2698">
        <v>2</v>
      </c>
      <c r="F2698" t="s">
        <v>315</v>
      </c>
      <c r="G2698" t="s">
        <v>32</v>
      </c>
      <c r="H2698" t="s">
        <v>33</v>
      </c>
      <c r="I2698" t="s">
        <v>59</v>
      </c>
      <c r="O2698" s="5"/>
      <c r="P2698" s="5"/>
    </row>
    <row r="2699" spans="1:16" x14ac:dyDescent="0.35">
      <c r="A2699" s="4">
        <v>42586</v>
      </c>
      <c r="B2699" t="s">
        <v>30</v>
      </c>
      <c r="C2699">
        <v>112</v>
      </c>
      <c r="D2699">
        <v>8</v>
      </c>
      <c r="E2699">
        <v>2</v>
      </c>
      <c r="F2699" t="s">
        <v>315</v>
      </c>
      <c r="G2699" t="s">
        <v>32</v>
      </c>
      <c r="H2699" t="s">
        <v>33</v>
      </c>
      <c r="I2699" t="s">
        <v>59</v>
      </c>
      <c r="O2699" s="5"/>
      <c r="P2699" s="5"/>
    </row>
    <row r="2700" spans="1:16" x14ac:dyDescent="0.35">
      <c r="A2700" s="4">
        <v>42586</v>
      </c>
      <c r="B2700" t="s">
        <v>30</v>
      </c>
      <c r="C2700">
        <v>112</v>
      </c>
      <c r="D2700">
        <v>9</v>
      </c>
      <c r="E2700">
        <v>1</v>
      </c>
      <c r="F2700" t="s">
        <v>315</v>
      </c>
      <c r="G2700" t="s">
        <v>32</v>
      </c>
      <c r="H2700" t="s">
        <v>33</v>
      </c>
      <c r="I2700" t="s">
        <v>59</v>
      </c>
      <c r="O2700" s="5"/>
      <c r="P2700" s="5"/>
    </row>
    <row r="2701" spans="1:16" x14ac:dyDescent="0.35">
      <c r="A2701" s="4">
        <v>42586</v>
      </c>
      <c r="B2701" t="s">
        <v>30</v>
      </c>
      <c r="C2701">
        <v>113</v>
      </c>
      <c r="D2701">
        <v>2</v>
      </c>
      <c r="E2701">
        <v>1</v>
      </c>
      <c r="F2701" t="s">
        <v>315</v>
      </c>
      <c r="G2701" t="s">
        <v>32</v>
      </c>
      <c r="H2701" t="s">
        <v>33</v>
      </c>
      <c r="I2701" t="s">
        <v>59</v>
      </c>
      <c r="O2701" s="5"/>
      <c r="P2701" s="5"/>
    </row>
    <row r="2702" spans="1:16" x14ac:dyDescent="0.35">
      <c r="A2702" s="4">
        <v>42586</v>
      </c>
      <c r="B2702" t="s">
        <v>30</v>
      </c>
      <c r="C2702">
        <v>113</v>
      </c>
      <c r="D2702">
        <v>2</v>
      </c>
      <c r="E2702">
        <v>2</v>
      </c>
      <c r="F2702" t="s">
        <v>315</v>
      </c>
      <c r="G2702" t="s">
        <v>32</v>
      </c>
      <c r="H2702" t="s">
        <v>33</v>
      </c>
      <c r="I2702" t="s">
        <v>59</v>
      </c>
      <c r="O2702" s="5"/>
      <c r="P2702" s="5"/>
    </row>
    <row r="2703" spans="1:16" x14ac:dyDescent="0.35">
      <c r="A2703" s="4">
        <v>42586</v>
      </c>
      <c r="B2703" t="s">
        <v>30</v>
      </c>
      <c r="C2703">
        <v>113</v>
      </c>
      <c r="D2703">
        <v>3</v>
      </c>
      <c r="E2703">
        <v>1</v>
      </c>
      <c r="F2703" t="s">
        <v>315</v>
      </c>
      <c r="G2703" t="s">
        <v>32</v>
      </c>
      <c r="H2703" t="s">
        <v>33</v>
      </c>
      <c r="I2703" t="s">
        <v>59</v>
      </c>
      <c r="O2703" s="5"/>
      <c r="P2703" s="5"/>
    </row>
    <row r="2704" spans="1:16" x14ac:dyDescent="0.35">
      <c r="A2704" s="4">
        <v>42586</v>
      </c>
      <c r="B2704" t="s">
        <v>30</v>
      </c>
      <c r="C2704">
        <v>113</v>
      </c>
      <c r="D2704">
        <v>5</v>
      </c>
      <c r="E2704">
        <v>2</v>
      </c>
      <c r="F2704" t="s">
        <v>315</v>
      </c>
      <c r="G2704" t="s">
        <v>32</v>
      </c>
      <c r="H2704" t="s">
        <v>33</v>
      </c>
      <c r="I2704" t="s">
        <v>59</v>
      </c>
      <c r="O2704" s="5"/>
      <c r="P2704" s="5"/>
    </row>
    <row r="2705" spans="1:30" x14ac:dyDescent="0.35">
      <c r="A2705" s="4">
        <v>42586</v>
      </c>
      <c r="B2705" t="s">
        <v>30</v>
      </c>
      <c r="C2705">
        <v>113</v>
      </c>
      <c r="D2705">
        <v>6</v>
      </c>
      <c r="E2705">
        <v>1</v>
      </c>
      <c r="F2705" t="s">
        <v>315</v>
      </c>
      <c r="G2705" t="s">
        <v>32</v>
      </c>
      <c r="H2705" t="s">
        <v>33</v>
      </c>
      <c r="I2705" t="s">
        <v>59</v>
      </c>
      <c r="O2705" s="5"/>
      <c r="P2705" s="5"/>
    </row>
    <row r="2706" spans="1:30" x14ac:dyDescent="0.35">
      <c r="A2706" s="4">
        <v>42586</v>
      </c>
      <c r="B2706" t="s">
        <v>30</v>
      </c>
      <c r="C2706">
        <v>113</v>
      </c>
      <c r="D2706">
        <v>7</v>
      </c>
      <c r="E2706">
        <v>2</v>
      </c>
      <c r="F2706" t="s">
        <v>315</v>
      </c>
      <c r="G2706" t="s">
        <v>32</v>
      </c>
      <c r="H2706" t="s">
        <v>33</v>
      </c>
      <c r="I2706" t="s">
        <v>59</v>
      </c>
      <c r="O2706" s="5"/>
      <c r="P2706" s="5"/>
    </row>
    <row r="2707" spans="1:30" x14ac:dyDescent="0.35">
      <c r="A2707" s="4">
        <v>42586</v>
      </c>
      <c r="B2707" t="s">
        <v>30</v>
      </c>
      <c r="C2707">
        <v>113</v>
      </c>
      <c r="D2707">
        <v>8</v>
      </c>
      <c r="E2707">
        <v>1</v>
      </c>
      <c r="F2707" t="s">
        <v>315</v>
      </c>
      <c r="G2707" t="s">
        <v>32</v>
      </c>
      <c r="H2707" t="s">
        <v>33</v>
      </c>
      <c r="I2707" t="s">
        <v>59</v>
      </c>
      <c r="O2707" s="5"/>
      <c r="P2707" s="5"/>
    </row>
    <row r="2708" spans="1:30" x14ac:dyDescent="0.35">
      <c r="A2708" s="4">
        <v>42586</v>
      </c>
      <c r="B2708" t="s">
        <v>30</v>
      </c>
      <c r="C2708">
        <v>113</v>
      </c>
      <c r="D2708">
        <v>9</v>
      </c>
      <c r="E2708">
        <v>1</v>
      </c>
      <c r="F2708" t="s">
        <v>315</v>
      </c>
      <c r="G2708" t="s">
        <v>32</v>
      </c>
      <c r="H2708" t="s">
        <v>33</v>
      </c>
      <c r="I2708" t="s">
        <v>59</v>
      </c>
      <c r="O2708" s="5"/>
      <c r="P2708" s="5"/>
    </row>
    <row r="2709" spans="1:30" x14ac:dyDescent="0.35">
      <c r="A2709" s="4">
        <v>42586</v>
      </c>
      <c r="B2709" t="s">
        <v>30</v>
      </c>
      <c r="C2709">
        <v>113</v>
      </c>
      <c r="D2709">
        <v>9</v>
      </c>
      <c r="E2709">
        <v>2</v>
      </c>
      <c r="F2709" t="s">
        <v>315</v>
      </c>
      <c r="G2709" t="s">
        <v>32</v>
      </c>
      <c r="H2709" t="s">
        <v>33</v>
      </c>
      <c r="I2709" t="s">
        <v>59</v>
      </c>
      <c r="O2709" s="5"/>
      <c r="P2709" s="5"/>
    </row>
    <row r="2710" spans="1:30" x14ac:dyDescent="0.35">
      <c r="A2710" s="4">
        <v>42586</v>
      </c>
      <c r="B2710" t="s">
        <v>30</v>
      </c>
      <c r="C2710">
        <v>402</v>
      </c>
      <c r="D2710">
        <v>1</v>
      </c>
      <c r="E2710">
        <v>1</v>
      </c>
      <c r="F2710" t="s">
        <v>315</v>
      </c>
      <c r="G2710" t="s">
        <v>32</v>
      </c>
      <c r="H2710" t="s">
        <v>33</v>
      </c>
      <c r="I2710" t="s">
        <v>59</v>
      </c>
      <c r="O2710" s="5"/>
      <c r="P2710" s="5"/>
    </row>
    <row r="2711" spans="1:30" x14ac:dyDescent="0.35">
      <c r="A2711" s="4">
        <v>42586</v>
      </c>
      <c r="B2711" t="s">
        <v>30</v>
      </c>
      <c r="C2711">
        <v>402</v>
      </c>
      <c r="D2711">
        <v>3</v>
      </c>
      <c r="E2711">
        <v>1</v>
      </c>
      <c r="F2711" t="s">
        <v>315</v>
      </c>
      <c r="G2711" t="s">
        <v>32</v>
      </c>
      <c r="H2711" t="s">
        <v>33</v>
      </c>
      <c r="I2711" t="s">
        <v>59</v>
      </c>
      <c r="O2711" s="5"/>
      <c r="P2711" s="5"/>
    </row>
    <row r="2712" spans="1:30" x14ac:dyDescent="0.35">
      <c r="A2712" s="4">
        <v>42586</v>
      </c>
      <c r="B2712" t="s">
        <v>30</v>
      </c>
      <c r="C2712">
        <v>402</v>
      </c>
      <c r="D2712">
        <v>3</v>
      </c>
      <c r="E2712">
        <v>2</v>
      </c>
      <c r="F2712" t="s">
        <v>315</v>
      </c>
      <c r="G2712" t="s">
        <v>32</v>
      </c>
      <c r="H2712" t="s">
        <v>33</v>
      </c>
      <c r="I2712" t="s">
        <v>59</v>
      </c>
      <c r="O2712" s="5"/>
      <c r="P2712" s="5"/>
    </row>
    <row r="2713" spans="1:30" x14ac:dyDescent="0.35">
      <c r="A2713" s="4">
        <v>42586</v>
      </c>
      <c r="B2713" t="s">
        <v>30</v>
      </c>
      <c r="C2713">
        <v>402</v>
      </c>
      <c r="D2713">
        <v>4</v>
      </c>
      <c r="E2713">
        <v>1</v>
      </c>
      <c r="F2713" t="s">
        <v>315</v>
      </c>
      <c r="G2713" t="s">
        <v>32</v>
      </c>
      <c r="H2713" t="s">
        <v>33</v>
      </c>
      <c r="I2713" t="s">
        <v>59</v>
      </c>
      <c r="O2713" s="5"/>
      <c r="P2713" s="5"/>
    </row>
    <row r="2714" spans="1:30" x14ac:dyDescent="0.35">
      <c r="A2714" s="4">
        <v>42586</v>
      </c>
      <c r="B2714" t="s">
        <v>30</v>
      </c>
      <c r="C2714">
        <v>402</v>
      </c>
      <c r="D2714">
        <v>6</v>
      </c>
      <c r="E2714">
        <v>1</v>
      </c>
      <c r="F2714" t="s">
        <v>315</v>
      </c>
      <c r="G2714" t="s">
        <v>32</v>
      </c>
      <c r="H2714" t="s">
        <v>33</v>
      </c>
      <c r="I2714" t="s">
        <v>59</v>
      </c>
      <c r="O2714" s="5"/>
      <c r="P2714" s="5"/>
    </row>
    <row r="2715" spans="1:30" x14ac:dyDescent="0.35">
      <c r="A2715" s="4">
        <v>42586</v>
      </c>
      <c r="B2715" t="s">
        <v>30</v>
      </c>
      <c r="C2715">
        <v>402</v>
      </c>
      <c r="D2715">
        <v>7</v>
      </c>
      <c r="E2715">
        <v>1</v>
      </c>
      <c r="F2715" t="s">
        <v>315</v>
      </c>
      <c r="G2715" t="s">
        <v>32</v>
      </c>
      <c r="H2715" t="s">
        <v>33</v>
      </c>
      <c r="I2715" t="s">
        <v>59</v>
      </c>
      <c r="O2715" s="5"/>
      <c r="P2715" s="5"/>
    </row>
    <row r="2716" spans="1:30" x14ac:dyDescent="0.35">
      <c r="A2716" s="4">
        <v>42586</v>
      </c>
      <c r="B2716" t="s">
        <v>30</v>
      </c>
      <c r="C2716">
        <v>304</v>
      </c>
      <c r="D2716">
        <v>1</v>
      </c>
      <c r="E2716">
        <v>2</v>
      </c>
      <c r="F2716" t="s">
        <v>315</v>
      </c>
      <c r="G2716" t="s">
        <v>32</v>
      </c>
      <c r="H2716" t="s">
        <v>33</v>
      </c>
      <c r="I2716" t="s">
        <v>59</v>
      </c>
      <c r="O2716" s="5"/>
      <c r="P2716" s="5"/>
    </row>
    <row r="2717" spans="1:30" x14ac:dyDescent="0.35">
      <c r="A2717" s="4">
        <v>42586</v>
      </c>
      <c r="B2717" t="s">
        <v>30</v>
      </c>
      <c r="C2717">
        <v>111</v>
      </c>
      <c r="D2717">
        <v>10</v>
      </c>
      <c r="E2717">
        <v>1</v>
      </c>
      <c r="F2717" t="s">
        <v>315</v>
      </c>
      <c r="G2717" t="s">
        <v>32</v>
      </c>
      <c r="H2717" t="s">
        <v>33</v>
      </c>
      <c r="I2717" t="s">
        <v>94</v>
      </c>
      <c r="J2717" t="s">
        <v>35</v>
      </c>
      <c r="K2717" t="s">
        <v>36</v>
      </c>
      <c r="L2717" t="s">
        <v>37</v>
      </c>
      <c r="M2717">
        <v>0</v>
      </c>
      <c r="N2717">
        <v>1</v>
      </c>
      <c r="O2717" s="5" t="s">
        <v>433</v>
      </c>
      <c r="P2717" s="5"/>
      <c r="Q2717">
        <f>35.5-13</f>
        <v>22.5</v>
      </c>
      <c r="R2717" t="s">
        <v>38</v>
      </c>
      <c r="T2717">
        <v>29</v>
      </c>
      <c r="W2717">
        <v>13.1</v>
      </c>
      <c r="X2717">
        <v>26</v>
      </c>
      <c r="Z2717" t="s">
        <v>102</v>
      </c>
      <c r="AA2717" t="s">
        <v>434</v>
      </c>
      <c r="AB2717" t="s">
        <v>60</v>
      </c>
      <c r="AC2717" t="s">
        <v>87</v>
      </c>
    </row>
    <row r="2718" spans="1:30" x14ac:dyDescent="0.35">
      <c r="A2718" s="4">
        <v>42586</v>
      </c>
      <c r="B2718" t="s">
        <v>30</v>
      </c>
      <c r="C2718">
        <v>112</v>
      </c>
      <c r="D2718">
        <v>7</v>
      </c>
      <c r="E2718">
        <v>1</v>
      </c>
      <c r="F2718" t="s">
        <v>315</v>
      </c>
      <c r="G2718" t="s">
        <v>32</v>
      </c>
      <c r="H2718" t="s">
        <v>33</v>
      </c>
      <c r="I2718" t="s">
        <v>94</v>
      </c>
      <c r="J2718" t="s">
        <v>44</v>
      </c>
      <c r="K2718" t="s">
        <v>36</v>
      </c>
      <c r="L2718" t="s">
        <v>37</v>
      </c>
      <c r="M2718">
        <v>0</v>
      </c>
      <c r="N2718">
        <v>0</v>
      </c>
      <c r="O2718" s="5" t="s">
        <v>435</v>
      </c>
      <c r="P2718" s="5"/>
      <c r="Q2718">
        <f>33-13</f>
        <v>20</v>
      </c>
      <c r="R2718" t="s">
        <v>38</v>
      </c>
      <c r="T2718">
        <v>30</v>
      </c>
      <c r="W2718">
        <v>12.9</v>
      </c>
      <c r="X2718">
        <v>26.6</v>
      </c>
      <c r="Y2718" t="s">
        <v>436</v>
      </c>
      <c r="Z2718" t="s">
        <v>102</v>
      </c>
      <c r="AA2718" t="s">
        <v>201</v>
      </c>
      <c r="AB2718" t="s">
        <v>60</v>
      </c>
      <c r="AC2718" t="s">
        <v>87</v>
      </c>
    </row>
    <row r="2719" spans="1:30" x14ac:dyDescent="0.35">
      <c r="A2719" s="4">
        <v>42586</v>
      </c>
      <c r="B2719" t="s">
        <v>30</v>
      </c>
      <c r="C2719">
        <v>112</v>
      </c>
      <c r="D2719">
        <v>5</v>
      </c>
      <c r="E2719">
        <v>1</v>
      </c>
      <c r="F2719" t="s">
        <v>315</v>
      </c>
      <c r="G2719" t="s">
        <v>32</v>
      </c>
      <c r="H2719" t="s">
        <v>33</v>
      </c>
      <c r="I2719" t="s">
        <v>94</v>
      </c>
      <c r="J2719" t="s">
        <v>44</v>
      </c>
      <c r="K2719" t="s">
        <v>36</v>
      </c>
      <c r="L2719" t="s">
        <v>45</v>
      </c>
      <c r="M2719">
        <v>0</v>
      </c>
      <c r="N2719">
        <v>0</v>
      </c>
      <c r="O2719" s="5" t="s">
        <v>350</v>
      </c>
      <c r="P2719" s="5"/>
      <c r="Q2719">
        <f>34-13</f>
        <v>21</v>
      </c>
      <c r="R2719" t="s">
        <v>161</v>
      </c>
      <c r="S2719" t="s">
        <v>102</v>
      </c>
      <c r="T2719">
        <v>28</v>
      </c>
      <c r="W2719">
        <v>12.7</v>
      </c>
      <c r="X2719">
        <v>25.5</v>
      </c>
      <c r="Z2719" t="s">
        <v>39</v>
      </c>
      <c r="AB2719" t="s">
        <v>60</v>
      </c>
      <c r="AC2719" t="s">
        <v>87</v>
      </c>
    </row>
    <row r="2720" spans="1:30" x14ac:dyDescent="0.35">
      <c r="A2720" s="4">
        <v>42586</v>
      </c>
      <c r="B2720" t="s">
        <v>30</v>
      </c>
      <c r="C2720">
        <v>304</v>
      </c>
      <c r="D2720">
        <v>5</v>
      </c>
      <c r="E2720">
        <v>2</v>
      </c>
      <c r="F2720" t="s">
        <v>315</v>
      </c>
      <c r="G2720" t="s">
        <v>32</v>
      </c>
      <c r="H2720" t="s">
        <v>33</v>
      </c>
      <c r="I2720" t="s">
        <v>94</v>
      </c>
      <c r="J2720" t="s">
        <v>35</v>
      </c>
      <c r="K2720" t="s">
        <v>113</v>
      </c>
      <c r="L2720" t="s">
        <v>37</v>
      </c>
      <c r="M2720">
        <v>0</v>
      </c>
      <c r="N2720">
        <v>0</v>
      </c>
      <c r="O2720" s="5" t="s">
        <v>437</v>
      </c>
      <c r="P2720" s="5"/>
      <c r="Q2720">
        <f>31-16</f>
        <v>15</v>
      </c>
      <c r="R2720" t="s">
        <v>38</v>
      </c>
      <c r="Z2720" t="s">
        <v>102</v>
      </c>
      <c r="AA2720" t="s">
        <v>201</v>
      </c>
      <c r="AB2720" t="s">
        <v>60</v>
      </c>
      <c r="AC2720" t="s">
        <v>87</v>
      </c>
      <c r="AD2720" t="s">
        <v>370</v>
      </c>
    </row>
    <row r="2721" spans="1:30" x14ac:dyDescent="0.35">
      <c r="A2721" s="4">
        <v>42586</v>
      </c>
      <c r="B2721" t="s">
        <v>30</v>
      </c>
      <c r="C2721">
        <v>304</v>
      </c>
      <c r="D2721">
        <v>9</v>
      </c>
      <c r="E2721">
        <v>1</v>
      </c>
      <c r="F2721" t="s">
        <v>315</v>
      </c>
      <c r="G2721" t="s">
        <v>32</v>
      </c>
      <c r="H2721" t="s">
        <v>33</v>
      </c>
      <c r="I2721" t="s">
        <v>94</v>
      </c>
      <c r="J2721" t="s">
        <v>35</v>
      </c>
      <c r="K2721" t="s">
        <v>36</v>
      </c>
      <c r="L2721" t="s">
        <v>45</v>
      </c>
      <c r="M2721">
        <v>0</v>
      </c>
      <c r="N2721">
        <v>1</v>
      </c>
      <c r="O2721" s="5" t="s">
        <v>438</v>
      </c>
      <c r="P2721" s="5"/>
      <c r="Q2721">
        <f>41-14</f>
        <v>27</v>
      </c>
      <c r="R2721" t="s">
        <v>161</v>
      </c>
      <c r="S2721" t="s">
        <v>39</v>
      </c>
      <c r="T2721">
        <v>28</v>
      </c>
      <c r="W2721">
        <v>13</v>
      </c>
      <c r="X2721">
        <v>26.7</v>
      </c>
      <c r="Z2721" t="s">
        <v>102</v>
      </c>
      <c r="AA2721" t="s">
        <v>439</v>
      </c>
      <c r="AB2721" t="s">
        <v>60</v>
      </c>
      <c r="AC2721" t="s">
        <v>87</v>
      </c>
    </row>
    <row r="2722" spans="1:30" x14ac:dyDescent="0.35">
      <c r="A2722" s="4">
        <v>42586</v>
      </c>
      <c r="B2722" t="s">
        <v>30</v>
      </c>
      <c r="C2722">
        <v>304</v>
      </c>
      <c r="D2722">
        <v>10</v>
      </c>
      <c r="E2722">
        <v>1</v>
      </c>
      <c r="F2722" t="s">
        <v>315</v>
      </c>
      <c r="G2722" t="s">
        <v>32</v>
      </c>
      <c r="H2722" t="s">
        <v>33</v>
      </c>
      <c r="I2722" t="s">
        <v>94</v>
      </c>
      <c r="J2722" t="s">
        <v>35</v>
      </c>
      <c r="K2722" t="s">
        <v>36</v>
      </c>
      <c r="L2722" t="s">
        <v>45</v>
      </c>
      <c r="M2722">
        <v>0</v>
      </c>
      <c r="N2722">
        <v>1</v>
      </c>
      <c r="O2722" s="5" t="s">
        <v>440</v>
      </c>
      <c r="P2722" s="5"/>
      <c r="Q2722">
        <f>30.5-13</f>
        <v>17.5</v>
      </c>
      <c r="R2722" t="s">
        <v>161</v>
      </c>
      <c r="S2722" t="s">
        <v>102</v>
      </c>
      <c r="T2722">
        <v>29</v>
      </c>
      <c r="W2722">
        <v>13</v>
      </c>
      <c r="X2722">
        <v>25.6</v>
      </c>
      <c r="Z2722" t="s">
        <v>39</v>
      </c>
      <c r="AB2722" t="s">
        <v>60</v>
      </c>
      <c r="AC2722" t="s">
        <v>87</v>
      </c>
    </row>
    <row r="2723" spans="1:30" x14ac:dyDescent="0.35">
      <c r="A2723" s="4">
        <v>42586</v>
      </c>
      <c r="B2723" t="s">
        <v>30</v>
      </c>
      <c r="C2723">
        <v>112</v>
      </c>
      <c r="D2723">
        <v>2</v>
      </c>
      <c r="E2723">
        <v>2</v>
      </c>
      <c r="F2723" t="s">
        <v>315</v>
      </c>
      <c r="G2723" t="s">
        <v>32</v>
      </c>
      <c r="H2723" t="s">
        <v>33</v>
      </c>
      <c r="I2723" t="s">
        <v>94</v>
      </c>
      <c r="J2723" t="s">
        <v>35</v>
      </c>
      <c r="K2723" t="s">
        <v>113</v>
      </c>
      <c r="L2723" t="s">
        <v>37</v>
      </c>
      <c r="M2723">
        <v>0</v>
      </c>
      <c r="N2723">
        <v>1</v>
      </c>
      <c r="O2723" s="5" t="s">
        <v>392</v>
      </c>
      <c r="P2723" s="5"/>
      <c r="Q2723">
        <f>30-13</f>
        <v>17</v>
      </c>
      <c r="R2723" t="s">
        <v>38</v>
      </c>
      <c r="T2723">
        <v>30</v>
      </c>
      <c r="W2723">
        <v>12.8</v>
      </c>
      <c r="X2723">
        <v>25.7</v>
      </c>
      <c r="Z2723" t="s">
        <v>102</v>
      </c>
      <c r="AA2723" t="s">
        <v>201</v>
      </c>
      <c r="AB2723" t="s">
        <v>60</v>
      </c>
      <c r="AC2723" t="s">
        <v>87</v>
      </c>
    </row>
    <row r="2724" spans="1:30" x14ac:dyDescent="0.35">
      <c r="A2724" s="4">
        <v>42586</v>
      </c>
      <c r="B2724" t="s">
        <v>30</v>
      </c>
      <c r="C2724">
        <v>112</v>
      </c>
      <c r="D2724">
        <v>7</v>
      </c>
      <c r="E2724">
        <v>2</v>
      </c>
      <c r="F2724" t="s">
        <v>315</v>
      </c>
      <c r="G2724" t="s">
        <v>32</v>
      </c>
      <c r="H2724" t="s">
        <v>33</v>
      </c>
      <c r="I2724" t="s">
        <v>94</v>
      </c>
      <c r="J2724" t="s">
        <v>44</v>
      </c>
      <c r="K2724" t="s">
        <v>36</v>
      </c>
      <c r="L2724" t="s">
        <v>37</v>
      </c>
      <c r="M2724">
        <v>0</v>
      </c>
      <c r="N2724">
        <v>0</v>
      </c>
      <c r="O2724" s="5" t="s">
        <v>441</v>
      </c>
      <c r="P2724" s="5"/>
      <c r="Q2724">
        <f>34.5-15</f>
        <v>19.5</v>
      </c>
      <c r="R2724" t="s">
        <v>38</v>
      </c>
      <c r="T2724">
        <v>29</v>
      </c>
      <c r="W2724">
        <v>12.9</v>
      </c>
      <c r="X2724">
        <v>25.5</v>
      </c>
      <c r="Z2724" t="s">
        <v>39</v>
      </c>
      <c r="AB2724" t="s">
        <v>60</v>
      </c>
      <c r="AC2724" t="s">
        <v>87</v>
      </c>
    </row>
    <row r="2725" spans="1:30" x14ac:dyDescent="0.35">
      <c r="A2725" s="4">
        <v>42586</v>
      </c>
      <c r="B2725" t="s">
        <v>30</v>
      </c>
      <c r="C2725">
        <v>112</v>
      </c>
      <c r="D2725">
        <v>1</v>
      </c>
      <c r="E2725">
        <v>2</v>
      </c>
      <c r="F2725" t="s">
        <v>315</v>
      </c>
      <c r="G2725" t="s">
        <v>32</v>
      </c>
      <c r="H2725" t="s">
        <v>33</v>
      </c>
      <c r="I2725" t="s">
        <v>94</v>
      </c>
      <c r="J2725" t="s">
        <v>44</v>
      </c>
      <c r="K2725" t="s">
        <v>36</v>
      </c>
      <c r="L2725" t="s">
        <v>45</v>
      </c>
      <c r="M2725">
        <v>0</v>
      </c>
      <c r="N2725">
        <v>0</v>
      </c>
      <c r="O2725" s="5" t="s">
        <v>442</v>
      </c>
      <c r="P2725" s="5"/>
      <c r="Q2725">
        <f>37-14</f>
        <v>23</v>
      </c>
      <c r="R2725" t="s">
        <v>161</v>
      </c>
      <c r="S2725" t="s">
        <v>102</v>
      </c>
      <c r="T2725">
        <v>29</v>
      </c>
      <c r="W2725">
        <v>12.8</v>
      </c>
      <c r="X2725">
        <v>26.6</v>
      </c>
      <c r="Z2725" t="s">
        <v>102</v>
      </c>
      <c r="AA2725" t="s">
        <v>201</v>
      </c>
      <c r="AB2725" t="s">
        <v>60</v>
      </c>
      <c r="AC2725" t="s">
        <v>87</v>
      </c>
    </row>
    <row r="2726" spans="1:30" x14ac:dyDescent="0.35">
      <c r="A2726" s="4">
        <v>42586</v>
      </c>
      <c r="B2726" t="s">
        <v>30</v>
      </c>
      <c r="C2726">
        <v>203</v>
      </c>
      <c r="D2726">
        <v>4</v>
      </c>
      <c r="E2726">
        <v>2</v>
      </c>
      <c r="F2726" t="s">
        <v>42</v>
      </c>
      <c r="G2726" t="s">
        <v>32</v>
      </c>
      <c r="H2726" t="s">
        <v>33</v>
      </c>
      <c r="I2726" t="s">
        <v>94</v>
      </c>
      <c r="J2726" t="s">
        <v>44</v>
      </c>
      <c r="K2726" t="s">
        <v>36</v>
      </c>
      <c r="L2726" t="s">
        <v>45</v>
      </c>
      <c r="M2726">
        <v>0</v>
      </c>
      <c r="N2726">
        <v>0</v>
      </c>
      <c r="O2726" s="5"/>
      <c r="P2726" s="5">
        <v>50838</v>
      </c>
      <c r="Q2726">
        <f>35-12.5</f>
        <v>22.5</v>
      </c>
      <c r="R2726" t="s">
        <v>74</v>
      </c>
      <c r="S2726" t="s">
        <v>102</v>
      </c>
      <c r="T2726">
        <v>29</v>
      </c>
      <c r="W2726">
        <v>12.6</v>
      </c>
      <c r="X2726">
        <v>26.4</v>
      </c>
      <c r="Z2726" t="s">
        <v>39</v>
      </c>
      <c r="AB2726" t="s">
        <v>47</v>
      </c>
      <c r="AC2726" t="s">
        <v>41</v>
      </c>
    </row>
    <row r="2727" spans="1:30" x14ac:dyDescent="0.35">
      <c r="A2727" s="4">
        <v>42586</v>
      </c>
      <c r="B2727" t="s">
        <v>30</v>
      </c>
      <c r="C2727">
        <v>203</v>
      </c>
      <c r="D2727">
        <v>6</v>
      </c>
      <c r="E2727">
        <v>2</v>
      </c>
      <c r="F2727" t="s">
        <v>42</v>
      </c>
      <c r="G2727" t="s">
        <v>32</v>
      </c>
      <c r="H2727" t="s">
        <v>33</v>
      </c>
      <c r="I2727" t="s">
        <v>94</v>
      </c>
      <c r="J2727" t="s">
        <v>44</v>
      </c>
      <c r="K2727" t="s">
        <v>36</v>
      </c>
      <c r="L2727" t="s">
        <v>45</v>
      </c>
      <c r="M2727">
        <v>0</v>
      </c>
      <c r="N2727">
        <v>0</v>
      </c>
      <c r="O2727" s="5"/>
      <c r="P2727" s="5">
        <v>50656</v>
      </c>
      <c r="Q2727">
        <f>36-13</f>
        <v>23</v>
      </c>
      <c r="R2727" t="s">
        <v>74</v>
      </c>
      <c r="S2727" t="s">
        <v>102</v>
      </c>
      <c r="T2727">
        <v>28</v>
      </c>
      <c r="W2727">
        <v>13.4</v>
      </c>
      <c r="X2727">
        <v>26.5</v>
      </c>
      <c r="Z2727" t="s">
        <v>39</v>
      </c>
      <c r="AB2727" t="s">
        <v>47</v>
      </c>
      <c r="AC2727" t="s">
        <v>41</v>
      </c>
    </row>
    <row r="2728" spans="1:30" x14ac:dyDescent="0.35">
      <c r="A2728" s="4">
        <v>42586</v>
      </c>
      <c r="B2728" t="s">
        <v>30</v>
      </c>
      <c r="C2728">
        <v>113</v>
      </c>
      <c r="D2728">
        <v>5</v>
      </c>
      <c r="E2728">
        <v>1</v>
      </c>
      <c r="F2728" t="s">
        <v>315</v>
      </c>
      <c r="G2728" t="s">
        <v>32</v>
      </c>
      <c r="H2728" t="s">
        <v>33</v>
      </c>
      <c r="I2728" t="s">
        <v>94</v>
      </c>
      <c r="J2728" t="s">
        <v>44</v>
      </c>
      <c r="K2728" t="s">
        <v>36</v>
      </c>
      <c r="L2728" t="s">
        <v>37</v>
      </c>
      <c r="M2728">
        <v>0</v>
      </c>
      <c r="N2728">
        <v>0</v>
      </c>
      <c r="O2728" s="5"/>
      <c r="P2728" s="5" t="s">
        <v>237</v>
      </c>
      <c r="Q2728">
        <f>32.5-13</f>
        <v>19.5</v>
      </c>
      <c r="R2728" t="s">
        <v>38</v>
      </c>
      <c r="T2728">
        <v>28</v>
      </c>
      <c r="W2728">
        <v>12.9</v>
      </c>
      <c r="X2728">
        <v>25.3</v>
      </c>
      <c r="Z2728" t="s">
        <v>102</v>
      </c>
      <c r="AA2728" t="s">
        <v>201</v>
      </c>
      <c r="AB2728" t="s">
        <v>60</v>
      </c>
      <c r="AC2728" t="s">
        <v>87</v>
      </c>
    </row>
    <row r="2729" spans="1:30" x14ac:dyDescent="0.35">
      <c r="A2729" s="4">
        <v>42587</v>
      </c>
      <c r="B2729" t="s">
        <v>30</v>
      </c>
      <c r="C2729">
        <v>111</v>
      </c>
      <c r="D2729">
        <v>2</v>
      </c>
      <c r="E2729">
        <v>2</v>
      </c>
      <c r="F2729" t="s">
        <v>315</v>
      </c>
      <c r="G2729" t="s">
        <v>32</v>
      </c>
      <c r="H2729" t="s">
        <v>33</v>
      </c>
      <c r="I2729" t="s">
        <v>43</v>
      </c>
      <c r="J2729" t="s">
        <v>44</v>
      </c>
      <c r="K2729" t="s">
        <v>113</v>
      </c>
      <c r="L2729" t="s">
        <v>37</v>
      </c>
      <c r="M2729">
        <v>0</v>
      </c>
      <c r="N2729">
        <v>0</v>
      </c>
      <c r="O2729" s="5" t="s">
        <v>371</v>
      </c>
      <c r="P2729" s="5" t="s">
        <v>372</v>
      </c>
      <c r="Q2729">
        <f>34-16.5</f>
        <v>17.5</v>
      </c>
      <c r="R2729" t="s">
        <v>38</v>
      </c>
      <c r="T2729">
        <v>19</v>
      </c>
      <c r="U2729">
        <v>90</v>
      </c>
      <c r="V2729">
        <v>16</v>
      </c>
      <c r="W2729">
        <v>13</v>
      </c>
      <c r="X2729">
        <v>27.6</v>
      </c>
      <c r="Z2729" t="s">
        <v>102</v>
      </c>
      <c r="AA2729" t="s">
        <v>201</v>
      </c>
      <c r="AB2729" t="s">
        <v>60</v>
      </c>
      <c r="AC2729" t="s">
        <v>137</v>
      </c>
    </row>
    <row r="2730" spans="1:30" x14ac:dyDescent="0.35">
      <c r="A2730" s="4">
        <v>42587</v>
      </c>
      <c r="B2730" t="s">
        <v>30</v>
      </c>
      <c r="C2730">
        <v>111</v>
      </c>
      <c r="D2730">
        <v>2</v>
      </c>
      <c r="E2730">
        <v>1</v>
      </c>
      <c r="F2730" t="s">
        <v>315</v>
      </c>
      <c r="G2730" t="s">
        <v>32</v>
      </c>
      <c r="H2730" t="s">
        <v>33</v>
      </c>
      <c r="I2730" t="s">
        <v>43</v>
      </c>
      <c r="J2730" t="s">
        <v>44</v>
      </c>
      <c r="K2730" t="s">
        <v>113</v>
      </c>
      <c r="L2730" t="s">
        <v>37</v>
      </c>
      <c r="M2730">
        <v>0</v>
      </c>
      <c r="N2730">
        <v>0</v>
      </c>
      <c r="O2730" s="5" t="s">
        <v>373</v>
      </c>
      <c r="P2730" s="5" t="s">
        <v>374</v>
      </c>
      <c r="Q2730">
        <f>37-18</f>
        <v>19</v>
      </c>
      <c r="R2730" t="s">
        <v>38</v>
      </c>
      <c r="T2730">
        <v>18.5</v>
      </c>
      <c r="U2730">
        <v>95</v>
      </c>
      <c r="V2730">
        <v>14</v>
      </c>
      <c r="W2730">
        <v>13</v>
      </c>
      <c r="X2730">
        <v>26.7</v>
      </c>
      <c r="Z2730" t="s">
        <v>39</v>
      </c>
      <c r="AB2730" t="s">
        <v>60</v>
      </c>
      <c r="AC2730" t="s">
        <v>137</v>
      </c>
      <c r="AD2730" t="s">
        <v>443</v>
      </c>
    </row>
    <row r="2731" spans="1:30" x14ac:dyDescent="0.35">
      <c r="A2731" s="4">
        <v>42587</v>
      </c>
      <c r="B2731" t="s">
        <v>30</v>
      </c>
      <c r="C2731">
        <v>111</v>
      </c>
      <c r="D2731">
        <v>10</v>
      </c>
      <c r="E2731">
        <v>2</v>
      </c>
      <c r="F2731" t="s">
        <v>315</v>
      </c>
      <c r="G2731" t="s">
        <v>32</v>
      </c>
      <c r="H2731" t="s">
        <v>33</v>
      </c>
      <c r="I2731" t="s">
        <v>43</v>
      </c>
      <c r="J2731" t="s">
        <v>35</v>
      </c>
      <c r="K2731" t="s">
        <v>88</v>
      </c>
      <c r="L2731" t="s">
        <v>37</v>
      </c>
      <c r="M2731">
        <v>0</v>
      </c>
      <c r="N2731">
        <v>1</v>
      </c>
      <c r="O2731" s="5" t="s">
        <v>444</v>
      </c>
      <c r="P2731" s="5" t="s">
        <v>445</v>
      </c>
      <c r="Q2731">
        <f>33-18</f>
        <v>15</v>
      </c>
      <c r="R2731" t="s">
        <v>64</v>
      </c>
      <c r="T2731">
        <v>19</v>
      </c>
      <c r="U2731">
        <v>88</v>
      </c>
      <c r="V2731">
        <v>15</v>
      </c>
      <c r="W2731">
        <v>12.9</v>
      </c>
      <c r="X2731">
        <v>26.6</v>
      </c>
      <c r="Y2731" t="s">
        <v>446</v>
      </c>
      <c r="Z2731" t="s">
        <v>39</v>
      </c>
      <c r="AB2731" t="s">
        <v>447</v>
      </c>
      <c r="AC2731" t="s">
        <v>137</v>
      </c>
    </row>
    <row r="2732" spans="1:30" x14ac:dyDescent="0.35">
      <c r="A2732" s="4">
        <v>42587</v>
      </c>
      <c r="B2732" t="s">
        <v>30</v>
      </c>
      <c r="C2732">
        <v>111</v>
      </c>
      <c r="D2732">
        <v>10</v>
      </c>
      <c r="E2732">
        <v>1</v>
      </c>
      <c r="F2732" t="s">
        <v>315</v>
      </c>
      <c r="G2732" t="s">
        <v>32</v>
      </c>
      <c r="H2732" t="s">
        <v>33</v>
      </c>
      <c r="I2732" t="s">
        <v>43</v>
      </c>
      <c r="J2732" t="s">
        <v>35</v>
      </c>
      <c r="K2732" t="s">
        <v>113</v>
      </c>
      <c r="L2732" t="s">
        <v>37</v>
      </c>
      <c r="M2732">
        <v>0</v>
      </c>
      <c r="N2732">
        <v>1</v>
      </c>
      <c r="O2732" s="5" t="s">
        <v>448</v>
      </c>
      <c r="P2732" s="5" t="s">
        <v>449</v>
      </c>
      <c r="R2732" t="s">
        <v>64</v>
      </c>
      <c r="T2732">
        <v>20.5</v>
      </c>
      <c r="U2732">
        <v>95</v>
      </c>
      <c r="V2732">
        <v>15</v>
      </c>
      <c r="W2732">
        <v>13</v>
      </c>
      <c r="X2732">
        <v>28</v>
      </c>
      <c r="Z2732" t="s">
        <v>39</v>
      </c>
      <c r="AB2732" t="s">
        <v>447</v>
      </c>
      <c r="AC2732" t="s">
        <v>137</v>
      </c>
    </row>
    <row r="2733" spans="1:30" x14ac:dyDescent="0.35">
      <c r="A2733" s="4">
        <v>42587</v>
      </c>
      <c r="B2733" t="s">
        <v>30</v>
      </c>
      <c r="C2733">
        <v>111</v>
      </c>
      <c r="D2733">
        <v>7</v>
      </c>
      <c r="E2733">
        <v>1</v>
      </c>
      <c r="F2733" t="s">
        <v>315</v>
      </c>
      <c r="G2733" t="s">
        <v>32</v>
      </c>
      <c r="H2733" t="s">
        <v>33</v>
      </c>
      <c r="I2733" t="s">
        <v>43</v>
      </c>
      <c r="J2733" t="s">
        <v>35</v>
      </c>
      <c r="K2733" t="s">
        <v>36</v>
      </c>
      <c r="L2733" t="s">
        <v>45</v>
      </c>
      <c r="M2733">
        <v>0</v>
      </c>
      <c r="N2733">
        <v>1</v>
      </c>
      <c r="O2733" s="5" t="s">
        <v>450</v>
      </c>
      <c r="P2733" s="5" t="s">
        <v>451</v>
      </c>
      <c r="Q2733">
        <f>39.5-11.5</f>
        <v>28</v>
      </c>
      <c r="R2733" t="s">
        <v>145</v>
      </c>
      <c r="S2733" t="s">
        <v>102</v>
      </c>
      <c r="T2733">
        <v>18</v>
      </c>
      <c r="U2733">
        <v>90</v>
      </c>
      <c r="V2733">
        <v>16</v>
      </c>
      <c r="W2733">
        <v>12.9</v>
      </c>
      <c r="X2733">
        <v>28.5</v>
      </c>
      <c r="Z2733" t="s">
        <v>39</v>
      </c>
      <c r="AB2733" t="s">
        <v>60</v>
      </c>
      <c r="AC2733" t="s">
        <v>137</v>
      </c>
    </row>
    <row r="2734" spans="1:30" x14ac:dyDescent="0.35">
      <c r="A2734" s="4">
        <v>42587</v>
      </c>
      <c r="B2734" t="s">
        <v>30</v>
      </c>
      <c r="C2734">
        <v>113</v>
      </c>
      <c r="D2734">
        <v>4</v>
      </c>
      <c r="E2734">
        <v>1</v>
      </c>
      <c r="F2734" t="s">
        <v>315</v>
      </c>
      <c r="G2734" t="s">
        <v>32</v>
      </c>
      <c r="H2734" t="s">
        <v>33</v>
      </c>
      <c r="I2734" t="s">
        <v>43</v>
      </c>
      <c r="J2734" t="s">
        <v>44</v>
      </c>
      <c r="K2734" t="s">
        <v>36</v>
      </c>
      <c r="L2734" t="s">
        <v>45</v>
      </c>
      <c r="M2734">
        <v>0</v>
      </c>
      <c r="N2734">
        <v>0</v>
      </c>
      <c r="O2734" s="5" t="s">
        <v>385</v>
      </c>
      <c r="P2734" s="5" t="s">
        <v>386</v>
      </c>
      <c r="Q2734">
        <f>32-13</f>
        <v>19</v>
      </c>
      <c r="R2734" t="s">
        <v>161</v>
      </c>
      <c r="S2734" t="s">
        <v>102</v>
      </c>
      <c r="T2734">
        <v>18</v>
      </c>
      <c r="U2734">
        <v>87</v>
      </c>
      <c r="V2734">
        <v>16</v>
      </c>
      <c r="W2734">
        <v>13</v>
      </c>
      <c r="X2734">
        <v>27.8</v>
      </c>
      <c r="Z2734" t="s">
        <v>39</v>
      </c>
      <c r="AB2734" t="s">
        <v>60</v>
      </c>
      <c r="AC2734" t="s">
        <v>137</v>
      </c>
    </row>
    <row r="2735" spans="1:30" x14ac:dyDescent="0.35">
      <c r="A2735" s="4">
        <v>42587</v>
      </c>
      <c r="B2735" t="s">
        <v>30</v>
      </c>
      <c r="C2735">
        <v>113</v>
      </c>
      <c r="D2735">
        <v>1</v>
      </c>
      <c r="E2735">
        <v>2</v>
      </c>
      <c r="F2735" t="s">
        <v>315</v>
      </c>
      <c r="G2735" t="s">
        <v>32</v>
      </c>
      <c r="H2735" t="s">
        <v>33</v>
      </c>
      <c r="I2735" t="s">
        <v>43</v>
      </c>
      <c r="J2735" t="s">
        <v>44</v>
      </c>
      <c r="K2735" t="s">
        <v>88</v>
      </c>
      <c r="L2735" t="s">
        <v>45</v>
      </c>
      <c r="M2735">
        <v>0</v>
      </c>
      <c r="N2735">
        <v>0</v>
      </c>
      <c r="O2735" s="5" t="s">
        <v>387</v>
      </c>
      <c r="P2735" s="5" t="s">
        <v>388</v>
      </c>
      <c r="Q2735">
        <f>28.5-17.5</f>
        <v>11</v>
      </c>
      <c r="R2735" t="s">
        <v>46</v>
      </c>
      <c r="S2735" t="s">
        <v>39</v>
      </c>
      <c r="T2735">
        <v>18.5</v>
      </c>
      <c r="U2735">
        <v>81</v>
      </c>
      <c r="V2735">
        <v>15.5</v>
      </c>
      <c r="W2735">
        <v>12.5</v>
      </c>
      <c r="X2735">
        <v>24.5</v>
      </c>
      <c r="Z2735" t="s">
        <v>102</v>
      </c>
      <c r="AA2735" t="s">
        <v>201</v>
      </c>
      <c r="AB2735" t="s">
        <v>60</v>
      </c>
      <c r="AC2735" t="s">
        <v>137</v>
      </c>
    </row>
    <row r="2736" spans="1:30" x14ac:dyDescent="0.35">
      <c r="A2736" s="4">
        <v>42587</v>
      </c>
      <c r="B2736" t="s">
        <v>30</v>
      </c>
      <c r="C2736">
        <v>112</v>
      </c>
      <c r="D2736">
        <v>6</v>
      </c>
      <c r="E2736">
        <v>1</v>
      </c>
      <c r="F2736" t="s">
        <v>315</v>
      </c>
      <c r="G2736" t="s">
        <v>32</v>
      </c>
      <c r="H2736" t="s">
        <v>33</v>
      </c>
      <c r="I2736" t="s">
        <v>43</v>
      </c>
      <c r="J2736" t="s">
        <v>44</v>
      </c>
      <c r="K2736" t="s">
        <v>113</v>
      </c>
      <c r="L2736" t="s">
        <v>37</v>
      </c>
      <c r="M2736">
        <v>0</v>
      </c>
      <c r="N2736">
        <v>0</v>
      </c>
      <c r="O2736" s="5" t="s">
        <v>391</v>
      </c>
      <c r="P2736" s="5" t="s">
        <v>452</v>
      </c>
      <c r="Q2736">
        <f>35-16</f>
        <v>19</v>
      </c>
      <c r="R2736" t="s">
        <v>38</v>
      </c>
      <c r="T2736">
        <v>19</v>
      </c>
      <c r="U2736">
        <v>85</v>
      </c>
      <c r="V2736">
        <v>16</v>
      </c>
      <c r="W2736">
        <v>12.9</v>
      </c>
      <c r="X2736">
        <v>27.2</v>
      </c>
      <c r="Z2736" t="s">
        <v>39</v>
      </c>
      <c r="AB2736" t="s">
        <v>60</v>
      </c>
      <c r="AC2736" t="s">
        <v>137</v>
      </c>
    </row>
    <row r="2737" spans="1:30" x14ac:dyDescent="0.35">
      <c r="A2737" s="4">
        <v>42587</v>
      </c>
      <c r="B2737" t="s">
        <v>30</v>
      </c>
      <c r="C2737">
        <v>113</v>
      </c>
      <c r="D2737">
        <v>2</v>
      </c>
      <c r="E2737">
        <v>2</v>
      </c>
      <c r="F2737" t="s">
        <v>315</v>
      </c>
      <c r="G2737" t="s">
        <v>32</v>
      </c>
      <c r="H2737" t="s">
        <v>33</v>
      </c>
      <c r="I2737" t="s">
        <v>43</v>
      </c>
      <c r="J2737" t="s">
        <v>35</v>
      </c>
      <c r="K2737" t="s">
        <v>113</v>
      </c>
      <c r="L2737" t="s">
        <v>37</v>
      </c>
      <c r="M2737">
        <v>0</v>
      </c>
      <c r="N2737">
        <v>1</v>
      </c>
      <c r="O2737" s="5" t="s">
        <v>453</v>
      </c>
      <c r="P2737" s="5" t="s">
        <v>454</v>
      </c>
      <c r="Q2737">
        <f>33.5-18</f>
        <v>15.5</v>
      </c>
      <c r="R2737" t="s">
        <v>64</v>
      </c>
      <c r="T2737">
        <v>19</v>
      </c>
      <c r="U2737">
        <v>90</v>
      </c>
      <c r="V2737">
        <v>16</v>
      </c>
      <c r="W2737">
        <v>13</v>
      </c>
      <c r="X2737">
        <v>27.4</v>
      </c>
      <c r="Z2737" t="s">
        <v>102</v>
      </c>
      <c r="AB2737" t="s">
        <v>60</v>
      </c>
      <c r="AC2737" t="s">
        <v>137</v>
      </c>
    </row>
    <row r="2738" spans="1:30" x14ac:dyDescent="0.35">
      <c r="A2738" s="4">
        <v>42587</v>
      </c>
      <c r="B2738" t="s">
        <v>30</v>
      </c>
      <c r="C2738">
        <v>113</v>
      </c>
      <c r="D2738">
        <v>2</v>
      </c>
      <c r="E2738">
        <v>1</v>
      </c>
      <c r="F2738" t="s">
        <v>315</v>
      </c>
      <c r="G2738" t="s">
        <v>32</v>
      </c>
      <c r="H2738" t="s">
        <v>33</v>
      </c>
      <c r="I2738" t="s">
        <v>43</v>
      </c>
      <c r="J2738" t="s">
        <v>35</v>
      </c>
      <c r="K2738" t="s">
        <v>113</v>
      </c>
      <c r="L2738" t="s">
        <v>37</v>
      </c>
      <c r="M2738">
        <v>0</v>
      </c>
      <c r="N2738">
        <v>1</v>
      </c>
      <c r="O2738" s="5" t="s">
        <v>455</v>
      </c>
      <c r="P2738" s="5" t="s">
        <v>456</v>
      </c>
      <c r="Q2738">
        <f>31-15.5</f>
        <v>15.5</v>
      </c>
      <c r="R2738" t="s">
        <v>38</v>
      </c>
      <c r="T2738">
        <v>18</v>
      </c>
      <c r="U2738">
        <v>88</v>
      </c>
      <c r="V2738">
        <v>16</v>
      </c>
      <c r="W2738">
        <v>12.9</v>
      </c>
      <c r="X2738">
        <v>27.3</v>
      </c>
      <c r="Z2738" t="s">
        <v>39</v>
      </c>
      <c r="AB2738" t="s">
        <v>60</v>
      </c>
      <c r="AC2738" t="s">
        <v>137</v>
      </c>
    </row>
    <row r="2739" spans="1:30" x14ac:dyDescent="0.35">
      <c r="A2739" s="4">
        <v>42587</v>
      </c>
      <c r="B2739" t="s">
        <v>30</v>
      </c>
      <c r="C2739">
        <v>113</v>
      </c>
      <c r="D2739">
        <v>6</v>
      </c>
      <c r="E2739">
        <v>2</v>
      </c>
      <c r="F2739" t="s">
        <v>315</v>
      </c>
      <c r="G2739" t="s">
        <v>32</v>
      </c>
      <c r="H2739" t="s">
        <v>33</v>
      </c>
      <c r="I2739" t="s">
        <v>43</v>
      </c>
      <c r="J2739" t="s">
        <v>35</v>
      </c>
      <c r="K2739" t="s">
        <v>113</v>
      </c>
      <c r="L2739" t="s">
        <v>45</v>
      </c>
      <c r="M2739">
        <v>0</v>
      </c>
      <c r="N2739">
        <v>1</v>
      </c>
      <c r="O2739" s="5" t="s">
        <v>457</v>
      </c>
      <c r="P2739" s="5" t="s">
        <v>458</v>
      </c>
      <c r="Q2739">
        <f>31-14</f>
        <v>17</v>
      </c>
      <c r="R2739" t="s">
        <v>161</v>
      </c>
      <c r="S2739" t="s">
        <v>102</v>
      </c>
      <c r="T2739">
        <v>19</v>
      </c>
      <c r="U2739">
        <v>91</v>
      </c>
      <c r="V2739">
        <v>17</v>
      </c>
      <c r="W2739">
        <v>13.2</v>
      </c>
      <c r="X2739">
        <v>27.9</v>
      </c>
      <c r="Z2739" t="s">
        <v>39</v>
      </c>
      <c r="AB2739" t="s">
        <v>60</v>
      </c>
      <c r="AC2739" t="s">
        <v>137</v>
      </c>
    </row>
    <row r="2740" spans="1:30" x14ac:dyDescent="0.35">
      <c r="A2740" s="4">
        <v>42587</v>
      </c>
      <c r="B2740" t="s">
        <v>30</v>
      </c>
      <c r="C2740">
        <v>113</v>
      </c>
      <c r="D2740">
        <v>9</v>
      </c>
      <c r="E2740">
        <v>1</v>
      </c>
      <c r="F2740" t="s">
        <v>315</v>
      </c>
      <c r="G2740" t="s">
        <v>32</v>
      </c>
      <c r="H2740" t="s">
        <v>33</v>
      </c>
      <c r="I2740" t="s">
        <v>43</v>
      </c>
      <c r="J2740" t="s">
        <v>44</v>
      </c>
      <c r="K2740" t="s">
        <v>36</v>
      </c>
      <c r="L2740" t="s">
        <v>45</v>
      </c>
      <c r="M2740">
        <v>0</v>
      </c>
      <c r="N2740">
        <v>0</v>
      </c>
      <c r="O2740" s="5" t="s">
        <v>400</v>
      </c>
      <c r="P2740" s="5" t="s">
        <v>401</v>
      </c>
      <c r="Q2740">
        <f>35-15.5</f>
        <v>19.5</v>
      </c>
      <c r="R2740" t="s">
        <v>145</v>
      </c>
      <c r="S2740" t="s">
        <v>102</v>
      </c>
      <c r="T2740">
        <v>19.5</v>
      </c>
      <c r="U2740">
        <v>84</v>
      </c>
      <c r="V2740">
        <v>15</v>
      </c>
      <c r="W2740">
        <v>12.9</v>
      </c>
      <c r="X2740">
        <v>27.8</v>
      </c>
      <c r="Z2740" t="s">
        <v>39</v>
      </c>
      <c r="AB2740" t="s">
        <v>60</v>
      </c>
      <c r="AC2740" t="s">
        <v>137</v>
      </c>
      <c r="AD2740" t="s">
        <v>459</v>
      </c>
    </row>
    <row r="2741" spans="1:30" x14ac:dyDescent="0.35">
      <c r="A2741" s="4">
        <v>42587</v>
      </c>
      <c r="B2741" t="s">
        <v>30</v>
      </c>
      <c r="C2741">
        <v>112</v>
      </c>
      <c r="D2741">
        <v>4</v>
      </c>
      <c r="E2741">
        <v>2</v>
      </c>
      <c r="F2741" t="s">
        <v>315</v>
      </c>
      <c r="G2741" t="s">
        <v>32</v>
      </c>
      <c r="H2741" t="s">
        <v>33</v>
      </c>
      <c r="I2741" t="s">
        <v>43</v>
      </c>
      <c r="J2741" t="s">
        <v>44</v>
      </c>
      <c r="K2741" t="s">
        <v>36</v>
      </c>
      <c r="L2741" t="s">
        <v>37</v>
      </c>
      <c r="M2741">
        <v>0</v>
      </c>
      <c r="N2741">
        <v>0</v>
      </c>
      <c r="O2741" s="5" t="s">
        <v>460</v>
      </c>
      <c r="P2741" s="5" t="s">
        <v>461</v>
      </c>
      <c r="Q2741">
        <f>37.5-17</f>
        <v>20.5</v>
      </c>
      <c r="R2741" t="s">
        <v>38</v>
      </c>
      <c r="T2741">
        <v>19</v>
      </c>
      <c r="U2741">
        <v>79</v>
      </c>
      <c r="V2741">
        <v>16</v>
      </c>
      <c r="W2741">
        <v>13</v>
      </c>
      <c r="X2741">
        <v>27.2</v>
      </c>
      <c r="Z2741" t="s">
        <v>102</v>
      </c>
      <c r="AA2741" t="s">
        <v>201</v>
      </c>
      <c r="AB2741" t="s">
        <v>60</v>
      </c>
      <c r="AC2741" t="s">
        <v>137</v>
      </c>
    </row>
    <row r="2742" spans="1:30" x14ac:dyDescent="0.35">
      <c r="A2742" s="4">
        <v>42587</v>
      </c>
      <c r="B2742" t="s">
        <v>30</v>
      </c>
      <c r="C2742">
        <v>111</v>
      </c>
      <c r="D2742">
        <v>8</v>
      </c>
      <c r="E2742">
        <v>1</v>
      </c>
      <c r="F2742" t="s">
        <v>315</v>
      </c>
      <c r="G2742" t="s">
        <v>32</v>
      </c>
      <c r="H2742" t="s">
        <v>33</v>
      </c>
      <c r="I2742" t="s">
        <v>43</v>
      </c>
      <c r="J2742" t="s">
        <v>44</v>
      </c>
      <c r="K2742" t="s">
        <v>36</v>
      </c>
      <c r="L2742" t="s">
        <v>37</v>
      </c>
      <c r="M2742">
        <v>0</v>
      </c>
      <c r="N2742">
        <v>0</v>
      </c>
      <c r="O2742" s="5" t="s">
        <v>402</v>
      </c>
      <c r="P2742" s="5" t="s">
        <v>403</v>
      </c>
      <c r="Q2742">
        <f>37-16.5</f>
        <v>20.5</v>
      </c>
      <c r="R2742" t="s">
        <v>38</v>
      </c>
      <c r="T2742">
        <v>21</v>
      </c>
      <c r="U2742">
        <v>93</v>
      </c>
      <c r="V2742">
        <v>17</v>
      </c>
      <c r="W2742">
        <v>13</v>
      </c>
      <c r="X2742">
        <v>27.6</v>
      </c>
      <c r="Z2742" t="s">
        <v>102</v>
      </c>
      <c r="AB2742" t="s">
        <v>60</v>
      </c>
      <c r="AC2742" t="s">
        <v>137</v>
      </c>
    </row>
    <row r="2743" spans="1:30" x14ac:dyDescent="0.35">
      <c r="A2743" s="4">
        <v>42587</v>
      </c>
      <c r="B2743" t="s">
        <v>30</v>
      </c>
      <c r="C2743">
        <v>112</v>
      </c>
      <c r="D2743">
        <v>2</v>
      </c>
      <c r="E2743">
        <v>1</v>
      </c>
      <c r="F2743" t="s">
        <v>315</v>
      </c>
      <c r="G2743" t="s">
        <v>32</v>
      </c>
      <c r="H2743" t="s">
        <v>33</v>
      </c>
      <c r="I2743" t="s">
        <v>43</v>
      </c>
      <c r="J2743" t="s">
        <v>44</v>
      </c>
      <c r="K2743" t="s">
        <v>36</v>
      </c>
      <c r="L2743" t="s">
        <v>37</v>
      </c>
      <c r="M2743">
        <v>0</v>
      </c>
      <c r="N2743">
        <v>0</v>
      </c>
      <c r="O2743" s="5" t="s">
        <v>462</v>
      </c>
      <c r="P2743" s="5" t="s">
        <v>463</v>
      </c>
      <c r="Q2743">
        <f>33-13</f>
        <v>20</v>
      </c>
      <c r="R2743" t="s">
        <v>38</v>
      </c>
      <c r="T2743">
        <v>19</v>
      </c>
      <c r="U2743">
        <v>93</v>
      </c>
      <c r="V2743">
        <v>15.5</v>
      </c>
      <c r="W2743">
        <v>13</v>
      </c>
      <c r="X2743">
        <v>27.5</v>
      </c>
      <c r="Z2743" t="s">
        <v>102</v>
      </c>
      <c r="AA2743" t="s">
        <v>201</v>
      </c>
      <c r="AB2743" t="s">
        <v>60</v>
      </c>
      <c r="AC2743" t="s">
        <v>137</v>
      </c>
    </row>
    <row r="2744" spans="1:30" x14ac:dyDescent="0.35">
      <c r="A2744" s="4">
        <v>42587</v>
      </c>
      <c r="B2744" t="s">
        <v>30</v>
      </c>
      <c r="C2744">
        <v>112</v>
      </c>
      <c r="D2744">
        <v>10</v>
      </c>
      <c r="E2744">
        <v>2</v>
      </c>
      <c r="F2744" t="s">
        <v>315</v>
      </c>
      <c r="G2744" t="s">
        <v>32</v>
      </c>
      <c r="H2744" t="s">
        <v>33</v>
      </c>
      <c r="I2744" t="s">
        <v>43</v>
      </c>
      <c r="J2744" t="s">
        <v>44</v>
      </c>
      <c r="K2744" t="s">
        <v>36</v>
      </c>
      <c r="L2744" t="s">
        <v>37</v>
      </c>
      <c r="M2744">
        <v>0</v>
      </c>
      <c r="N2744">
        <v>0</v>
      </c>
      <c r="O2744" s="5" t="s">
        <v>404</v>
      </c>
      <c r="P2744" s="5" t="s">
        <v>405</v>
      </c>
      <c r="Q2744">
        <f>34-15</f>
        <v>19</v>
      </c>
      <c r="R2744" t="s">
        <v>38</v>
      </c>
      <c r="T2744">
        <v>19</v>
      </c>
      <c r="U2744">
        <v>87</v>
      </c>
      <c r="V2744">
        <v>16</v>
      </c>
      <c r="W2744">
        <v>13</v>
      </c>
      <c r="X2744">
        <v>27.2</v>
      </c>
      <c r="Z2744" t="s">
        <v>102</v>
      </c>
      <c r="AA2744" t="s">
        <v>201</v>
      </c>
      <c r="AB2744" t="s">
        <v>60</v>
      </c>
      <c r="AC2744" t="s">
        <v>137</v>
      </c>
    </row>
    <row r="2745" spans="1:30" x14ac:dyDescent="0.35">
      <c r="A2745" s="4">
        <v>42587</v>
      </c>
      <c r="B2745" t="s">
        <v>30</v>
      </c>
      <c r="C2745">
        <v>112</v>
      </c>
      <c r="D2745">
        <v>2</v>
      </c>
      <c r="E2745">
        <v>2</v>
      </c>
      <c r="F2745" t="s">
        <v>315</v>
      </c>
      <c r="G2745" t="s">
        <v>32</v>
      </c>
      <c r="H2745" t="s">
        <v>33</v>
      </c>
      <c r="I2745" t="s">
        <v>43</v>
      </c>
      <c r="J2745" t="s">
        <v>44</v>
      </c>
      <c r="K2745" t="s">
        <v>113</v>
      </c>
      <c r="L2745" t="s">
        <v>45</v>
      </c>
      <c r="M2745">
        <v>0</v>
      </c>
      <c r="N2745">
        <v>0</v>
      </c>
      <c r="O2745" s="5" t="s">
        <v>406</v>
      </c>
      <c r="P2745" s="5" t="s">
        <v>407</v>
      </c>
      <c r="Q2745">
        <f>32.5-11.5</f>
        <v>21</v>
      </c>
      <c r="R2745" t="s">
        <v>61</v>
      </c>
      <c r="S2745" t="s">
        <v>39</v>
      </c>
      <c r="T2745">
        <v>18</v>
      </c>
      <c r="U2745">
        <v>87</v>
      </c>
      <c r="V2745">
        <v>16</v>
      </c>
      <c r="W2745">
        <v>13</v>
      </c>
      <c r="X2745">
        <v>26.8</v>
      </c>
      <c r="Z2745" t="s">
        <v>39</v>
      </c>
      <c r="AB2745" t="s">
        <v>60</v>
      </c>
      <c r="AC2745" t="s">
        <v>137</v>
      </c>
    </row>
    <row r="2746" spans="1:30" x14ac:dyDescent="0.35">
      <c r="A2746" s="4">
        <v>42587</v>
      </c>
      <c r="B2746" t="s">
        <v>30</v>
      </c>
      <c r="C2746">
        <v>113</v>
      </c>
      <c r="D2746">
        <v>3</v>
      </c>
      <c r="E2746">
        <v>1</v>
      </c>
      <c r="F2746" t="s">
        <v>315</v>
      </c>
      <c r="G2746" t="s">
        <v>32</v>
      </c>
      <c r="H2746" t="s">
        <v>33</v>
      </c>
      <c r="I2746" t="s">
        <v>43</v>
      </c>
      <c r="J2746" t="s">
        <v>44</v>
      </c>
      <c r="K2746" t="s">
        <v>36</v>
      </c>
      <c r="L2746" t="s">
        <v>37</v>
      </c>
      <c r="M2746">
        <v>0</v>
      </c>
      <c r="N2746">
        <v>0</v>
      </c>
      <c r="O2746" s="5" t="s">
        <v>464</v>
      </c>
      <c r="P2746" s="5" t="s">
        <v>465</v>
      </c>
      <c r="Q2746">
        <f>38-19</f>
        <v>19</v>
      </c>
      <c r="R2746" t="s">
        <v>38</v>
      </c>
      <c r="T2746">
        <v>19</v>
      </c>
      <c r="V2746">
        <v>16</v>
      </c>
      <c r="W2746">
        <v>13</v>
      </c>
      <c r="Z2746" t="s">
        <v>39</v>
      </c>
      <c r="AB2746" t="s">
        <v>60</v>
      </c>
      <c r="AC2746" t="s">
        <v>137</v>
      </c>
      <c r="AD2746" t="s">
        <v>466</v>
      </c>
    </row>
    <row r="2747" spans="1:30" x14ac:dyDescent="0.35">
      <c r="A2747" s="4">
        <v>42587</v>
      </c>
      <c r="B2747" t="s">
        <v>30</v>
      </c>
      <c r="C2747">
        <v>112</v>
      </c>
      <c r="D2747">
        <v>9</v>
      </c>
      <c r="E2747">
        <v>1</v>
      </c>
      <c r="F2747" t="s">
        <v>315</v>
      </c>
      <c r="G2747" t="s">
        <v>32</v>
      </c>
      <c r="H2747" t="s">
        <v>33</v>
      </c>
      <c r="I2747" t="s">
        <v>43</v>
      </c>
      <c r="J2747" t="s">
        <v>44</v>
      </c>
      <c r="K2747" t="s">
        <v>113</v>
      </c>
      <c r="L2747" t="s">
        <v>45</v>
      </c>
      <c r="M2747">
        <v>0</v>
      </c>
      <c r="N2747">
        <v>0</v>
      </c>
      <c r="O2747" s="5" t="s">
        <v>467</v>
      </c>
      <c r="P2747" s="5" t="s">
        <v>468</v>
      </c>
      <c r="Q2747">
        <f>39-17</f>
        <v>22</v>
      </c>
      <c r="R2747" t="s">
        <v>145</v>
      </c>
      <c r="S2747" t="s">
        <v>102</v>
      </c>
      <c r="T2747">
        <v>19</v>
      </c>
      <c r="U2747">
        <v>94</v>
      </c>
      <c r="V2747">
        <v>16</v>
      </c>
      <c r="W2747">
        <v>13.1</v>
      </c>
      <c r="X2747">
        <v>28.3</v>
      </c>
      <c r="Z2747" t="s">
        <v>102</v>
      </c>
      <c r="AA2747" t="s">
        <v>201</v>
      </c>
      <c r="AB2747" t="s">
        <v>60</v>
      </c>
      <c r="AC2747" t="s">
        <v>137</v>
      </c>
    </row>
    <row r="2748" spans="1:30" x14ac:dyDescent="0.35">
      <c r="A2748" s="4">
        <v>42587</v>
      </c>
      <c r="B2748" t="s">
        <v>30</v>
      </c>
      <c r="C2748">
        <v>113</v>
      </c>
      <c r="D2748">
        <v>10</v>
      </c>
      <c r="E2748">
        <v>1</v>
      </c>
      <c r="F2748" t="s">
        <v>315</v>
      </c>
      <c r="G2748" t="s">
        <v>32</v>
      </c>
      <c r="H2748" t="s">
        <v>33</v>
      </c>
      <c r="I2748" t="s">
        <v>43</v>
      </c>
      <c r="J2748" t="s">
        <v>44</v>
      </c>
      <c r="K2748" t="s">
        <v>113</v>
      </c>
      <c r="L2748" t="s">
        <v>37</v>
      </c>
      <c r="M2748">
        <v>0</v>
      </c>
      <c r="N2748">
        <v>0</v>
      </c>
      <c r="O2748" s="5" t="s">
        <v>410</v>
      </c>
      <c r="P2748" s="5" t="s">
        <v>411</v>
      </c>
      <c r="Q2748">
        <f>33-17</f>
        <v>16</v>
      </c>
      <c r="R2748" t="s">
        <v>38</v>
      </c>
      <c r="T2748">
        <v>20</v>
      </c>
      <c r="U2748">
        <v>78</v>
      </c>
      <c r="V2748">
        <v>18</v>
      </c>
      <c r="W2748">
        <v>13</v>
      </c>
      <c r="X2748">
        <v>26.9</v>
      </c>
      <c r="Z2748" t="s">
        <v>102</v>
      </c>
      <c r="AB2748" t="s">
        <v>60</v>
      </c>
      <c r="AC2748" t="s">
        <v>137</v>
      </c>
      <c r="AD2748" t="s">
        <v>459</v>
      </c>
    </row>
    <row r="2749" spans="1:30" x14ac:dyDescent="0.35">
      <c r="A2749" s="4">
        <v>42587</v>
      </c>
      <c r="B2749" t="s">
        <v>30</v>
      </c>
      <c r="C2749">
        <v>113</v>
      </c>
      <c r="D2749">
        <v>9</v>
      </c>
      <c r="E2749">
        <v>2</v>
      </c>
      <c r="F2749" t="s">
        <v>315</v>
      </c>
      <c r="G2749" t="s">
        <v>32</v>
      </c>
      <c r="H2749" t="s">
        <v>33</v>
      </c>
      <c r="I2749" t="s">
        <v>43</v>
      </c>
      <c r="J2749" t="s">
        <v>44</v>
      </c>
      <c r="K2749" t="s">
        <v>88</v>
      </c>
      <c r="L2749" t="s">
        <v>45</v>
      </c>
      <c r="M2749">
        <v>0</v>
      </c>
      <c r="N2749">
        <v>0</v>
      </c>
      <c r="O2749" s="5" t="s">
        <v>417</v>
      </c>
      <c r="P2749" s="5" t="s">
        <v>418</v>
      </c>
      <c r="Q2749">
        <f>28-16.5</f>
        <v>11.5</v>
      </c>
      <c r="R2749" t="s">
        <v>46</v>
      </c>
      <c r="S2749" t="s">
        <v>39</v>
      </c>
      <c r="T2749">
        <v>16</v>
      </c>
      <c r="U2749">
        <v>75</v>
      </c>
      <c r="V2749">
        <v>16</v>
      </c>
      <c r="W2749">
        <v>12.6</v>
      </c>
      <c r="X2749">
        <v>26.5</v>
      </c>
      <c r="Z2749" t="s">
        <v>102</v>
      </c>
      <c r="AA2749" t="s">
        <v>201</v>
      </c>
      <c r="AB2749" t="s">
        <v>60</v>
      </c>
      <c r="AC2749" t="s">
        <v>137</v>
      </c>
    </row>
    <row r="2750" spans="1:30" x14ac:dyDescent="0.35">
      <c r="A2750" s="4">
        <v>42587</v>
      </c>
      <c r="B2750" t="s">
        <v>30</v>
      </c>
      <c r="C2750">
        <v>113</v>
      </c>
      <c r="D2750">
        <v>8</v>
      </c>
      <c r="E2750">
        <v>2</v>
      </c>
      <c r="F2750" t="s">
        <v>315</v>
      </c>
      <c r="G2750" t="s">
        <v>32</v>
      </c>
      <c r="H2750" t="s">
        <v>33</v>
      </c>
      <c r="I2750" t="s">
        <v>43</v>
      </c>
      <c r="J2750" t="s">
        <v>44</v>
      </c>
      <c r="K2750" t="s">
        <v>113</v>
      </c>
      <c r="L2750" t="s">
        <v>37</v>
      </c>
      <c r="M2750">
        <v>0</v>
      </c>
      <c r="N2750">
        <v>0</v>
      </c>
      <c r="O2750" s="5" t="s">
        <v>469</v>
      </c>
      <c r="P2750" s="5" t="s">
        <v>470</v>
      </c>
      <c r="Q2750">
        <f>35-15.5</f>
        <v>19.5</v>
      </c>
      <c r="R2750" t="s">
        <v>38</v>
      </c>
      <c r="T2750">
        <v>18</v>
      </c>
      <c r="U2750">
        <v>80</v>
      </c>
      <c r="V2750">
        <v>16</v>
      </c>
      <c r="W2750">
        <v>13.1</v>
      </c>
      <c r="X2750">
        <v>28.2</v>
      </c>
      <c r="Z2750" t="s">
        <v>102</v>
      </c>
      <c r="AB2750" t="s">
        <v>60</v>
      </c>
      <c r="AC2750" t="s">
        <v>137</v>
      </c>
    </row>
    <row r="2751" spans="1:30" x14ac:dyDescent="0.35">
      <c r="A2751" s="4">
        <v>42587</v>
      </c>
      <c r="B2751" t="s">
        <v>30</v>
      </c>
      <c r="C2751">
        <v>111</v>
      </c>
      <c r="D2751">
        <v>6</v>
      </c>
      <c r="E2751">
        <v>1</v>
      </c>
      <c r="F2751" t="s">
        <v>315</v>
      </c>
      <c r="G2751" t="s">
        <v>32</v>
      </c>
      <c r="H2751" t="s">
        <v>33</v>
      </c>
      <c r="I2751" t="s">
        <v>43</v>
      </c>
      <c r="J2751" t="s">
        <v>44</v>
      </c>
      <c r="K2751" t="s">
        <v>88</v>
      </c>
      <c r="L2751" t="s">
        <v>37</v>
      </c>
      <c r="M2751">
        <v>0</v>
      </c>
      <c r="N2751">
        <v>0</v>
      </c>
      <c r="O2751" s="5" t="s">
        <v>471</v>
      </c>
      <c r="P2751" s="5" t="s">
        <v>472</v>
      </c>
      <c r="Q2751">
        <f>26.5-12.5</f>
        <v>14</v>
      </c>
      <c r="R2751" t="s">
        <v>64</v>
      </c>
      <c r="Z2751" t="s">
        <v>102</v>
      </c>
      <c r="AA2751" t="s">
        <v>201</v>
      </c>
      <c r="AB2751" t="s">
        <v>60</v>
      </c>
      <c r="AC2751" t="s">
        <v>137</v>
      </c>
    </row>
    <row r="2752" spans="1:30" x14ac:dyDescent="0.35">
      <c r="A2752" s="4">
        <v>42587</v>
      </c>
      <c r="B2752" t="s">
        <v>30</v>
      </c>
      <c r="C2752">
        <v>112</v>
      </c>
      <c r="D2752">
        <v>6</v>
      </c>
      <c r="E2752">
        <v>2</v>
      </c>
      <c r="F2752" t="s">
        <v>315</v>
      </c>
      <c r="G2752" t="s">
        <v>32</v>
      </c>
      <c r="H2752" t="s">
        <v>33</v>
      </c>
      <c r="I2752" t="s">
        <v>43</v>
      </c>
      <c r="J2752" t="s">
        <v>44</v>
      </c>
      <c r="K2752" t="s">
        <v>36</v>
      </c>
      <c r="L2752" t="s">
        <v>45</v>
      </c>
      <c r="M2752">
        <v>0</v>
      </c>
      <c r="N2752">
        <v>0</v>
      </c>
      <c r="O2752" s="5" t="s">
        <v>423</v>
      </c>
      <c r="P2752" s="5" t="s">
        <v>424</v>
      </c>
      <c r="Q2752">
        <f>34.5-17</f>
        <v>17.5</v>
      </c>
      <c r="R2752" t="s">
        <v>61</v>
      </c>
      <c r="S2752" t="s">
        <v>39</v>
      </c>
      <c r="T2752">
        <v>19</v>
      </c>
      <c r="U2752">
        <v>92</v>
      </c>
      <c r="V2752">
        <v>17</v>
      </c>
      <c r="W2752">
        <v>12.9</v>
      </c>
      <c r="X2752">
        <v>26.8</v>
      </c>
      <c r="Z2752" t="s">
        <v>102</v>
      </c>
      <c r="AB2752" t="s">
        <v>60</v>
      </c>
      <c r="AC2752" t="s">
        <v>137</v>
      </c>
    </row>
    <row r="2753" spans="1:30" x14ac:dyDescent="0.35">
      <c r="A2753" s="4">
        <v>42587</v>
      </c>
      <c r="B2753" t="s">
        <v>30</v>
      </c>
      <c r="C2753">
        <v>402</v>
      </c>
      <c r="D2753">
        <v>10</v>
      </c>
      <c r="E2753">
        <v>1</v>
      </c>
      <c r="F2753" t="s">
        <v>315</v>
      </c>
      <c r="G2753" t="s">
        <v>32</v>
      </c>
      <c r="H2753" t="s">
        <v>33</v>
      </c>
      <c r="I2753" t="s">
        <v>34</v>
      </c>
      <c r="J2753" t="s">
        <v>44</v>
      </c>
      <c r="K2753" t="s">
        <v>36</v>
      </c>
      <c r="L2753" t="s">
        <v>37</v>
      </c>
      <c r="M2753">
        <v>0</v>
      </c>
      <c r="N2753">
        <v>0</v>
      </c>
      <c r="O2753" s="5" t="s">
        <v>428</v>
      </c>
      <c r="P2753" s="5"/>
      <c r="Q2753">
        <f>130-46</f>
        <v>84</v>
      </c>
      <c r="R2753" t="s">
        <v>38</v>
      </c>
      <c r="T2753">
        <v>30.5</v>
      </c>
      <c r="Z2753" t="s">
        <v>102</v>
      </c>
      <c r="AA2753" t="s">
        <v>201</v>
      </c>
      <c r="AB2753" t="s">
        <v>60</v>
      </c>
      <c r="AC2753" t="s">
        <v>137</v>
      </c>
    </row>
    <row r="2754" spans="1:30" x14ac:dyDescent="0.35">
      <c r="A2754" s="4">
        <v>42587</v>
      </c>
      <c r="B2754" t="s">
        <v>30</v>
      </c>
      <c r="C2754">
        <v>113</v>
      </c>
      <c r="D2754">
        <v>5</v>
      </c>
      <c r="E2754">
        <v>1</v>
      </c>
      <c r="F2754" t="s">
        <v>315</v>
      </c>
      <c r="G2754" t="s">
        <v>32</v>
      </c>
      <c r="H2754" t="s">
        <v>33</v>
      </c>
      <c r="I2754" t="s">
        <v>34</v>
      </c>
      <c r="J2754" t="s">
        <v>44</v>
      </c>
      <c r="K2754" t="s">
        <v>36</v>
      </c>
      <c r="L2754" t="s">
        <v>37</v>
      </c>
      <c r="M2754">
        <v>0</v>
      </c>
      <c r="N2754">
        <v>0</v>
      </c>
      <c r="O2754" s="5" t="s">
        <v>473</v>
      </c>
      <c r="P2754" s="5"/>
      <c r="Q2754">
        <f>136-48</f>
        <v>88</v>
      </c>
      <c r="R2754" t="s">
        <v>38</v>
      </c>
      <c r="T2754">
        <v>31</v>
      </c>
      <c r="Z2754" t="s">
        <v>39</v>
      </c>
      <c r="AB2754" t="s">
        <v>60</v>
      </c>
      <c r="AC2754" t="s">
        <v>137</v>
      </c>
      <c r="AD2754" t="s">
        <v>474</v>
      </c>
    </row>
    <row r="2755" spans="1:30" x14ac:dyDescent="0.35">
      <c r="A2755" s="4">
        <v>42587</v>
      </c>
      <c r="B2755" t="s">
        <v>30</v>
      </c>
      <c r="C2755">
        <v>402</v>
      </c>
      <c r="D2755">
        <v>2</v>
      </c>
      <c r="E2755">
        <v>1</v>
      </c>
      <c r="F2755" t="s">
        <v>315</v>
      </c>
      <c r="G2755" t="s">
        <v>32</v>
      </c>
      <c r="H2755" t="s">
        <v>33</v>
      </c>
      <c r="I2755" t="s">
        <v>58</v>
      </c>
      <c r="J2755" t="s">
        <v>44</v>
      </c>
      <c r="K2755" t="s">
        <v>113</v>
      </c>
      <c r="L2755" t="s">
        <v>37</v>
      </c>
      <c r="M2755">
        <v>0</v>
      </c>
      <c r="N2755">
        <v>0</v>
      </c>
      <c r="O2755" s="5" t="s">
        <v>343</v>
      </c>
      <c r="P2755" s="5"/>
      <c r="Q2755">
        <f>34-15.5</f>
        <v>18.5</v>
      </c>
      <c r="R2755" t="s">
        <v>38</v>
      </c>
      <c r="Z2755" t="s">
        <v>102</v>
      </c>
      <c r="AA2755" t="s">
        <v>201</v>
      </c>
      <c r="AB2755" t="s">
        <v>60</v>
      </c>
      <c r="AC2755" t="s">
        <v>137</v>
      </c>
      <c r="AD2755" t="s">
        <v>475</v>
      </c>
    </row>
    <row r="2756" spans="1:30" x14ac:dyDescent="0.35">
      <c r="A2756" s="4">
        <v>42587</v>
      </c>
      <c r="B2756" t="s">
        <v>30</v>
      </c>
      <c r="C2756">
        <v>402</v>
      </c>
      <c r="D2756">
        <v>1</v>
      </c>
      <c r="E2756">
        <v>2</v>
      </c>
      <c r="F2756" t="s">
        <v>315</v>
      </c>
      <c r="G2756" t="s">
        <v>32</v>
      </c>
      <c r="H2756" t="s">
        <v>33</v>
      </c>
      <c r="I2756" t="s">
        <v>58</v>
      </c>
      <c r="J2756" t="s">
        <v>44</v>
      </c>
      <c r="K2756" t="s">
        <v>36</v>
      </c>
      <c r="L2756" t="s">
        <v>37</v>
      </c>
      <c r="M2756">
        <v>0</v>
      </c>
      <c r="N2756">
        <v>0</v>
      </c>
      <c r="O2756" s="5" t="s">
        <v>476</v>
      </c>
      <c r="P2756" s="5"/>
      <c r="Q2756">
        <f>37-16.5</f>
        <v>20.5</v>
      </c>
      <c r="R2756" t="s">
        <v>38</v>
      </c>
      <c r="T2756">
        <v>17.5</v>
      </c>
      <c r="W2756">
        <v>12.8</v>
      </c>
      <c r="X2756">
        <v>27.4</v>
      </c>
      <c r="Z2756" t="s">
        <v>102</v>
      </c>
      <c r="AA2756" t="s">
        <v>201</v>
      </c>
      <c r="AB2756" t="s">
        <v>60</v>
      </c>
      <c r="AC2756" t="s">
        <v>137</v>
      </c>
    </row>
    <row r="2757" spans="1:30" x14ac:dyDescent="0.35">
      <c r="A2757" s="4">
        <v>42587</v>
      </c>
      <c r="B2757" t="s">
        <v>30</v>
      </c>
      <c r="C2757">
        <v>402</v>
      </c>
      <c r="D2757">
        <v>6</v>
      </c>
      <c r="E2757">
        <v>1</v>
      </c>
      <c r="F2757" t="s">
        <v>315</v>
      </c>
      <c r="G2757" t="s">
        <v>32</v>
      </c>
      <c r="H2757" t="s">
        <v>33</v>
      </c>
      <c r="I2757" t="s">
        <v>58</v>
      </c>
      <c r="J2757" t="s">
        <v>44</v>
      </c>
      <c r="K2757" t="s">
        <v>36</v>
      </c>
      <c r="L2757" t="s">
        <v>37</v>
      </c>
      <c r="M2757">
        <v>0</v>
      </c>
      <c r="N2757">
        <v>0</v>
      </c>
      <c r="O2757" s="5" t="s">
        <v>477</v>
      </c>
      <c r="P2757" s="5"/>
      <c r="Q2757">
        <f>41-16</f>
        <v>25</v>
      </c>
      <c r="R2757" t="s">
        <v>38</v>
      </c>
      <c r="T2757">
        <v>18</v>
      </c>
      <c r="W2757">
        <v>13.1</v>
      </c>
      <c r="Z2757" t="s">
        <v>102</v>
      </c>
      <c r="AA2757" t="s">
        <v>201</v>
      </c>
      <c r="AB2757" t="s">
        <v>60</v>
      </c>
      <c r="AC2757" t="s">
        <v>137</v>
      </c>
    </row>
    <row r="2758" spans="1:30" x14ac:dyDescent="0.35">
      <c r="A2758" s="4">
        <v>42587</v>
      </c>
      <c r="B2758" t="s">
        <v>30</v>
      </c>
      <c r="C2758">
        <v>402</v>
      </c>
      <c r="D2758">
        <v>7</v>
      </c>
      <c r="E2758">
        <v>1</v>
      </c>
      <c r="F2758" t="s">
        <v>315</v>
      </c>
      <c r="G2758" t="s">
        <v>32</v>
      </c>
      <c r="H2758" t="s">
        <v>33</v>
      </c>
      <c r="I2758" t="s">
        <v>65</v>
      </c>
      <c r="J2758" t="s">
        <v>44</v>
      </c>
      <c r="K2758" t="s">
        <v>88</v>
      </c>
      <c r="L2758" t="s">
        <v>45</v>
      </c>
      <c r="M2758">
        <v>0</v>
      </c>
      <c r="N2758">
        <v>0</v>
      </c>
      <c r="O2758" s="5" t="s">
        <v>477</v>
      </c>
      <c r="P2758" s="5"/>
      <c r="Q2758">
        <f>162-48</f>
        <v>114</v>
      </c>
      <c r="R2758" t="s">
        <v>46</v>
      </c>
      <c r="S2758" t="s">
        <v>39</v>
      </c>
      <c r="Z2758" t="s">
        <v>102</v>
      </c>
      <c r="AA2758" t="s">
        <v>201</v>
      </c>
      <c r="AB2758" t="s">
        <v>60</v>
      </c>
      <c r="AC2758" t="s">
        <v>137</v>
      </c>
    </row>
    <row r="2759" spans="1:30" x14ac:dyDescent="0.35">
      <c r="A2759" s="4">
        <v>42587</v>
      </c>
      <c r="B2759" t="s">
        <v>30</v>
      </c>
      <c r="C2759">
        <v>111</v>
      </c>
      <c r="D2759">
        <v>3</v>
      </c>
      <c r="E2759">
        <v>1</v>
      </c>
      <c r="F2759" t="s">
        <v>315</v>
      </c>
      <c r="G2759" t="s">
        <v>32</v>
      </c>
      <c r="H2759" t="s">
        <v>33</v>
      </c>
      <c r="I2759" t="s">
        <v>59</v>
      </c>
      <c r="O2759" s="5"/>
      <c r="P2759" s="5"/>
    </row>
    <row r="2760" spans="1:30" x14ac:dyDescent="0.35">
      <c r="A2760" s="4">
        <v>42587</v>
      </c>
      <c r="B2760" t="s">
        <v>30</v>
      </c>
      <c r="C2760">
        <v>111</v>
      </c>
      <c r="D2760">
        <v>5</v>
      </c>
      <c r="E2760">
        <v>1</v>
      </c>
      <c r="F2760" t="s">
        <v>315</v>
      </c>
      <c r="G2760" t="s">
        <v>32</v>
      </c>
      <c r="H2760" t="s">
        <v>33</v>
      </c>
      <c r="I2760" t="s">
        <v>59</v>
      </c>
      <c r="O2760" s="5"/>
      <c r="P2760" s="5"/>
    </row>
    <row r="2761" spans="1:30" x14ac:dyDescent="0.35">
      <c r="A2761" s="4">
        <v>42587</v>
      </c>
      <c r="B2761" t="s">
        <v>30</v>
      </c>
      <c r="C2761">
        <v>111</v>
      </c>
      <c r="D2761">
        <v>9</v>
      </c>
      <c r="E2761">
        <v>1</v>
      </c>
      <c r="F2761" t="s">
        <v>315</v>
      </c>
      <c r="G2761" t="s">
        <v>32</v>
      </c>
      <c r="H2761" t="s">
        <v>33</v>
      </c>
      <c r="I2761" t="s">
        <v>59</v>
      </c>
      <c r="O2761" s="5"/>
      <c r="P2761" s="5"/>
    </row>
    <row r="2762" spans="1:30" x14ac:dyDescent="0.35">
      <c r="A2762" s="4">
        <v>42587</v>
      </c>
      <c r="B2762" t="s">
        <v>30</v>
      </c>
      <c r="C2762">
        <v>112</v>
      </c>
      <c r="D2762">
        <v>1</v>
      </c>
      <c r="E2762">
        <v>2</v>
      </c>
      <c r="F2762" t="s">
        <v>315</v>
      </c>
      <c r="G2762" t="s">
        <v>32</v>
      </c>
      <c r="H2762" t="s">
        <v>33</v>
      </c>
      <c r="I2762" t="s">
        <v>59</v>
      </c>
      <c r="O2762" s="5"/>
      <c r="P2762" s="5"/>
    </row>
    <row r="2763" spans="1:30" x14ac:dyDescent="0.35">
      <c r="A2763" s="4">
        <v>42587</v>
      </c>
      <c r="B2763" t="s">
        <v>30</v>
      </c>
      <c r="C2763">
        <v>112</v>
      </c>
      <c r="D2763">
        <v>3</v>
      </c>
      <c r="E2763">
        <v>2</v>
      </c>
      <c r="F2763" t="s">
        <v>315</v>
      </c>
      <c r="G2763" t="s">
        <v>32</v>
      </c>
      <c r="H2763" t="s">
        <v>33</v>
      </c>
      <c r="I2763" t="s">
        <v>59</v>
      </c>
      <c r="O2763" s="5"/>
      <c r="P2763" s="5"/>
    </row>
    <row r="2764" spans="1:30" x14ac:dyDescent="0.35">
      <c r="A2764" s="4">
        <v>42587</v>
      </c>
      <c r="B2764" t="s">
        <v>30</v>
      </c>
      <c r="C2764">
        <v>112</v>
      </c>
      <c r="D2764">
        <v>5</v>
      </c>
      <c r="E2764">
        <v>1</v>
      </c>
      <c r="F2764" t="s">
        <v>315</v>
      </c>
      <c r="G2764" t="s">
        <v>32</v>
      </c>
      <c r="H2764" t="s">
        <v>33</v>
      </c>
      <c r="I2764" t="s">
        <v>59</v>
      </c>
      <c r="O2764" s="5"/>
      <c r="P2764" s="5"/>
    </row>
    <row r="2765" spans="1:30" x14ac:dyDescent="0.35">
      <c r="A2765" s="4">
        <v>42587</v>
      </c>
      <c r="B2765" t="s">
        <v>30</v>
      </c>
      <c r="C2765">
        <v>112</v>
      </c>
      <c r="D2765">
        <v>7</v>
      </c>
      <c r="E2765">
        <v>2</v>
      </c>
      <c r="F2765" t="s">
        <v>315</v>
      </c>
      <c r="G2765" t="s">
        <v>32</v>
      </c>
      <c r="H2765" t="s">
        <v>33</v>
      </c>
      <c r="I2765" t="s">
        <v>59</v>
      </c>
      <c r="O2765" s="5"/>
      <c r="P2765" s="5"/>
    </row>
    <row r="2766" spans="1:30" x14ac:dyDescent="0.35">
      <c r="A2766" s="4">
        <v>42587</v>
      </c>
      <c r="B2766" t="s">
        <v>30</v>
      </c>
      <c r="C2766">
        <v>112</v>
      </c>
      <c r="D2766">
        <v>8</v>
      </c>
      <c r="E2766">
        <v>1</v>
      </c>
      <c r="F2766" t="s">
        <v>315</v>
      </c>
      <c r="G2766" t="s">
        <v>32</v>
      </c>
      <c r="H2766" t="s">
        <v>33</v>
      </c>
      <c r="I2766" t="s">
        <v>59</v>
      </c>
      <c r="O2766" s="5"/>
      <c r="P2766" s="5"/>
    </row>
    <row r="2767" spans="1:30" x14ac:dyDescent="0.35">
      <c r="A2767" s="4">
        <v>42587</v>
      </c>
      <c r="B2767" t="s">
        <v>30</v>
      </c>
      <c r="C2767">
        <v>112</v>
      </c>
      <c r="D2767">
        <v>10</v>
      </c>
      <c r="E2767">
        <v>1</v>
      </c>
      <c r="F2767" t="s">
        <v>315</v>
      </c>
      <c r="G2767" t="s">
        <v>32</v>
      </c>
      <c r="H2767" t="s">
        <v>33</v>
      </c>
      <c r="I2767" t="s">
        <v>59</v>
      </c>
      <c r="O2767" s="5"/>
      <c r="P2767" s="5"/>
    </row>
    <row r="2768" spans="1:30" x14ac:dyDescent="0.35">
      <c r="A2768" s="4">
        <v>42587</v>
      </c>
      <c r="B2768" t="s">
        <v>30</v>
      </c>
      <c r="C2768">
        <v>113</v>
      </c>
      <c r="D2768">
        <v>1</v>
      </c>
      <c r="E2768">
        <v>1</v>
      </c>
      <c r="F2768" t="s">
        <v>315</v>
      </c>
      <c r="G2768" t="s">
        <v>32</v>
      </c>
      <c r="H2768" t="s">
        <v>33</v>
      </c>
      <c r="I2768" t="s">
        <v>59</v>
      </c>
      <c r="O2768" s="5"/>
      <c r="P2768" s="5"/>
    </row>
    <row r="2769" spans="1:30" x14ac:dyDescent="0.35">
      <c r="A2769" s="4">
        <v>42587</v>
      </c>
      <c r="B2769" t="s">
        <v>30</v>
      </c>
      <c r="C2769">
        <v>113</v>
      </c>
      <c r="D2769">
        <v>3</v>
      </c>
      <c r="E2769">
        <v>2</v>
      </c>
      <c r="F2769" t="s">
        <v>315</v>
      </c>
      <c r="G2769" t="s">
        <v>32</v>
      </c>
      <c r="H2769" t="s">
        <v>33</v>
      </c>
      <c r="I2769" t="s">
        <v>59</v>
      </c>
      <c r="O2769" s="5"/>
      <c r="P2769" s="5"/>
    </row>
    <row r="2770" spans="1:30" x14ac:dyDescent="0.35">
      <c r="A2770" s="4">
        <v>42587</v>
      </c>
      <c r="B2770" t="s">
        <v>30</v>
      </c>
      <c r="C2770">
        <v>113</v>
      </c>
      <c r="D2770">
        <v>5</v>
      </c>
      <c r="E2770">
        <v>2</v>
      </c>
      <c r="F2770" t="s">
        <v>315</v>
      </c>
      <c r="G2770" t="s">
        <v>32</v>
      </c>
      <c r="H2770" t="s">
        <v>33</v>
      </c>
      <c r="I2770" t="s">
        <v>59</v>
      </c>
      <c r="O2770" s="5"/>
      <c r="P2770" s="5"/>
    </row>
    <row r="2771" spans="1:30" x14ac:dyDescent="0.35">
      <c r="A2771" s="4">
        <v>42587</v>
      </c>
      <c r="B2771" t="s">
        <v>30</v>
      </c>
      <c r="C2771">
        <v>113</v>
      </c>
      <c r="D2771">
        <v>6</v>
      </c>
      <c r="E2771">
        <v>1</v>
      </c>
      <c r="F2771" t="s">
        <v>315</v>
      </c>
      <c r="G2771" t="s">
        <v>32</v>
      </c>
      <c r="H2771" t="s">
        <v>33</v>
      </c>
      <c r="I2771" t="s">
        <v>59</v>
      </c>
      <c r="O2771" s="5"/>
      <c r="P2771" s="5"/>
    </row>
    <row r="2772" spans="1:30" x14ac:dyDescent="0.35">
      <c r="A2772" s="4">
        <v>42587</v>
      </c>
      <c r="B2772" t="s">
        <v>30</v>
      </c>
      <c r="C2772">
        <v>113</v>
      </c>
      <c r="D2772">
        <v>7</v>
      </c>
      <c r="E2772">
        <v>1</v>
      </c>
      <c r="F2772" t="s">
        <v>315</v>
      </c>
      <c r="G2772" t="s">
        <v>32</v>
      </c>
      <c r="H2772" t="s">
        <v>33</v>
      </c>
      <c r="I2772" t="s">
        <v>59</v>
      </c>
      <c r="O2772" s="5"/>
      <c r="P2772" s="5"/>
    </row>
    <row r="2773" spans="1:30" x14ac:dyDescent="0.35">
      <c r="A2773" s="4">
        <v>42587</v>
      </c>
      <c r="B2773" t="s">
        <v>30</v>
      </c>
      <c r="C2773">
        <v>113</v>
      </c>
      <c r="D2773">
        <v>7</v>
      </c>
      <c r="E2773">
        <v>2</v>
      </c>
      <c r="F2773" t="s">
        <v>315</v>
      </c>
      <c r="G2773" t="s">
        <v>32</v>
      </c>
      <c r="H2773" t="s">
        <v>33</v>
      </c>
      <c r="I2773" t="s">
        <v>59</v>
      </c>
      <c r="O2773" s="5"/>
      <c r="P2773" s="5"/>
    </row>
    <row r="2774" spans="1:30" x14ac:dyDescent="0.35">
      <c r="A2774" s="4">
        <v>42587</v>
      </c>
      <c r="B2774" t="s">
        <v>30</v>
      </c>
      <c r="C2774">
        <v>113</v>
      </c>
      <c r="D2774">
        <v>8</v>
      </c>
      <c r="E2774">
        <v>1</v>
      </c>
      <c r="F2774" t="s">
        <v>315</v>
      </c>
      <c r="G2774" t="s">
        <v>32</v>
      </c>
      <c r="H2774" t="s">
        <v>33</v>
      </c>
      <c r="I2774" t="s">
        <v>59</v>
      </c>
      <c r="O2774" s="5"/>
      <c r="P2774" s="5"/>
    </row>
    <row r="2775" spans="1:30" x14ac:dyDescent="0.35">
      <c r="A2775" s="4">
        <v>42587</v>
      </c>
      <c r="B2775" t="s">
        <v>30</v>
      </c>
      <c r="C2775">
        <v>113</v>
      </c>
      <c r="D2775">
        <v>10</v>
      </c>
      <c r="E2775">
        <v>2</v>
      </c>
      <c r="F2775" t="s">
        <v>315</v>
      </c>
      <c r="G2775" t="s">
        <v>32</v>
      </c>
      <c r="H2775" t="s">
        <v>33</v>
      </c>
      <c r="I2775" t="s">
        <v>59</v>
      </c>
      <c r="O2775" s="5"/>
      <c r="P2775" s="5"/>
    </row>
    <row r="2776" spans="1:30" x14ac:dyDescent="0.35">
      <c r="A2776" s="4">
        <v>42587</v>
      </c>
      <c r="B2776" t="s">
        <v>30</v>
      </c>
      <c r="C2776">
        <v>402</v>
      </c>
      <c r="D2776">
        <v>2</v>
      </c>
      <c r="E2776">
        <v>2</v>
      </c>
      <c r="F2776" t="s">
        <v>315</v>
      </c>
      <c r="G2776" t="s">
        <v>32</v>
      </c>
      <c r="H2776" t="s">
        <v>33</v>
      </c>
      <c r="I2776" t="s">
        <v>59</v>
      </c>
      <c r="O2776" s="5"/>
      <c r="P2776" s="5"/>
    </row>
    <row r="2777" spans="1:30" x14ac:dyDescent="0.35">
      <c r="A2777" s="4">
        <v>42587</v>
      </c>
      <c r="B2777" t="s">
        <v>30</v>
      </c>
      <c r="C2777">
        <v>402</v>
      </c>
      <c r="D2777">
        <v>3</v>
      </c>
      <c r="E2777">
        <v>1</v>
      </c>
      <c r="F2777" t="s">
        <v>315</v>
      </c>
      <c r="G2777" t="s">
        <v>32</v>
      </c>
      <c r="H2777" t="s">
        <v>33</v>
      </c>
      <c r="I2777" t="s">
        <v>59</v>
      </c>
      <c r="O2777" s="5"/>
      <c r="P2777" s="5"/>
    </row>
    <row r="2778" spans="1:30" x14ac:dyDescent="0.35">
      <c r="A2778" s="4">
        <v>42587</v>
      </c>
      <c r="B2778" t="s">
        <v>30</v>
      </c>
      <c r="C2778">
        <v>402</v>
      </c>
      <c r="D2778">
        <v>3</v>
      </c>
      <c r="E2778">
        <v>2</v>
      </c>
      <c r="F2778" t="s">
        <v>315</v>
      </c>
      <c r="G2778" t="s">
        <v>32</v>
      </c>
      <c r="H2778" t="s">
        <v>33</v>
      </c>
      <c r="I2778" t="s">
        <v>59</v>
      </c>
      <c r="O2778" s="5"/>
      <c r="P2778" s="5"/>
    </row>
    <row r="2779" spans="1:30" x14ac:dyDescent="0.35">
      <c r="A2779" s="4">
        <v>42587</v>
      </c>
      <c r="B2779" t="s">
        <v>30</v>
      </c>
      <c r="C2779">
        <v>402</v>
      </c>
      <c r="D2779">
        <v>4</v>
      </c>
      <c r="E2779">
        <v>1</v>
      </c>
      <c r="F2779" t="s">
        <v>315</v>
      </c>
      <c r="G2779" t="s">
        <v>32</v>
      </c>
      <c r="H2779" t="s">
        <v>33</v>
      </c>
      <c r="I2779" t="s">
        <v>59</v>
      </c>
      <c r="O2779" s="5"/>
      <c r="P2779" s="5"/>
    </row>
    <row r="2780" spans="1:30" x14ac:dyDescent="0.35">
      <c r="A2780" s="4">
        <v>42587</v>
      </c>
      <c r="B2780" t="s">
        <v>30</v>
      </c>
      <c r="C2780">
        <v>402</v>
      </c>
      <c r="D2780">
        <v>7</v>
      </c>
      <c r="E2780">
        <v>2</v>
      </c>
      <c r="F2780" t="s">
        <v>315</v>
      </c>
      <c r="G2780" t="s">
        <v>32</v>
      </c>
      <c r="H2780" t="s">
        <v>33</v>
      </c>
      <c r="I2780" t="s">
        <v>59</v>
      </c>
      <c r="O2780" s="5"/>
      <c r="P2780" s="5"/>
    </row>
    <row r="2781" spans="1:30" x14ac:dyDescent="0.35">
      <c r="A2781" s="4">
        <v>42587</v>
      </c>
      <c r="B2781" t="s">
        <v>30</v>
      </c>
      <c r="C2781">
        <v>112</v>
      </c>
      <c r="D2781">
        <v>5</v>
      </c>
      <c r="E2781">
        <v>2</v>
      </c>
      <c r="F2781" t="s">
        <v>315</v>
      </c>
      <c r="G2781" t="s">
        <v>32</v>
      </c>
      <c r="H2781" t="s">
        <v>33</v>
      </c>
      <c r="I2781" t="s">
        <v>94</v>
      </c>
      <c r="J2781" t="s">
        <v>44</v>
      </c>
      <c r="K2781" t="s">
        <v>36</v>
      </c>
      <c r="L2781" t="s">
        <v>37</v>
      </c>
      <c r="M2781">
        <v>0</v>
      </c>
      <c r="N2781">
        <v>0</v>
      </c>
      <c r="O2781" s="5" t="s">
        <v>435</v>
      </c>
      <c r="P2781" s="5"/>
      <c r="Q2781">
        <f>32-13</f>
        <v>19</v>
      </c>
      <c r="R2781" t="s">
        <v>38</v>
      </c>
      <c r="T2781">
        <v>30</v>
      </c>
      <c r="W2781">
        <v>13</v>
      </c>
      <c r="X2781">
        <v>25.8</v>
      </c>
      <c r="Z2781" t="s">
        <v>102</v>
      </c>
      <c r="AA2781" t="s">
        <v>201</v>
      </c>
      <c r="AB2781" t="s">
        <v>60</v>
      </c>
      <c r="AC2781" t="s">
        <v>137</v>
      </c>
    </row>
    <row r="2782" spans="1:30" x14ac:dyDescent="0.35">
      <c r="A2782" s="4">
        <v>42587</v>
      </c>
      <c r="B2782" t="s">
        <v>30</v>
      </c>
      <c r="C2782">
        <v>112</v>
      </c>
      <c r="D2782">
        <v>9</v>
      </c>
      <c r="E2782">
        <v>2</v>
      </c>
      <c r="F2782" t="s">
        <v>315</v>
      </c>
      <c r="G2782" t="s">
        <v>32</v>
      </c>
      <c r="H2782" t="s">
        <v>33</v>
      </c>
      <c r="I2782" t="s">
        <v>94</v>
      </c>
      <c r="J2782" t="s">
        <v>44</v>
      </c>
      <c r="K2782" t="s">
        <v>113</v>
      </c>
      <c r="L2782" t="s">
        <v>45</v>
      </c>
      <c r="M2782">
        <v>0</v>
      </c>
      <c r="N2782">
        <v>0</v>
      </c>
      <c r="O2782" s="5" t="s">
        <v>336</v>
      </c>
      <c r="P2782" s="5"/>
      <c r="Q2782">
        <f>30-14</f>
        <v>16</v>
      </c>
      <c r="R2782" t="s">
        <v>61</v>
      </c>
      <c r="S2782" t="s">
        <v>39</v>
      </c>
      <c r="T2782">
        <v>28.5</v>
      </c>
      <c r="W2782">
        <v>12.9</v>
      </c>
      <c r="X2782">
        <v>25.6</v>
      </c>
      <c r="Z2782" t="s">
        <v>39</v>
      </c>
      <c r="AB2782" t="s">
        <v>60</v>
      </c>
      <c r="AC2782" t="s">
        <v>137</v>
      </c>
      <c r="AD2782" t="s">
        <v>478</v>
      </c>
    </row>
    <row r="2783" spans="1:30" x14ac:dyDescent="0.35">
      <c r="A2783" s="4">
        <v>42587</v>
      </c>
      <c r="B2783" t="s">
        <v>30</v>
      </c>
      <c r="C2783">
        <v>112</v>
      </c>
      <c r="D2783">
        <v>3</v>
      </c>
      <c r="E2783">
        <v>1</v>
      </c>
      <c r="F2783" t="s">
        <v>315</v>
      </c>
      <c r="G2783" t="s">
        <v>32</v>
      </c>
      <c r="H2783" t="s">
        <v>33</v>
      </c>
      <c r="I2783" t="s">
        <v>94</v>
      </c>
      <c r="J2783" t="s">
        <v>44</v>
      </c>
      <c r="K2783" t="s">
        <v>36</v>
      </c>
      <c r="L2783" t="s">
        <v>37</v>
      </c>
      <c r="M2783">
        <v>0</v>
      </c>
      <c r="N2783">
        <v>0</v>
      </c>
      <c r="O2783" s="5" t="s">
        <v>349</v>
      </c>
      <c r="P2783" s="5"/>
      <c r="Q2783">
        <f>34-15</f>
        <v>19</v>
      </c>
      <c r="R2783" t="s">
        <v>38</v>
      </c>
      <c r="T2783">
        <v>30</v>
      </c>
      <c r="W2783">
        <v>13</v>
      </c>
      <c r="X2783">
        <v>25.4</v>
      </c>
      <c r="Z2783" t="s">
        <v>102</v>
      </c>
      <c r="AA2783" t="s">
        <v>201</v>
      </c>
      <c r="AB2783" t="s">
        <v>60</v>
      </c>
      <c r="AC2783" t="s">
        <v>137</v>
      </c>
    </row>
    <row r="2784" spans="1:30" x14ac:dyDescent="0.35">
      <c r="A2784" s="4">
        <v>42587</v>
      </c>
      <c r="B2784" t="s">
        <v>30</v>
      </c>
      <c r="C2784">
        <v>112</v>
      </c>
      <c r="D2784">
        <v>8</v>
      </c>
      <c r="E2784">
        <v>2</v>
      </c>
      <c r="F2784" t="s">
        <v>315</v>
      </c>
      <c r="G2784" t="s">
        <v>32</v>
      </c>
      <c r="H2784" t="s">
        <v>33</v>
      </c>
      <c r="I2784" t="s">
        <v>94</v>
      </c>
      <c r="J2784" t="s">
        <v>44</v>
      </c>
      <c r="K2784" t="s">
        <v>36</v>
      </c>
      <c r="L2784" t="s">
        <v>45</v>
      </c>
      <c r="M2784">
        <v>0</v>
      </c>
      <c r="N2784">
        <v>0</v>
      </c>
      <c r="O2784" s="5" t="s">
        <v>350</v>
      </c>
      <c r="P2784" s="5"/>
      <c r="Q2784">
        <f>38-16</f>
        <v>22</v>
      </c>
      <c r="R2784" t="s">
        <v>145</v>
      </c>
      <c r="S2784" t="s">
        <v>102</v>
      </c>
      <c r="T2784">
        <v>29</v>
      </c>
      <c r="Z2784" t="s">
        <v>39</v>
      </c>
      <c r="AB2784" t="s">
        <v>60</v>
      </c>
      <c r="AC2784" t="s">
        <v>137</v>
      </c>
    </row>
    <row r="2785" spans="1:30" x14ac:dyDescent="0.35">
      <c r="A2785" s="4">
        <v>42587</v>
      </c>
      <c r="B2785" t="s">
        <v>30</v>
      </c>
      <c r="C2785">
        <v>111</v>
      </c>
      <c r="D2785">
        <v>7</v>
      </c>
      <c r="E2785">
        <v>2</v>
      </c>
      <c r="F2785" t="s">
        <v>315</v>
      </c>
      <c r="G2785" t="s">
        <v>32</v>
      </c>
      <c r="H2785" t="s">
        <v>33</v>
      </c>
      <c r="I2785" t="s">
        <v>94</v>
      </c>
      <c r="J2785" t="s">
        <v>35</v>
      </c>
      <c r="K2785" t="s">
        <v>36</v>
      </c>
      <c r="L2785" t="s">
        <v>45</v>
      </c>
      <c r="M2785">
        <v>0</v>
      </c>
      <c r="N2785">
        <v>1</v>
      </c>
      <c r="O2785" s="5" t="s">
        <v>479</v>
      </c>
      <c r="P2785" s="5"/>
      <c r="Q2785">
        <f>33-18</f>
        <v>15</v>
      </c>
      <c r="R2785" t="s">
        <v>61</v>
      </c>
      <c r="S2785" t="s">
        <v>39</v>
      </c>
      <c r="T2785">
        <v>29</v>
      </c>
      <c r="W2785">
        <v>12.9</v>
      </c>
      <c r="X2785">
        <v>25.9</v>
      </c>
      <c r="Z2785" t="s">
        <v>39</v>
      </c>
      <c r="AB2785" t="s">
        <v>60</v>
      </c>
      <c r="AC2785" t="s">
        <v>137</v>
      </c>
    </row>
    <row r="2786" spans="1:30" x14ac:dyDescent="0.35">
      <c r="A2786" s="4">
        <v>42587</v>
      </c>
      <c r="B2786" t="s">
        <v>30</v>
      </c>
      <c r="C2786">
        <v>112</v>
      </c>
      <c r="D2786">
        <v>4</v>
      </c>
      <c r="E2786">
        <v>1</v>
      </c>
      <c r="F2786" t="s">
        <v>315</v>
      </c>
      <c r="G2786" t="s">
        <v>32</v>
      </c>
      <c r="H2786" t="s">
        <v>33</v>
      </c>
      <c r="I2786" t="s">
        <v>94</v>
      </c>
      <c r="J2786" t="s">
        <v>44</v>
      </c>
      <c r="K2786" t="s">
        <v>113</v>
      </c>
      <c r="L2786" t="s">
        <v>37</v>
      </c>
      <c r="M2786">
        <v>0</v>
      </c>
      <c r="N2786">
        <v>0</v>
      </c>
      <c r="O2786" s="5" t="s">
        <v>392</v>
      </c>
      <c r="P2786" s="5"/>
      <c r="Q2786">
        <f>31-15</f>
        <v>16</v>
      </c>
      <c r="R2786" t="s">
        <v>38</v>
      </c>
      <c r="T2786">
        <v>30</v>
      </c>
      <c r="W2786">
        <v>12.9</v>
      </c>
      <c r="X2786">
        <v>26.7</v>
      </c>
      <c r="Z2786" t="s">
        <v>102</v>
      </c>
      <c r="AA2786" t="s">
        <v>201</v>
      </c>
      <c r="AB2786" t="s">
        <v>60</v>
      </c>
      <c r="AC2786" t="s">
        <v>137</v>
      </c>
    </row>
    <row r="2787" spans="1:30" x14ac:dyDescent="0.35">
      <c r="A2787" s="4">
        <v>42587</v>
      </c>
      <c r="B2787" t="s">
        <v>30</v>
      </c>
      <c r="C2787">
        <v>402</v>
      </c>
      <c r="D2787">
        <v>9</v>
      </c>
      <c r="E2787">
        <v>1</v>
      </c>
      <c r="F2787" t="s">
        <v>315</v>
      </c>
      <c r="G2787" t="s">
        <v>32</v>
      </c>
      <c r="H2787" t="s">
        <v>33</v>
      </c>
      <c r="I2787" t="s">
        <v>94</v>
      </c>
      <c r="J2787" t="s">
        <v>35</v>
      </c>
      <c r="K2787" t="s">
        <v>113</v>
      </c>
      <c r="L2787" t="s">
        <v>37</v>
      </c>
      <c r="M2787">
        <v>0</v>
      </c>
      <c r="N2787">
        <v>1</v>
      </c>
      <c r="O2787" s="5" t="s">
        <v>480</v>
      </c>
      <c r="P2787" s="5"/>
      <c r="Q2787">
        <f>32-16</f>
        <v>16</v>
      </c>
      <c r="R2787" t="s">
        <v>38</v>
      </c>
      <c r="T2787">
        <v>30</v>
      </c>
      <c r="W2787">
        <v>12.7</v>
      </c>
      <c r="X2787">
        <v>25.7</v>
      </c>
      <c r="Z2787" t="s">
        <v>102</v>
      </c>
      <c r="AA2787" t="s">
        <v>201</v>
      </c>
      <c r="AB2787" t="s">
        <v>60</v>
      </c>
      <c r="AC2787" t="s">
        <v>137</v>
      </c>
    </row>
    <row r="2788" spans="1:30" x14ac:dyDescent="0.35">
      <c r="A2788" s="4">
        <v>42587</v>
      </c>
      <c r="B2788" t="s">
        <v>30</v>
      </c>
      <c r="C2788">
        <v>402</v>
      </c>
      <c r="D2788">
        <v>4</v>
      </c>
      <c r="E2788">
        <v>2</v>
      </c>
      <c r="F2788" t="s">
        <v>315</v>
      </c>
      <c r="G2788" t="s">
        <v>32</v>
      </c>
      <c r="H2788" t="s">
        <v>33</v>
      </c>
      <c r="I2788" t="s">
        <v>94</v>
      </c>
      <c r="J2788" t="s">
        <v>35</v>
      </c>
      <c r="K2788" t="s">
        <v>36</v>
      </c>
      <c r="L2788" t="s">
        <v>45</v>
      </c>
      <c r="M2788">
        <v>0</v>
      </c>
      <c r="N2788">
        <v>1</v>
      </c>
      <c r="O2788" s="5" t="s">
        <v>481</v>
      </c>
      <c r="P2788" s="5"/>
      <c r="Q2788">
        <f>49-13</f>
        <v>36</v>
      </c>
      <c r="R2788" t="s">
        <v>119</v>
      </c>
      <c r="S2788" t="s">
        <v>39</v>
      </c>
      <c r="T2788">
        <v>30.5</v>
      </c>
      <c r="W2788">
        <v>13.1</v>
      </c>
      <c r="X2788">
        <v>26.6</v>
      </c>
      <c r="Y2788" t="s">
        <v>482</v>
      </c>
      <c r="Z2788" t="s">
        <v>102</v>
      </c>
      <c r="AA2788" t="s">
        <v>201</v>
      </c>
      <c r="AB2788" t="s">
        <v>60</v>
      </c>
      <c r="AC2788" t="s">
        <v>137</v>
      </c>
    </row>
    <row r="2789" spans="1:30" x14ac:dyDescent="0.35">
      <c r="A2789" s="4">
        <v>42587</v>
      </c>
      <c r="B2789" t="s">
        <v>30</v>
      </c>
      <c r="C2789">
        <v>112</v>
      </c>
      <c r="D2789">
        <v>1</v>
      </c>
      <c r="E2789">
        <v>1</v>
      </c>
      <c r="F2789" t="s">
        <v>315</v>
      </c>
      <c r="G2789" t="s">
        <v>32</v>
      </c>
      <c r="H2789" t="s">
        <v>33</v>
      </c>
      <c r="I2789" t="s">
        <v>94</v>
      </c>
      <c r="J2789" t="s">
        <v>35</v>
      </c>
      <c r="K2789" t="s">
        <v>36</v>
      </c>
      <c r="L2789" t="s">
        <v>37</v>
      </c>
      <c r="M2789">
        <v>0</v>
      </c>
      <c r="N2789">
        <v>1</v>
      </c>
      <c r="O2789" s="5" t="s">
        <v>483</v>
      </c>
      <c r="P2789" s="5"/>
      <c r="Q2789">
        <f>32.5-13</f>
        <v>19.5</v>
      </c>
      <c r="R2789" t="s">
        <v>38</v>
      </c>
      <c r="T2789">
        <v>29</v>
      </c>
      <c r="W2789">
        <v>12.8</v>
      </c>
      <c r="X2789">
        <v>26.9</v>
      </c>
      <c r="Z2789" t="s">
        <v>102</v>
      </c>
      <c r="AA2789" t="s">
        <v>201</v>
      </c>
      <c r="AB2789" t="s">
        <v>447</v>
      </c>
      <c r="AC2789" t="s">
        <v>137</v>
      </c>
    </row>
    <row r="2790" spans="1:30" x14ac:dyDescent="0.35">
      <c r="A2790" s="4">
        <v>42587</v>
      </c>
      <c r="B2790" t="s">
        <v>30</v>
      </c>
      <c r="C2790">
        <v>112</v>
      </c>
      <c r="D2790">
        <v>7</v>
      </c>
      <c r="E2790">
        <v>1</v>
      </c>
      <c r="F2790" t="s">
        <v>315</v>
      </c>
      <c r="G2790" t="s">
        <v>32</v>
      </c>
      <c r="H2790" t="s">
        <v>33</v>
      </c>
      <c r="I2790" t="s">
        <v>94</v>
      </c>
      <c r="J2790" t="s">
        <v>44</v>
      </c>
      <c r="K2790" t="s">
        <v>36</v>
      </c>
      <c r="L2790" t="s">
        <v>45</v>
      </c>
      <c r="M2790">
        <v>0</v>
      </c>
      <c r="N2790">
        <v>0</v>
      </c>
      <c r="O2790" s="5"/>
      <c r="P2790" s="5" t="s">
        <v>484</v>
      </c>
      <c r="Q2790">
        <f>37-13</f>
        <v>24</v>
      </c>
      <c r="R2790" t="s">
        <v>74</v>
      </c>
      <c r="S2790" t="s">
        <v>102</v>
      </c>
      <c r="T2790">
        <v>28.5</v>
      </c>
      <c r="W2790">
        <v>13</v>
      </c>
      <c r="X2790">
        <v>26.8</v>
      </c>
      <c r="Z2790" t="s">
        <v>39</v>
      </c>
      <c r="AB2790" t="s">
        <v>60</v>
      </c>
      <c r="AC2790" t="s">
        <v>137</v>
      </c>
    </row>
    <row r="2791" spans="1:30" x14ac:dyDescent="0.35">
      <c r="A2791" s="4">
        <v>42588</v>
      </c>
      <c r="B2791" t="s">
        <v>30</v>
      </c>
      <c r="C2791">
        <v>111</v>
      </c>
      <c r="D2791">
        <v>1</v>
      </c>
      <c r="E2791">
        <v>1</v>
      </c>
      <c r="F2791" t="s">
        <v>315</v>
      </c>
      <c r="G2791" t="s">
        <v>32</v>
      </c>
      <c r="H2791" t="s">
        <v>33</v>
      </c>
      <c r="I2791" t="s">
        <v>43</v>
      </c>
      <c r="J2791" t="s">
        <v>44</v>
      </c>
      <c r="K2791" t="s">
        <v>113</v>
      </c>
      <c r="L2791" t="s">
        <v>37</v>
      </c>
      <c r="M2791">
        <v>0</v>
      </c>
      <c r="N2791">
        <v>0</v>
      </c>
      <c r="O2791" s="5" t="s">
        <v>371</v>
      </c>
      <c r="P2791" s="5" t="s">
        <v>372</v>
      </c>
      <c r="Q2791">
        <f>31-14</f>
        <v>17</v>
      </c>
      <c r="R2791" t="s">
        <v>38</v>
      </c>
      <c r="T2791">
        <v>20</v>
      </c>
      <c r="U2791">
        <v>94</v>
      </c>
      <c r="V2791">
        <v>16</v>
      </c>
      <c r="W2791">
        <v>12.8</v>
      </c>
      <c r="X2791">
        <v>27.8</v>
      </c>
      <c r="Z2791" t="s">
        <v>102</v>
      </c>
      <c r="AA2791" t="s">
        <v>201</v>
      </c>
      <c r="AB2791" t="s">
        <v>86</v>
      </c>
      <c r="AC2791" t="s">
        <v>41</v>
      </c>
    </row>
    <row r="2792" spans="1:30" x14ac:dyDescent="0.35">
      <c r="A2792" s="4">
        <v>42588</v>
      </c>
      <c r="B2792" t="s">
        <v>30</v>
      </c>
      <c r="C2792">
        <v>111</v>
      </c>
      <c r="D2792">
        <v>3</v>
      </c>
      <c r="E2792">
        <v>1</v>
      </c>
      <c r="F2792" t="s">
        <v>42</v>
      </c>
      <c r="G2792" t="s">
        <v>32</v>
      </c>
      <c r="H2792" t="s">
        <v>33</v>
      </c>
      <c r="I2792" t="s">
        <v>43</v>
      </c>
      <c r="J2792" t="s">
        <v>44</v>
      </c>
      <c r="K2792" t="s">
        <v>113</v>
      </c>
      <c r="L2792" t="s">
        <v>37</v>
      </c>
      <c r="M2792">
        <v>0</v>
      </c>
      <c r="N2792">
        <v>0</v>
      </c>
      <c r="O2792" s="5" t="s">
        <v>373</v>
      </c>
      <c r="P2792" s="5" t="s">
        <v>374</v>
      </c>
      <c r="R2792" t="s">
        <v>38</v>
      </c>
      <c r="T2792">
        <v>19</v>
      </c>
      <c r="U2792">
        <v>16.5</v>
      </c>
      <c r="V2792">
        <v>89</v>
      </c>
      <c r="W2792">
        <v>13.5</v>
      </c>
      <c r="X2792">
        <v>27.2</v>
      </c>
      <c r="Z2792" t="s">
        <v>39</v>
      </c>
      <c r="AB2792" t="s">
        <v>86</v>
      </c>
      <c r="AC2792" t="s">
        <v>41</v>
      </c>
    </row>
    <row r="2793" spans="1:30" x14ac:dyDescent="0.35">
      <c r="A2793" s="4">
        <v>42588</v>
      </c>
      <c r="B2793" t="s">
        <v>30</v>
      </c>
      <c r="C2793">
        <v>112</v>
      </c>
      <c r="D2793">
        <v>10</v>
      </c>
      <c r="E2793" t="s">
        <v>485</v>
      </c>
      <c r="F2793" t="s">
        <v>315</v>
      </c>
      <c r="G2793" t="s">
        <v>32</v>
      </c>
      <c r="H2793" t="s">
        <v>33</v>
      </c>
      <c r="I2793" t="s">
        <v>43</v>
      </c>
      <c r="J2793" t="s">
        <v>44</v>
      </c>
      <c r="K2793" t="s">
        <v>88</v>
      </c>
      <c r="L2793" t="s">
        <v>37</v>
      </c>
      <c r="M2793">
        <v>0</v>
      </c>
      <c r="N2793">
        <v>0</v>
      </c>
      <c r="O2793" s="5" t="s">
        <v>323</v>
      </c>
      <c r="P2793" s="5" t="s">
        <v>324</v>
      </c>
      <c r="Q2793">
        <f>25-11</f>
        <v>14</v>
      </c>
      <c r="R2793" t="s">
        <v>64</v>
      </c>
      <c r="T2793">
        <v>18</v>
      </c>
      <c r="V2793">
        <v>16</v>
      </c>
      <c r="W2793">
        <v>12.9</v>
      </c>
      <c r="X2793">
        <v>26.3</v>
      </c>
      <c r="Z2793" t="s">
        <v>102</v>
      </c>
      <c r="AA2793" t="s">
        <v>201</v>
      </c>
      <c r="AB2793" t="s">
        <v>86</v>
      </c>
      <c r="AC2793" t="s">
        <v>41</v>
      </c>
      <c r="AD2793" t="s">
        <v>486</v>
      </c>
    </row>
    <row r="2794" spans="1:30" x14ac:dyDescent="0.35">
      <c r="A2794" s="4">
        <v>42588</v>
      </c>
      <c r="B2794" t="s">
        <v>30</v>
      </c>
      <c r="C2794">
        <v>111</v>
      </c>
      <c r="D2794">
        <v>9</v>
      </c>
      <c r="E2794">
        <v>1</v>
      </c>
      <c r="F2794" t="s">
        <v>315</v>
      </c>
      <c r="G2794" t="s">
        <v>32</v>
      </c>
      <c r="H2794" t="s">
        <v>33</v>
      </c>
      <c r="I2794" t="s">
        <v>43</v>
      </c>
      <c r="J2794" t="s">
        <v>44</v>
      </c>
      <c r="K2794" t="s">
        <v>88</v>
      </c>
      <c r="L2794" t="s">
        <v>37</v>
      </c>
      <c r="M2794">
        <v>0</v>
      </c>
      <c r="N2794">
        <v>0</v>
      </c>
      <c r="O2794" s="5" t="s">
        <v>444</v>
      </c>
      <c r="P2794" s="5" t="s">
        <v>445</v>
      </c>
      <c r="Q2794">
        <f>30-16</f>
        <v>14</v>
      </c>
      <c r="R2794" t="s">
        <v>64</v>
      </c>
      <c r="T2794">
        <v>20</v>
      </c>
      <c r="V2794">
        <v>16</v>
      </c>
      <c r="W2794">
        <v>12.7</v>
      </c>
      <c r="X2794">
        <v>26.7</v>
      </c>
      <c r="Z2794" t="s">
        <v>39</v>
      </c>
      <c r="AB2794" t="s">
        <v>86</v>
      </c>
      <c r="AC2794" t="s">
        <v>41</v>
      </c>
    </row>
    <row r="2795" spans="1:30" x14ac:dyDescent="0.35">
      <c r="A2795" s="4">
        <v>42588</v>
      </c>
      <c r="B2795" t="s">
        <v>30</v>
      </c>
      <c r="C2795">
        <v>111</v>
      </c>
      <c r="D2795">
        <v>5</v>
      </c>
      <c r="E2795">
        <v>2</v>
      </c>
      <c r="F2795" t="s">
        <v>42</v>
      </c>
      <c r="G2795" t="s">
        <v>32</v>
      </c>
      <c r="H2795" t="s">
        <v>33</v>
      </c>
      <c r="I2795" t="s">
        <v>43</v>
      </c>
      <c r="J2795" t="s">
        <v>44</v>
      </c>
      <c r="K2795" t="s">
        <v>36</v>
      </c>
      <c r="L2795" t="s">
        <v>45</v>
      </c>
      <c r="M2795">
        <v>0</v>
      </c>
      <c r="N2795">
        <v>0</v>
      </c>
      <c r="O2795" s="5" t="s">
        <v>450</v>
      </c>
      <c r="P2795" s="5" t="s">
        <v>451</v>
      </c>
      <c r="Q2795">
        <f>37.5-16</f>
        <v>21.5</v>
      </c>
      <c r="R2795" t="s">
        <v>74</v>
      </c>
      <c r="S2795" t="s">
        <v>102</v>
      </c>
      <c r="T2795">
        <v>19</v>
      </c>
      <c r="U2795">
        <v>88</v>
      </c>
      <c r="V2795">
        <v>15</v>
      </c>
      <c r="W2795">
        <v>13.5</v>
      </c>
      <c r="X2795">
        <v>27.2</v>
      </c>
      <c r="Z2795" t="s">
        <v>39</v>
      </c>
      <c r="AB2795" t="s">
        <v>86</v>
      </c>
      <c r="AC2795" t="s">
        <v>41</v>
      </c>
    </row>
    <row r="2796" spans="1:30" x14ac:dyDescent="0.35">
      <c r="A2796" s="4">
        <v>42588</v>
      </c>
      <c r="B2796" t="s">
        <v>30</v>
      </c>
      <c r="C2796">
        <v>113</v>
      </c>
      <c r="D2796">
        <v>6</v>
      </c>
      <c r="E2796">
        <v>2</v>
      </c>
      <c r="F2796" t="s">
        <v>42</v>
      </c>
      <c r="G2796" t="s">
        <v>32</v>
      </c>
      <c r="H2796" t="s">
        <v>33</v>
      </c>
      <c r="I2796" t="s">
        <v>43</v>
      </c>
      <c r="J2796" t="s">
        <v>44</v>
      </c>
      <c r="K2796" t="s">
        <v>88</v>
      </c>
      <c r="L2796" t="s">
        <v>45</v>
      </c>
      <c r="M2796">
        <v>0</v>
      </c>
      <c r="N2796">
        <v>0</v>
      </c>
      <c r="O2796" s="5" t="s">
        <v>379</v>
      </c>
      <c r="P2796" s="5" t="s">
        <v>380</v>
      </c>
      <c r="R2796" t="s">
        <v>46</v>
      </c>
      <c r="T2796">
        <v>17</v>
      </c>
      <c r="U2796">
        <v>76</v>
      </c>
      <c r="V2796">
        <v>19</v>
      </c>
      <c r="W2796">
        <v>12.5</v>
      </c>
      <c r="X2796">
        <v>24.6</v>
      </c>
      <c r="Z2796" t="s">
        <v>39</v>
      </c>
      <c r="AB2796" t="s">
        <v>86</v>
      </c>
      <c r="AC2796" t="s">
        <v>41</v>
      </c>
    </row>
    <row r="2797" spans="1:30" x14ac:dyDescent="0.35">
      <c r="A2797" s="4">
        <v>42588</v>
      </c>
      <c r="B2797" t="s">
        <v>30</v>
      </c>
      <c r="C2797">
        <v>113</v>
      </c>
      <c r="D2797">
        <v>2</v>
      </c>
      <c r="E2797">
        <v>1</v>
      </c>
      <c r="F2797" t="s">
        <v>42</v>
      </c>
      <c r="G2797" t="s">
        <v>32</v>
      </c>
      <c r="H2797" t="s">
        <v>33</v>
      </c>
      <c r="I2797" t="s">
        <v>43</v>
      </c>
      <c r="J2797" t="s">
        <v>44</v>
      </c>
      <c r="K2797" t="s">
        <v>88</v>
      </c>
      <c r="L2797" t="s">
        <v>45</v>
      </c>
      <c r="M2797">
        <v>0</v>
      </c>
      <c r="N2797">
        <v>0</v>
      </c>
      <c r="O2797" s="5" t="s">
        <v>387</v>
      </c>
      <c r="P2797" s="5" t="s">
        <v>388</v>
      </c>
      <c r="Q2797">
        <f>25.5-15.5</f>
        <v>10</v>
      </c>
      <c r="R2797" t="s">
        <v>46</v>
      </c>
      <c r="S2797" t="s">
        <v>39</v>
      </c>
      <c r="T2797">
        <v>17</v>
      </c>
      <c r="V2797">
        <v>17</v>
      </c>
      <c r="W2797">
        <v>12</v>
      </c>
      <c r="X2797">
        <v>25.2</v>
      </c>
      <c r="Z2797" t="s">
        <v>102</v>
      </c>
      <c r="AB2797" t="s">
        <v>86</v>
      </c>
      <c r="AC2797" t="s">
        <v>41</v>
      </c>
    </row>
    <row r="2798" spans="1:30" x14ac:dyDescent="0.35">
      <c r="A2798" s="4">
        <v>42588</v>
      </c>
      <c r="B2798" t="s">
        <v>30</v>
      </c>
      <c r="C2798">
        <v>112</v>
      </c>
      <c r="D2798">
        <v>8</v>
      </c>
      <c r="E2798">
        <v>2</v>
      </c>
      <c r="F2798" t="s">
        <v>315</v>
      </c>
      <c r="G2798" t="s">
        <v>32</v>
      </c>
      <c r="H2798" t="s">
        <v>33</v>
      </c>
      <c r="I2798" t="s">
        <v>43</v>
      </c>
      <c r="J2798" t="s">
        <v>44</v>
      </c>
      <c r="K2798" t="s">
        <v>113</v>
      </c>
      <c r="L2798" t="s">
        <v>37</v>
      </c>
      <c r="M2798">
        <v>0</v>
      </c>
      <c r="N2798">
        <v>0</v>
      </c>
      <c r="O2798" s="5" t="s">
        <v>391</v>
      </c>
      <c r="P2798" s="5" t="s">
        <v>452</v>
      </c>
      <c r="Q2798">
        <f>35-16</f>
        <v>19</v>
      </c>
      <c r="R2798" t="s">
        <v>38</v>
      </c>
      <c r="T2798">
        <v>19</v>
      </c>
      <c r="U2798">
        <v>86</v>
      </c>
      <c r="V2798">
        <v>16</v>
      </c>
      <c r="W2798">
        <v>13</v>
      </c>
      <c r="X2798">
        <v>27.8</v>
      </c>
      <c r="Z2798" t="s">
        <v>39</v>
      </c>
      <c r="AB2798" t="s">
        <v>86</v>
      </c>
      <c r="AC2798" t="s">
        <v>41</v>
      </c>
    </row>
    <row r="2799" spans="1:30" x14ac:dyDescent="0.35">
      <c r="A2799" s="4">
        <v>42588</v>
      </c>
      <c r="B2799" t="s">
        <v>30</v>
      </c>
      <c r="C2799">
        <v>111</v>
      </c>
      <c r="D2799">
        <v>5</v>
      </c>
      <c r="E2799">
        <v>1</v>
      </c>
      <c r="F2799" t="s">
        <v>42</v>
      </c>
      <c r="G2799" t="s">
        <v>32</v>
      </c>
      <c r="H2799" t="s">
        <v>33</v>
      </c>
      <c r="I2799" t="s">
        <v>43</v>
      </c>
      <c r="J2799" t="s">
        <v>35</v>
      </c>
      <c r="K2799" t="s">
        <v>88</v>
      </c>
      <c r="L2799" t="s">
        <v>37</v>
      </c>
      <c r="M2799">
        <v>0</v>
      </c>
      <c r="N2799">
        <v>1</v>
      </c>
      <c r="O2799" s="5" t="s">
        <v>487</v>
      </c>
      <c r="P2799" s="5" t="s">
        <v>488</v>
      </c>
      <c r="Q2799">
        <f>20.5-12.5</f>
        <v>8</v>
      </c>
      <c r="R2799" t="s">
        <v>64</v>
      </c>
      <c r="T2799">
        <v>17</v>
      </c>
      <c r="V2799">
        <v>16</v>
      </c>
      <c r="W2799">
        <v>11.5</v>
      </c>
      <c r="X2799">
        <v>23.4</v>
      </c>
      <c r="Z2799" t="s">
        <v>39</v>
      </c>
      <c r="AB2799" t="s">
        <v>86</v>
      </c>
      <c r="AC2799" t="s">
        <v>41</v>
      </c>
    </row>
    <row r="2800" spans="1:30" x14ac:dyDescent="0.35">
      <c r="A2800" s="4">
        <v>42588</v>
      </c>
      <c r="B2800" t="s">
        <v>30</v>
      </c>
      <c r="C2800">
        <v>111</v>
      </c>
      <c r="D2800">
        <v>9</v>
      </c>
      <c r="E2800">
        <v>1</v>
      </c>
      <c r="F2800" t="s">
        <v>42</v>
      </c>
      <c r="G2800" t="s">
        <v>32</v>
      </c>
      <c r="H2800" t="s">
        <v>33</v>
      </c>
      <c r="I2800" t="s">
        <v>43</v>
      </c>
      <c r="J2800" t="s">
        <v>35</v>
      </c>
      <c r="K2800" t="s">
        <v>113</v>
      </c>
      <c r="L2800" t="s">
        <v>37</v>
      </c>
      <c r="M2800">
        <v>0</v>
      </c>
      <c r="N2800">
        <v>1</v>
      </c>
      <c r="O2800" s="5" t="s">
        <v>489</v>
      </c>
      <c r="P2800" s="5" t="s">
        <v>490</v>
      </c>
      <c r="Q2800">
        <f>27.5-12.5</f>
        <v>15</v>
      </c>
      <c r="R2800" t="s">
        <v>64</v>
      </c>
      <c r="T2800">
        <v>19</v>
      </c>
      <c r="U2800">
        <v>91</v>
      </c>
      <c r="V2800">
        <v>19</v>
      </c>
      <c r="W2800">
        <v>12.85</v>
      </c>
      <c r="X2800">
        <v>25.1</v>
      </c>
      <c r="Z2800" t="s">
        <v>39</v>
      </c>
      <c r="AB2800" t="s">
        <v>86</v>
      </c>
      <c r="AC2800" t="s">
        <v>41</v>
      </c>
    </row>
    <row r="2801" spans="1:30" x14ac:dyDescent="0.35">
      <c r="A2801" s="4">
        <v>42588</v>
      </c>
      <c r="B2801" t="s">
        <v>30</v>
      </c>
      <c r="C2801">
        <v>113</v>
      </c>
      <c r="D2801">
        <v>2</v>
      </c>
      <c r="E2801">
        <v>1</v>
      </c>
      <c r="F2801" t="s">
        <v>315</v>
      </c>
      <c r="G2801" t="s">
        <v>32</v>
      </c>
      <c r="H2801" t="s">
        <v>33</v>
      </c>
      <c r="I2801" t="s">
        <v>43</v>
      </c>
      <c r="J2801" t="s">
        <v>35</v>
      </c>
      <c r="K2801" t="s">
        <v>88</v>
      </c>
      <c r="L2801" t="s">
        <v>37</v>
      </c>
      <c r="M2801">
        <v>0</v>
      </c>
      <c r="N2801">
        <v>1</v>
      </c>
      <c r="O2801" s="5" t="s">
        <v>491</v>
      </c>
      <c r="P2801" s="5" t="s">
        <v>492</v>
      </c>
      <c r="Q2801">
        <f>27-13</f>
        <v>14</v>
      </c>
      <c r="R2801" t="s">
        <v>64</v>
      </c>
      <c r="T2801">
        <v>19</v>
      </c>
      <c r="V2801">
        <v>16</v>
      </c>
      <c r="W2801">
        <v>12.8</v>
      </c>
      <c r="X2801">
        <v>26.2</v>
      </c>
      <c r="Z2801" t="s">
        <v>39</v>
      </c>
      <c r="AB2801" t="s">
        <v>86</v>
      </c>
      <c r="AC2801" t="s">
        <v>41</v>
      </c>
    </row>
    <row r="2802" spans="1:30" x14ac:dyDescent="0.35">
      <c r="A2802" s="4">
        <v>42588</v>
      </c>
      <c r="B2802" t="s">
        <v>30</v>
      </c>
      <c r="C2802">
        <v>113</v>
      </c>
      <c r="D2802">
        <v>10</v>
      </c>
      <c r="E2802">
        <v>1</v>
      </c>
      <c r="F2802" t="s">
        <v>42</v>
      </c>
      <c r="G2802" t="s">
        <v>32</v>
      </c>
      <c r="H2802" t="s">
        <v>33</v>
      </c>
      <c r="I2802" t="s">
        <v>43</v>
      </c>
      <c r="J2802" t="s">
        <v>35</v>
      </c>
      <c r="K2802" t="s">
        <v>88</v>
      </c>
      <c r="L2802" t="s">
        <v>37</v>
      </c>
      <c r="M2802">
        <v>0</v>
      </c>
      <c r="N2802">
        <v>1</v>
      </c>
      <c r="O2802" s="5" t="s">
        <v>493</v>
      </c>
      <c r="P2802" s="5" t="s">
        <v>494</v>
      </c>
      <c r="Q2802">
        <f>27.5-13</f>
        <v>14.5</v>
      </c>
      <c r="R2802" t="s">
        <v>64</v>
      </c>
      <c r="T2802">
        <v>18</v>
      </c>
      <c r="U2802">
        <v>80</v>
      </c>
      <c r="V2802">
        <v>15</v>
      </c>
      <c r="W2802">
        <v>13</v>
      </c>
      <c r="X2802">
        <v>22</v>
      </c>
      <c r="Z2802" t="s">
        <v>39</v>
      </c>
      <c r="AB2802" t="s">
        <v>86</v>
      </c>
      <c r="AC2802" t="s">
        <v>41</v>
      </c>
    </row>
    <row r="2803" spans="1:30" x14ac:dyDescent="0.35">
      <c r="A2803" s="4">
        <v>42588</v>
      </c>
      <c r="B2803" t="s">
        <v>30</v>
      </c>
      <c r="C2803">
        <v>113</v>
      </c>
      <c r="D2803">
        <v>10</v>
      </c>
      <c r="E2803">
        <v>2</v>
      </c>
      <c r="F2803" t="s">
        <v>315</v>
      </c>
      <c r="G2803" t="s">
        <v>32</v>
      </c>
      <c r="H2803" t="s">
        <v>33</v>
      </c>
      <c r="I2803" t="s">
        <v>43</v>
      </c>
      <c r="J2803" t="s">
        <v>35</v>
      </c>
      <c r="K2803" t="s">
        <v>88</v>
      </c>
      <c r="L2803" t="s">
        <v>37</v>
      </c>
      <c r="M2803">
        <v>0</v>
      </c>
      <c r="N2803">
        <v>1</v>
      </c>
      <c r="O2803" s="5" t="s">
        <v>495</v>
      </c>
      <c r="P2803" s="5" t="s">
        <v>496</v>
      </c>
      <c r="Q2803">
        <f>28-13</f>
        <v>15</v>
      </c>
      <c r="R2803" t="s">
        <v>64</v>
      </c>
      <c r="T2803">
        <v>20</v>
      </c>
      <c r="V2803">
        <v>15.5</v>
      </c>
      <c r="W2803">
        <v>12.8</v>
      </c>
      <c r="X2803">
        <v>26.4</v>
      </c>
      <c r="Z2803" t="s">
        <v>39</v>
      </c>
      <c r="AB2803" t="s">
        <v>86</v>
      </c>
      <c r="AC2803" t="s">
        <v>41</v>
      </c>
    </row>
    <row r="2804" spans="1:30" x14ac:dyDescent="0.35">
      <c r="A2804" s="4">
        <v>42588</v>
      </c>
      <c r="B2804" t="s">
        <v>30</v>
      </c>
      <c r="C2804">
        <v>112</v>
      </c>
      <c r="D2804">
        <v>1</v>
      </c>
      <c r="E2804">
        <v>2</v>
      </c>
      <c r="F2804" t="s">
        <v>315</v>
      </c>
      <c r="G2804" t="s">
        <v>32</v>
      </c>
      <c r="H2804" t="s">
        <v>33</v>
      </c>
      <c r="I2804" t="s">
        <v>43</v>
      </c>
      <c r="J2804" t="s">
        <v>35</v>
      </c>
      <c r="K2804" t="s">
        <v>36</v>
      </c>
      <c r="L2804" t="s">
        <v>45</v>
      </c>
      <c r="M2804">
        <v>0</v>
      </c>
      <c r="N2804">
        <v>1</v>
      </c>
      <c r="O2804" s="5" t="s">
        <v>497</v>
      </c>
      <c r="P2804" s="5" t="s">
        <v>498</v>
      </c>
      <c r="Q2804">
        <f>34-13.5</f>
        <v>20.5</v>
      </c>
      <c r="R2804" t="s">
        <v>145</v>
      </c>
      <c r="S2804" t="s">
        <v>102</v>
      </c>
      <c r="T2804">
        <v>19</v>
      </c>
      <c r="U2804">
        <v>85</v>
      </c>
      <c r="V2804">
        <v>16</v>
      </c>
      <c r="W2804">
        <v>12.9</v>
      </c>
      <c r="X2804">
        <v>27.6</v>
      </c>
      <c r="Z2804" t="s">
        <v>102</v>
      </c>
      <c r="AB2804" t="s">
        <v>97</v>
      </c>
      <c r="AC2804" t="s">
        <v>41</v>
      </c>
    </row>
    <row r="2805" spans="1:30" x14ac:dyDescent="0.35">
      <c r="A2805" s="4">
        <v>42588</v>
      </c>
      <c r="B2805" t="s">
        <v>30</v>
      </c>
      <c r="C2805">
        <v>111</v>
      </c>
      <c r="D2805">
        <v>4</v>
      </c>
      <c r="E2805">
        <v>2</v>
      </c>
      <c r="F2805" t="s">
        <v>315</v>
      </c>
      <c r="G2805" t="s">
        <v>32</v>
      </c>
      <c r="H2805" t="s">
        <v>33</v>
      </c>
      <c r="I2805" t="s">
        <v>43</v>
      </c>
      <c r="J2805" t="s">
        <v>35</v>
      </c>
      <c r="K2805" t="s">
        <v>88</v>
      </c>
      <c r="L2805" t="s">
        <v>45</v>
      </c>
      <c r="M2805">
        <v>0</v>
      </c>
      <c r="N2805">
        <v>1</v>
      </c>
      <c r="O2805" s="5" t="s">
        <v>499</v>
      </c>
      <c r="P2805" s="5" t="s">
        <v>500</v>
      </c>
      <c r="Q2805">
        <f>21-13</f>
        <v>8</v>
      </c>
      <c r="R2805" t="s">
        <v>46</v>
      </c>
      <c r="S2805" t="s">
        <v>39</v>
      </c>
      <c r="T2805">
        <v>18</v>
      </c>
      <c r="W2805">
        <v>13</v>
      </c>
      <c r="X2805">
        <v>24.4</v>
      </c>
      <c r="Z2805" t="s">
        <v>39</v>
      </c>
      <c r="AB2805" t="s">
        <v>86</v>
      </c>
      <c r="AC2805" t="s">
        <v>41</v>
      </c>
    </row>
    <row r="2806" spans="1:30" x14ac:dyDescent="0.35">
      <c r="A2806" s="4">
        <v>42588</v>
      </c>
      <c r="B2806" t="s">
        <v>30</v>
      </c>
      <c r="C2806">
        <v>112</v>
      </c>
      <c r="D2806">
        <v>4</v>
      </c>
      <c r="E2806">
        <v>2</v>
      </c>
      <c r="F2806" t="s">
        <v>315</v>
      </c>
      <c r="G2806" t="s">
        <v>32</v>
      </c>
      <c r="H2806" t="s">
        <v>33</v>
      </c>
      <c r="I2806" t="s">
        <v>43</v>
      </c>
      <c r="J2806" t="s">
        <v>44</v>
      </c>
      <c r="K2806" t="s">
        <v>36</v>
      </c>
      <c r="L2806" t="s">
        <v>37</v>
      </c>
      <c r="M2806">
        <v>0</v>
      </c>
      <c r="N2806">
        <v>0</v>
      </c>
      <c r="O2806">
        <v>50497</v>
      </c>
      <c r="P2806">
        <v>50496</v>
      </c>
      <c r="Q2806">
        <f>35-16</f>
        <v>19</v>
      </c>
      <c r="R2806" t="s">
        <v>38</v>
      </c>
      <c r="T2806">
        <v>19</v>
      </c>
      <c r="U2806">
        <v>84</v>
      </c>
      <c r="V2806">
        <v>15</v>
      </c>
      <c r="W2806">
        <v>13</v>
      </c>
      <c r="X2806">
        <v>26.9</v>
      </c>
      <c r="Z2806" t="s">
        <v>102</v>
      </c>
      <c r="AA2806" t="s">
        <v>201</v>
      </c>
      <c r="AB2806" t="s">
        <v>86</v>
      </c>
      <c r="AC2806" t="s">
        <v>41</v>
      </c>
      <c r="AD2806" t="s">
        <v>399</v>
      </c>
    </row>
    <row r="2807" spans="1:30" x14ac:dyDescent="0.35">
      <c r="A2807" s="4">
        <v>42588</v>
      </c>
      <c r="B2807" t="s">
        <v>30</v>
      </c>
      <c r="C2807">
        <v>113</v>
      </c>
      <c r="D2807">
        <v>4</v>
      </c>
      <c r="E2807">
        <v>1</v>
      </c>
      <c r="F2807" t="s">
        <v>42</v>
      </c>
      <c r="G2807" t="s">
        <v>32</v>
      </c>
      <c r="H2807" t="s">
        <v>33</v>
      </c>
      <c r="I2807" t="s">
        <v>43</v>
      </c>
      <c r="J2807" t="s">
        <v>44</v>
      </c>
      <c r="K2807" t="s">
        <v>36</v>
      </c>
      <c r="L2807" t="s">
        <v>45</v>
      </c>
      <c r="M2807">
        <v>0</v>
      </c>
      <c r="N2807">
        <v>0</v>
      </c>
      <c r="O2807" s="5" t="s">
        <v>400</v>
      </c>
      <c r="P2807" s="5" t="s">
        <v>401</v>
      </c>
      <c r="Q2807">
        <f>39-17</f>
        <v>22</v>
      </c>
      <c r="R2807" t="s">
        <v>145</v>
      </c>
      <c r="S2807" t="s">
        <v>102</v>
      </c>
      <c r="T2807">
        <v>17</v>
      </c>
      <c r="U2807">
        <v>86</v>
      </c>
      <c r="V2807">
        <v>16</v>
      </c>
      <c r="W2807">
        <v>13.1</v>
      </c>
      <c r="X2807">
        <v>27</v>
      </c>
      <c r="Z2807" t="s">
        <v>39</v>
      </c>
      <c r="AB2807" t="s">
        <v>86</v>
      </c>
      <c r="AC2807" t="s">
        <v>41</v>
      </c>
    </row>
    <row r="2808" spans="1:30" x14ac:dyDescent="0.35">
      <c r="A2808" s="4">
        <v>42588</v>
      </c>
      <c r="B2808" t="s">
        <v>30</v>
      </c>
      <c r="C2808">
        <v>112</v>
      </c>
      <c r="D2808">
        <v>6</v>
      </c>
      <c r="E2808">
        <v>1</v>
      </c>
      <c r="F2808" t="s">
        <v>315</v>
      </c>
      <c r="G2808" t="s">
        <v>32</v>
      </c>
      <c r="H2808" t="s">
        <v>33</v>
      </c>
      <c r="I2808" t="s">
        <v>43</v>
      </c>
      <c r="J2808" t="s">
        <v>44</v>
      </c>
      <c r="K2808" t="s">
        <v>36</v>
      </c>
      <c r="L2808" t="s">
        <v>37</v>
      </c>
      <c r="M2808">
        <v>0</v>
      </c>
      <c r="N2808">
        <v>0</v>
      </c>
      <c r="O2808" s="5" t="s">
        <v>460</v>
      </c>
      <c r="P2808" s="5" t="s">
        <v>461</v>
      </c>
      <c r="Q2808">
        <f>37-18</f>
        <v>19</v>
      </c>
      <c r="R2808" t="s">
        <v>38</v>
      </c>
      <c r="T2808">
        <v>19</v>
      </c>
      <c r="U2808">
        <v>83</v>
      </c>
      <c r="V2808">
        <v>16</v>
      </c>
      <c r="W2808">
        <v>12.9</v>
      </c>
      <c r="X2808">
        <v>27.3</v>
      </c>
      <c r="Z2808" t="s">
        <v>102</v>
      </c>
      <c r="AA2808" t="s">
        <v>201</v>
      </c>
      <c r="AB2808" t="s">
        <v>86</v>
      </c>
      <c r="AC2808" t="s">
        <v>41</v>
      </c>
    </row>
    <row r="2809" spans="1:30" x14ac:dyDescent="0.35">
      <c r="A2809" s="4">
        <v>42588</v>
      </c>
      <c r="B2809" t="s">
        <v>30</v>
      </c>
      <c r="C2809">
        <v>111</v>
      </c>
      <c r="D2809">
        <v>4</v>
      </c>
      <c r="E2809">
        <v>1</v>
      </c>
      <c r="F2809" t="s">
        <v>315</v>
      </c>
      <c r="G2809" t="s">
        <v>32</v>
      </c>
      <c r="H2809" t="s">
        <v>33</v>
      </c>
      <c r="I2809" t="s">
        <v>43</v>
      </c>
      <c r="J2809" t="s">
        <v>44</v>
      </c>
      <c r="K2809" t="s">
        <v>36</v>
      </c>
      <c r="L2809" t="s">
        <v>37</v>
      </c>
      <c r="M2809">
        <v>0</v>
      </c>
      <c r="N2809">
        <v>0</v>
      </c>
      <c r="O2809" s="5" t="s">
        <v>402</v>
      </c>
      <c r="P2809" s="5" t="s">
        <v>403</v>
      </c>
      <c r="Q2809">
        <f>37-15.5</f>
        <v>21.5</v>
      </c>
      <c r="R2809" t="s">
        <v>38</v>
      </c>
      <c r="T2809">
        <v>21</v>
      </c>
      <c r="U2809">
        <v>96</v>
      </c>
      <c r="V2809">
        <v>16</v>
      </c>
      <c r="W2809">
        <v>12.9</v>
      </c>
      <c r="X2809">
        <v>28.8</v>
      </c>
      <c r="Z2809" t="s">
        <v>102</v>
      </c>
      <c r="AA2809" t="s">
        <v>201</v>
      </c>
      <c r="AB2809" t="s">
        <v>86</v>
      </c>
      <c r="AC2809" t="s">
        <v>41</v>
      </c>
    </row>
    <row r="2810" spans="1:30" x14ac:dyDescent="0.35">
      <c r="A2810" s="4">
        <v>42588</v>
      </c>
      <c r="B2810" t="s">
        <v>30</v>
      </c>
      <c r="C2810">
        <v>112</v>
      </c>
      <c r="D2810">
        <v>5</v>
      </c>
      <c r="E2810">
        <v>2</v>
      </c>
      <c r="F2810" t="s">
        <v>42</v>
      </c>
      <c r="G2810" t="s">
        <v>32</v>
      </c>
      <c r="H2810" t="s">
        <v>33</v>
      </c>
      <c r="I2810" t="s">
        <v>43</v>
      </c>
      <c r="J2810" t="s">
        <v>44</v>
      </c>
      <c r="K2810" t="s">
        <v>36</v>
      </c>
      <c r="L2810" t="s">
        <v>37</v>
      </c>
      <c r="M2810">
        <v>0</v>
      </c>
      <c r="N2810">
        <v>0</v>
      </c>
      <c r="O2810" s="5" t="s">
        <v>462</v>
      </c>
      <c r="P2810" s="5" t="s">
        <v>463</v>
      </c>
      <c r="Q2810">
        <f>33-14</f>
        <v>19</v>
      </c>
      <c r="R2810" t="s">
        <v>38</v>
      </c>
      <c r="T2810">
        <v>20</v>
      </c>
      <c r="U2810">
        <v>95</v>
      </c>
      <c r="V2810">
        <v>14</v>
      </c>
      <c r="W2810">
        <v>13.2</v>
      </c>
      <c r="X2810">
        <v>26.6</v>
      </c>
      <c r="Y2810" t="s">
        <v>501</v>
      </c>
      <c r="Z2810" t="s">
        <v>102</v>
      </c>
      <c r="AB2810" t="s">
        <v>86</v>
      </c>
      <c r="AC2810" t="s">
        <v>41</v>
      </c>
    </row>
    <row r="2811" spans="1:30" x14ac:dyDescent="0.35">
      <c r="A2811" s="4">
        <v>42588</v>
      </c>
      <c r="B2811" t="s">
        <v>30</v>
      </c>
      <c r="C2811">
        <v>112</v>
      </c>
      <c r="D2811">
        <v>9</v>
      </c>
      <c r="E2811">
        <v>2</v>
      </c>
      <c r="F2811" t="s">
        <v>42</v>
      </c>
      <c r="G2811" t="s">
        <v>32</v>
      </c>
      <c r="H2811" t="s">
        <v>33</v>
      </c>
      <c r="I2811" t="s">
        <v>43</v>
      </c>
      <c r="J2811" t="s">
        <v>44</v>
      </c>
      <c r="K2811" t="s">
        <v>36</v>
      </c>
      <c r="L2811" t="s">
        <v>37</v>
      </c>
      <c r="M2811">
        <v>0</v>
      </c>
      <c r="N2811">
        <v>0</v>
      </c>
      <c r="O2811" s="5" t="s">
        <v>404</v>
      </c>
      <c r="P2811" s="5" t="s">
        <v>405</v>
      </c>
      <c r="Q2811">
        <f>35-13</f>
        <v>22</v>
      </c>
      <c r="R2811" t="s">
        <v>38</v>
      </c>
      <c r="T2811">
        <v>19</v>
      </c>
      <c r="U2811">
        <v>85</v>
      </c>
      <c r="V2811">
        <v>14</v>
      </c>
      <c r="W2811">
        <v>12.6</v>
      </c>
      <c r="X2811">
        <v>25.5</v>
      </c>
      <c r="Z2811" t="s">
        <v>102</v>
      </c>
      <c r="AB2811" t="s">
        <v>86</v>
      </c>
      <c r="AC2811" t="s">
        <v>41</v>
      </c>
    </row>
    <row r="2812" spans="1:30" x14ac:dyDescent="0.35">
      <c r="A2812" s="4">
        <v>42588</v>
      </c>
      <c r="B2812" t="s">
        <v>30</v>
      </c>
      <c r="C2812">
        <v>113</v>
      </c>
      <c r="D2812">
        <v>4</v>
      </c>
      <c r="E2812">
        <v>2</v>
      </c>
      <c r="F2812" t="s">
        <v>42</v>
      </c>
      <c r="G2812" t="s">
        <v>32</v>
      </c>
      <c r="H2812" t="s">
        <v>33</v>
      </c>
      <c r="I2812" t="s">
        <v>43</v>
      </c>
      <c r="J2812" t="s">
        <v>44</v>
      </c>
      <c r="K2812" t="s">
        <v>36</v>
      </c>
      <c r="L2812" t="s">
        <v>37</v>
      </c>
      <c r="M2812">
        <v>0</v>
      </c>
      <c r="N2812">
        <v>0</v>
      </c>
      <c r="O2812" s="5" t="s">
        <v>464</v>
      </c>
      <c r="P2812" s="5" t="s">
        <v>465</v>
      </c>
      <c r="Q2812">
        <f>30-12.5</f>
        <v>17.5</v>
      </c>
      <c r="R2812" t="s">
        <v>38</v>
      </c>
      <c r="T2812">
        <v>20</v>
      </c>
      <c r="U2812">
        <v>86</v>
      </c>
      <c r="V2812">
        <v>17</v>
      </c>
      <c r="W2812">
        <v>13.3</v>
      </c>
      <c r="X2812">
        <v>26.4</v>
      </c>
      <c r="Z2812" t="s">
        <v>39</v>
      </c>
      <c r="AB2812" t="s">
        <v>86</v>
      </c>
      <c r="AC2812" t="s">
        <v>41</v>
      </c>
    </row>
    <row r="2813" spans="1:30" x14ac:dyDescent="0.35">
      <c r="A2813" s="4">
        <v>42588</v>
      </c>
      <c r="B2813" t="s">
        <v>30</v>
      </c>
      <c r="C2813">
        <v>111</v>
      </c>
      <c r="D2813">
        <v>10</v>
      </c>
      <c r="E2813">
        <v>1</v>
      </c>
      <c r="F2813" t="s">
        <v>315</v>
      </c>
      <c r="G2813" t="s">
        <v>32</v>
      </c>
      <c r="H2813" t="s">
        <v>33</v>
      </c>
      <c r="I2813" t="s">
        <v>43</v>
      </c>
      <c r="J2813" t="s">
        <v>44</v>
      </c>
      <c r="K2813" t="s">
        <v>88</v>
      </c>
      <c r="L2813" t="s">
        <v>45</v>
      </c>
      <c r="M2813">
        <v>0</v>
      </c>
      <c r="N2813">
        <v>0</v>
      </c>
      <c r="O2813" s="5" t="s">
        <v>408</v>
      </c>
      <c r="P2813" s="5" t="s">
        <v>409</v>
      </c>
      <c r="Q2813">
        <f>27-15</f>
        <v>12</v>
      </c>
      <c r="R2813" t="s">
        <v>46</v>
      </c>
      <c r="S2813" t="s">
        <v>39</v>
      </c>
      <c r="T2813">
        <v>19.5</v>
      </c>
      <c r="V2813">
        <v>16</v>
      </c>
      <c r="W2813">
        <v>12.8</v>
      </c>
      <c r="X2813">
        <v>26.6</v>
      </c>
      <c r="Z2813" t="s">
        <v>39</v>
      </c>
      <c r="AB2813" t="s">
        <v>86</v>
      </c>
      <c r="AC2813" t="s">
        <v>41</v>
      </c>
    </row>
    <row r="2814" spans="1:30" x14ac:dyDescent="0.35">
      <c r="A2814" s="4">
        <v>42588</v>
      </c>
      <c r="B2814" t="s">
        <v>30</v>
      </c>
      <c r="C2814">
        <v>112</v>
      </c>
      <c r="D2814">
        <v>7</v>
      </c>
      <c r="E2814">
        <v>2</v>
      </c>
      <c r="F2814" t="s">
        <v>315</v>
      </c>
      <c r="G2814" t="s">
        <v>32</v>
      </c>
      <c r="H2814" t="s">
        <v>33</v>
      </c>
      <c r="I2814" t="s">
        <v>43</v>
      </c>
      <c r="J2814" t="s">
        <v>44</v>
      </c>
      <c r="K2814" t="s">
        <v>113</v>
      </c>
      <c r="L2814" t="s">
        <v>45</v>
      </c>
      <c r="M2814">
        <v>0</v>
      </c>
      <c r="N2814">
        <v>0</v>
      </c>
      <c r="O2814" s="5" t="s">
        <v>467</v>
      </c>
      <c r="P2814" s="5" t="s">
        <v>468</v>
      </c>
      <c r="Q2814">
        <f>34-16</f>
        <v>18</v>
      </c>
      <c r="R2814" t="s">
        <v>143</v>
      </c>
      <c r="S2814" t="s">
        <v>102</v>
      </c>
      <c r="T2814">
        <v>20</v>
      </c>
      <c r="U2814">
        <v>95</v>
      </c>
      <c r="V2814">
        <v>17</v>
      </c>
      <c r="W2814">
        <v>12.8</v>
      </c>
      <c r="X2814">
        <v>27.5</v>
      </c>
      <c r="Z2814" t="s">
        <v>102</v>
      </c>
      <c r="AB2814" t="s">
        <v>86</v>
      </c>
      <c r="AC2814" t="s">
        <v>41</v>
      </c>
    </row>
    <row r="2815" spans="1:30" x14ac:dyDescent="0.35">
      <c r="A2815" s="4">
        <v>42588</v>
      </c>
      <c r="B2815" t="s">
        <v>30</v>
      </c>
      <c r="C2815">
        <v>113</v>
      </c>
      <c r="D2815">
        <v>4</v>
      </c>
      <c r="E2815" t="s">
        <v>346</v>
      </c>
      <c r="F2815" t="s">
        <v>315</v>
      </c>
      <c r="G2815" t="s">
        <v>32</v>
      </c>
      <c r="H2815" t="s">
        <v>33</v>
      </c>
      <c r="I2815" t="s">
        <v>43</v>
      </c>
      <c r="J2815" t="s">
        <v>44</v>
      </c>
      <c r="K2815" t="s">
        <v>113</v>
      </c>
      <c r="L2815" t="s">
        <v>37</v>
      </c>
      <c r="M2815">
        <v>0</v>
      </c>
      <c r="N2815">
        <v>0</v>
      </c>
      <c r="O2815" s="5" t="s">
        <v>410</v>
      </c>
      <c r="P2815" s="5" t="s">
        <v>411</v>
      </c>
      <c r="Q2815">
        <f>29.5-13</f>
        <v>16.5</v>
      </c>
      <c r="R2815" t="s">
        <v>38</v>
      </c>
      <c r="T2815">
        <v>20</v>
      </c>
      <c r="V2815">
        <v>17</v>
      </c>
      <c r="W2815">
        <v>12.8</v>
      </c>
      <c r="X2815">
        <v>26.9</v>
      </c>
      <c r="Z2815" t="s">
        <v>102</v>
      </c>
      <c r="AA2815" t="s">
        <v>201</v>
      </c>
      <c r="AB2815" t="s">
        <v>86</v>
      </c>
      <c r="AC2815" t="s">
        <v>41</v>
      </c>
      <c r="AD2815" t="s">
        <v>502</v>
      </c>
    </row>
    <row r="2816" spans="1:30" x14ac:dyDescent="0.35">
      <c r="A2816" s="4">
        <v>42588</v>
      </c>
      <c r="B2816" t="s">
        <v>30</v>
      </c>
      <c r="C2816">
        <v>113</v>
      </c>
      <c r="D2816">
        <v>7</v>
      </c>
      <c r="E2816">
        <v>1</v>
      </c>
      <c r="F2816" t="s">
        <v>315</v>
      </c>
      <c r="G2816" t="s">
        <v>32</v>
      </c>
      <c r="H2816" t="s">
        <v>33</v>
      </c>
      <c r="I2816" t="s">
        <v>43</v>
      </c>
      <c r="J2816" t="s">
        <v>44</v>
      </c>
      <c r="K2816" t="s">
        <v>36</v>
      </c>
      <c r="L2816" t="s">
        <v>45</v>
      </c>
      <c r="M2816">
        <v>0</v>
      </c>
      <c r="N2816">
        <v>0</v>
      </c>
      <c r="O2816" s="5" t="s">
        <v>415</v>
      </c>
      <c r="P2816" s="5" t="s">
        <v>416</v>
      </c>
      <c r="Q2816">
        <f>38-16</f>
        <v>22</v>
      </c>
      <c r="R2816" t="s">
        <v>145</v>
      </c>
      <c r="S2816" t="s">
        <v>102</v>
      </c>
      <c r="T2816">
        <v>19</v>
      </c>
      <c r="U2816">
        <v>95</v>
      </c>
      <c r="V2816">
        <v>17</v>
      </c>
      <c r="W2816">
        <v>12.8</v>
      </c>
      <c r="X2816">
        <v>27.4</v>
      </c>
      <c r="Z2816" t="s">
        <v>102</v>
      </c>
      <c r="AB2816" t="s">
        <v>503</v>
      </c>
      <c r="AC2816" t="s">
        <v>41</v>
      </c>
    </row>
    <row r="2817" spans="1:30" x14ac:dyDescent="0.35">
      <c r="A2817" s="4">
        <v>42588</v>
      </c>
      <c r="B2817" t="s">
        <v>30</v>
      </c>
      <c r="C2817">
        <v>112</v>
      </c>
      <c r="D2817">
        <v>10</v>
      </c>
      <c r="E2817">
        <v>2</v>
      </c>
      <c r="F2817" t="s">
        <v>42</v>
      </c>
      <c r="G2817" t="s">
        <v>32</v>
      </c>
      <c r="H2817" t="s">
        <v>33</v>
      </c>
      <c r="I2817" t="s">
        <v>43</v>
      </c>
      <c r="J2817" t="s">
        <v>44</v>
      </c>
      <c r="K2817" t="s">
        <v>88</v>
      </c>
      <c r="L2817" t="s">
        <v>37</v>
      </c>
      <c r="M2817">
        <v>0</v>
      </c>
      <c r="N2817">
        <v>0</v>
      </c>
      <c r="O2817" s="5" t="s">
        <v>504</v>
      </c>
      <c r="P2817" s="5" t="s">
        <v>505</v>
      </c>
      <c r="Q2817">
        <v>13</v>
      </c>
      <c r="R2817" t="s">
        <v>64</v>
      </c>
      <c r="T2817">
        <v>18</v>
      </c>
      <c r="V2817">
        <v>13</v>
      </c>
      <c r="W2817">
        <v>12.5</v>
      </c>
      <c r="X2817">
        <v>25.75</v>
      </c>
      <c r="Z2817" t="s">
        <v>39</v>
      </c>
      <c r="AB2817" t="s">
        <v>86</v>
      </c>
      <c r="AC2817" t="s">
        <v>41</v>
      </c>
    </row>
    <row r="2818" spans="1:30" x14ac:dyDescent="0.35">
      <c r="A2818" s="4">
        <v>42588</v>
      </c>
      <c r="B2818" t="s">
        <v>30</v>
      </c>
      <c r="C2818">
        <v>113</v>
      </c>
      <c r="D2818">
        <v>1</v>
      </c>
      <c r="E2818">
        <v>2</v>
      </c>
      <c r="F2818" t="s">
        <v>42</v>
      </c>
      <c r="G2818" t="s">
        <v>32</v>
      </c>
      <c r="H2818" t="s">
        <v>33</v>
      </c>
      <c r="I2818" t="s">
        <v>43</v>
      </c>
      <c r="J2818" t="s">
        <v>44</v>
      </c>
      <c r="K2818" t="s">
        <v>88</v>
      </c>
      <c r="L2818" t="s">
        <v>45</v>
      </c>
      <c r="M2818">
        <v>0</v>
      </c>
      <c r="N2818">
        <v>0</v>
      </c>
      <c r="O2818" s="5" t="s">
        <v>506</v>
      </c>
      <c r="P2818" s="5" t="s">
        <v>507</v>
      </c>
      <c r="Q2818">
        <f>34-18</f>
        <v>16</v>
      </c>
      <c r="R2818" t="s">
        <v>46</v>
      </c>
      <c r="S2818" t="s">
        <v>39</v>
      </c>
      <c r="T2818">
        <v>20</v>
      </c>
      <c r="V2818">
        <v>17</v>
      </c>
      <c r="W2818">
        <v>13</v>
      </c>
      <c r="X2818">
        <v>25.5</v>
      </c>
      <c r="Z2818" t="s">
        <v>39</v>
      </c>
      <c r="AB2818" t="s">
        <v>86</v>
      </c>
      <c r="AC2818" t="s">
        <v>41</v>
      </c>
    </row>
    <row r="2819" spans="1:30" x14ac:dyDescent="0.35">
      <c r="A2819" s="4">
        <v>42588</v>
      </c>
      <c r="B2819" t="s">
        <v>30</v>
      </c>
      <c r="C2819">
        <v>113</v>
      </c>
      <c r="D2819">
        <v>9</v>
      </c>
      <c r="E2819">
        <v>2</v>
      </c>
      <c r="F2819" t="s">
        <v>315</v>
      </c>
      <c r="G2819" t="s">
        <v>32</v>
      </c>
      <c r="H2819" t="s">
        <v>33</v>
      </c>
      <c r="I2819" t="s">
        <v>43</v>
      </c>
      <c r="J2819" t="s">
        <v>44</v>
      </c>
      <c r="K2819" t="s">
        <v>88</v>
      </c>
      <c r="L2819" t="s">
        <v>37</v>
      </c>
      <c r="M2819">
        <v>0</v>
      </c>
      <c r="N2819">
        <v>0</v>
      </c>
      <c r="O2819" s="5" t="s">
        <v>419</v>
      </c>
      <c r="P2819" s="5" t="s">
        <v>420</v>
      </c>
      <c r="Q2819">
        <f>28-13</f>
        <v>15</v>
      </c>
      <c r="R2819" t="s">
        <v>64</v>
      </c>
      <c r="T2819">
        <v>19</v>
      </c>
      <c r="V2819">
        <v>16</v>
      </c>
      <c r="W2819">
        <v>12.8</v>
      </c>
      <c r="X2819">
        <v>26</v>
      </c>
      <c r="Z2819" t="s">
        <v>102</v>
      </c>
      <c r="AB2819" t="s">
        <v>86</v>
      </c>
      <c r="AC2819" t="s">
        <v>41</v>
      </c>
      <c r="AD2819" t="s">
        <v>508</v>
      </c>
    </row>
    <row r="2820" spans="1:30" x14ac:dyDescent="0.35">
      <c r="A2820" s="4">
        <v>42588</v>
      </c>
      <c r="B2820" t="s">
        <v>30</v>
      </c>
      <c r="C2820">
        <v>111</v>
      </c>
      <c r="D2820">
        <v>6</v>
      </c>
      <c r="E2820">
        <v>1</v>
      </c>
      <c r="F2820" t="s">
        <v>315</v>
      </c>
      <c r="G2820" t="s">
        <v>32</v>
      </c>
      <c r="H2820" t="s">
        <v>33</v>
      </c>
      <c r="I2820" t="s">
        <v>43</v>
      </c>
      <c r="J2820" t="s">
        <v>44</v>
      </c>
      <c r="K2820" t="s">
        <v>88</v>
      </c>
      <c r="L2820" t="s">
        <v>37</v>
      </c>
      <c r="M2820">
        <v>0</v>
      </c>
      <c r="N2820">
        <v>0</v>
      </c>
      <c r="O2820" s="5" t="s">
        <v>471</v>
      </c>
      <c r="P2820" s="5" t="s">
        <v>472</v>
      </c>
      <c r="Q2820">
        <v>14</v>
      </c>
      <c r="R2820" t="s">
        <v>64</v>
      </c>
      <c r="T2820">
        <v>19</v>
      </c>
      <c r="V2820">
        <v>15</v>
      </c>
      <c r="W2820">
        <v>12.9</v>
      </c>
      <c r="X2820">
        <v>25.6</v>
      </c>
      <c r="Z2820" t="s">
        <v>102</v>
      </c>
      <c r="AB2820" t="s">
        <v>86</v>
      </c>
      <c r="AC2820" t="s">
        <v>41</v>
      </c>
    </row>
    <row r="2821" spans="1:30" x14ac:dyDescent="0.35">
      <c r="A2821" s="4">
        <v>42588</v>
      </c>
      <c r="B2821" t="s">
        <v>30</v>
      </c>
      <c r="C2821">
        <v>112</v>
      </c>
      <c r="D2821">
        <v>3</v>
      </c>
      <c r="E2821">
        <v>2</v>
      </c>
      <c r="F2821" t="s">
        <v>42</v>
      </c>
      <c r="G2821" t="s">
        <v>32</v>
      </c>
      <c r="H2821" t="s">
        <v>33</v>
      </c>
      <c r="I2821" t="s">
        <v>43</v>
      </c>
      <c r="J2821" t="s">
        <v>44</v>
      </c>
      <c r="K2821" t="s">
        <v>36</v>
      </c>
      <c r="L2821" t="s">
        <v>45</v>
      </c>
      <c r="M2821">
        <v>0</v>
      </c>
      <c r="N2821">
        <v>0</v>
      </c>
      <c r="O2821" s="5" t="s">
        <v>509</v>
      </c>
      <c r="P2821" s="5" t="s">
        <v>510</v>
      </c>
      <c r="Q2821">
        <f>34-13</f>
        <v>21</v>
      </c>
      <c r="R2821" t="s">
        <v>74</v>
      </c>
      <c r="S2821" t="s">
        <v>102</v>
      </c>
      <c r="T2821">
        <v>18</v>
      </c>
      <c r="U2821">
        <v>91</v>
      </c>
      <c r="V2821">
        <v>18</v>
      </c>
      <c r="Z2821" t="s">
        <v>39</v>
      </c>
      <c r="AB2821" t="s">
        <v>86</v>
      </c>
      <c r="AC2821" t="s">
        <v>41</v>
      </c>
    </row>
    <row r="2822" spans="1:30" x14ac:dyDescent="0.35">
      <c r="A2822" s="4">
        <v>42588</v>
      </c>
      <c r="B2822" t="s">
        <v>30</v>
      </c>
      <c r="C2822">
        <v>112</v>
      </c>
      <c r="D2822">
        <v>10</v>
      </c>
      <c r="E2822">
        <v>1</v>
      </c>
      <c r="F2822" t="s">
        <v>315</v>
      </c>
      <c r="G2822" t="s">
        <v>32</v>
      </c>
      <c r="H2822" t="s">
        <v>33</v>
      </c>
      <c r="I2822" t="s">
        <v>43</v>
      </c>
      <c r="J2822" t="s">
        <v>44</v>
      </c>
      <c r="K2822" t="s">
        <v>36</v>
      </c>
      <c r="L2822" t="s">
        <v>45</v>
      </c>
      <c r="M2822">
        <v>0</v>
      </c>
      <c r="N2822">
        <v>0</v>
      </c>
      <c r="O2822" s="5" t="s">
        <v>423</v>
      </c>
      <c r="P2822" s="5" t="s">
        <v>424</v>
      </c>
      <c r="Q2822">
        <f>32.5-14</f>
        <v>18.5</v>
      </c>
      <c r="R2822" t="s">
        <v>161</v>
      </c>
      <c r="S2822" t="s">
        <v>102</v>
      </c>
      <c r="T2822">
        <v>19</v>
      </c>
      <c r="U2822">
        <v>94</v>
      </c>
      <c r="V2822">
        <v>17</v>
      </c>
      <c r="W2822">
        <v>13.1</v>
      </c>
      <c r="X2822">
        <v>27.4</v>
      </c>
      <c r="Z2822" t="s">
        <v>102</v>
      </c>
      <c r="AA2822" t="s">
        <v>201</v>
      </c>
      <c r="AB2822" t="s">
        <v>86</v>
      </c>
      <c r="AC2822" t="s">
        <v>41</v>
      </c>
    </row>
    <row r="2823" spans="1:30" x14ac:dyDescent="0.35">
      <c r="A2823" s="4">
        <v>42588</v>
      </c>
      <c r="B2823" t="s">
        <v>30</v>
      </c>
      <c r="C2823">
        <v>402</v>
      </c>
      <c r="D2823">
        <v>9</v>
      </c>
      <c r="E2823">
        <v>1</v>
      </c>
      <c r="F2823" t="s">
        <v>42</v>
      </c>
      <c r="G2823" t="s">
        <v>32</v>
      </c>
      <c r="H2823" t="s">
        <v>33</v>
      </c>
      <c r="I2823" t="s">
        <v>34</v>
      </c>
      <c r="J2823" t="s">
        <v>44</v>
      </c>
      <c r="K2823" t="s">
        <v>88</v>
      </c>
      <c r="L2823" t="s">
        <v>37</v>
      </c>
      <c r="M2823">
        <v>0</v>
      </c>
      <c r="N2823">
        <v>0</v>
      </c>
      <c r="O2823" s="5" t="s">
        <v>428</v>
      </c>
      <c r="P2823" s="5"/>
      <c r="Q2823">
        <f>175-90</f>
        <v>85</v>
      </c>
      <c r="R2823" t="s">
        <v>64</v>
      </c>
      <c r="T2823">
        <v>31</v>
      </c>
      <c r="W2823">
        <v>12.7</v>
      </c>
      <c r="X2823">
        <v>42.3</v>
      </c>
      <c r="Z2823" t="s">
        <v>102</v>
      </c>
      <c r="AA2823" t="s">
        <v>511</v>
      </c>
      <c r="AB2823" t="s">
        <v>86</v>
      </c>
      <c r="AC2823" t="s">
        <v>41</v>
      </c>
    </row>
    <row r="2824" spans="1:30" x14ac:dyDescent="0.35">
      <c r="A2824" s="4">
        <v>42588</v>
      </c>
      <c r="B2824" t="s">
        <v>30</v>
      </c>
      <c r="C2824">
        <v>113</v>
      </c>
      <c r="D2824">
        <v>8</v>
      </c>
      <c r="E2824">
        <v>2</v>
      </c>
      <c r="F2824" t="s">
        <v>42</v>
      </c>
      <c r="G2824" t="s">
        <v>32</v>
      </c>
      <c r="H2824" t="s">
        <v>33</v>
      </c>
      <c r="I2824" t="s">
        <v>34</v>
      </c>
      <c r="J2824" t="s">
        <v>44</v>
      </c>
      <c r="K2824" t="s">
        <v>88</v>
      </c>
      <c r="L2824" t="s">
        <v>45</v>
      </c>
      <c r="M2824">
        <v>0</v>
      </c>
      <c r="N2824">
        <v>0</v>
      </c>
      <c r="O2824" s="5" t="s">
        <v>512</v>
      </c>
      <c r="P2824" s="5"/>
      <c r="Q2824">
        <f>175-90</f>
        <v>85</v>
      </c>
      <c r="R2824" t="s">
        <v>46</v>
      </c>
      <c r="S2824" t="s">
        <v>39</v>
      </c>
      <c r="T2824">
        <v>33</v>
      </c>
      <c r="W2824">
        <v>21.3</v>
      </c>
      <c r="X2824">
        <v>42.8</v>
      </c>
      <c r="Z2824" t="s">
        <v>39</v>
      </c>
      <c r="AB2824" t="s">
        <v>86</v>
      </c>
      <c r="AC2824" t="s">
        <v>41</v>
      </c>
    </row>
    <row r="2825" spans="1:30" x14ac:dyDescent="0.35">
      <c r="A2825" s="4">
        <v>42588</v>
      </c>
      <c r="B2825" t="s">
        <v>30</v>
      </c>
      <c r="C2825">
        <v>113</v>
      </c>
      <c r="D2825">
        <v>3</v>
      </c>
      <c r="E2825">
        <v>2</v>
      </c>
      <c r="F2825" t="s">
        <v>42</v>
      </c>
      <c r="G2825" t="s">
        <v>32</v>
      </c>
      <c r="H2825" t="s">
        <v>33</v>
      </c>
      <c r="I2825" t="s">
        <v>34</v>
      </c>
      <c r="J2825" t="s">
        <v>44</v>
      </c>
      <c r="K2825" t="s">
        <v>88</v>
      </c>
      <c r="L2825" t="s">
        <v>37</v>
      </c>
      <c r="M2825">
        <v>0</v>
      </c>
      <c r="N2825">
        <v>0</v>
      </c>
      <c r="O2825" s="5" t="s">
        <v>473</v>
      </c>
      <c r="P2825" s="5"/>
      <c r="Q2825">
        <f>175-90</f>
        <v>85</v>
      </c>
      <c r="R2825" t="s">
        <v>64</v>
      </c>
      <c r="T2825">
        <v>29</v>
      </c>
      <c r="W2825">
        <v>21.8</v>
      </c>
      <c r="X2825">
        <v>44.5</v>
      </c>
      <c r="Z2825" t="s">
        <v>39</v>
      </c>
      <c r="AB2825" t="s">
        <v>86</v>
      </c>
      <c r="AC2825" t="s">
        <v>41</v>
      </c>
      <c r="AD2825" t="s">
        <v>513</v>
      </c>
    </row>
    <row r="2826" spans="1:30" x14ac:dyDescent="0.35">
      <c r="A2826" s="4">
        <v>42588</v>
      </c>
      <c r="B2826" t="s">
        <v>30</v>
      </c>
      <c r="C2826">
        <v>402</v>
      </c>
      <c r="D2826">
        <v>1</v>
      </c>
      <c r="E2826">
        <v>1</v>
      </c>
      <c r="F2826" t="s">
        <v>42</v>
      </c>
      <c r="G2826" t="s">
        <v>32</v>
      </c>
      <c r="H2826" t="s">
        <v>33</v>
      </c>
      <c r="I2826" t="s">
        <v>58</v>
      </c>
      <c r="J2826" t="s">
        <v>44</v>
      </c>
      <c r="K2826" t="s">
        <v>113</v>
      </c>
      <c r="L2826" t="s">
        <v>37</v>
      </c>
      <c r="M2826">
        <v>0</v>
      </c>
      <c r="N2826">
        <v>0</v>
      </c>
      <c r="O2826" s="5" t="s">
        <v>343</v>
      </c>
      <c r="P2826" s="5"/>
      <c r="Q2826">
        <f>33-13</f>
        <v>20</v>
      </c>
      <c r="R2826" t="s">
        <v>64</v>
      </c>
      <c r="T2826">
        <v>17.5</v>
      </c>
      <c r="W2826">
        <v>13.55</v>
      </c>
      <c r="X2826">
        <v>28.7</v>
      </c>
      <c r="Z2826" t="s">
        <v>102</v>
      </c>
      <c r="AB2826" t="s">
        <v>86</v>
      </c>
      <c r="AC2826" t="s">
        <v>41</v>
      </c>
    </row>
    <row r="2827" spans="1:30" x14ac:dyDescent="0.35">
      <c r="A2827" s="4">
        <v>42588</v>
      </c>
      <c r="B2827" t="s">
        <v>30</v>
      </c>
      <c r="C2827">
        <v>304</v>
      </c>
      <c r="D2827">
        <v>2</v>
      </c>
      <c r="E2827">
        <v>1</v>
      </c>
      <c r="F2827" t="s">
        <v>315</v>
      </c>
      <c r="G2827" t="s">
        <v>32</v>
      </c>
      <c r="H2827" t="s">
        <v>33</v>
      </c>
      <c r="I2827" t="s">
        <v>58</v>
      </c>
      <c r="J2827" t="s">
        <v>44</v>
      </c>
      <c r="K2827" t="s">
        <v>36</v>
      </c>
      <c r="L2827" t="s">
        <v>37</v>
      </c>
      <c r="M2827">
        <v>0</v>
      </c>
      <c r="N2827">
        <v>0</v>
      </c>
      <c r="O2827" s="5" t="s">
        <v>477</v>
      </c>
      <c r="P2827" s="5"/>
      <c r="Q2827">
        <f>39-14.5</f>
        <v>24.5</v>
      </c>
      <c r="R2827" t="s">
        <v>38</v>
      </c>
      <c r="T2827">
        <v>17</v>
      </c>
      <c r="W2827">
        <v>13.2</v>
      </c>
      <c r="X2827">
        <v>26.9</v>
      </c>
      <c r="Z2827" t="s">
        <v>102</v>
      </c>
      <c r="AA2827" t="s">
        <v>201</v>
      </c>
      <c r="AB2827" t="s">
        <v>86</v>
      </c>
      <c r="AC2827" t="s">
        <v>41</v>
      </c>
    </row>
    <row r="2828" spans="1:30" x14ac:dyDescent="0.35">
      <c r="A2828" s="4">
        <v>42588</v>
      </c>
      <c r="B2828" t="s">
        <v>30</v>
      </c>
      <c r="C2828">
        <v>402</v>
      </c>
      <c r="D2828">
        <v>4</v>
      </c>
      <c r="E2828">
        <v>1</v>
      </c>
      <c r="F2828" t="s">
        <v>42</v>
      </c>
      <c r="G2828" t="s">
        <v>32</v>
      </c>
      <c r="H2828" t="s">
        <v>33</v>
      </c>
      <c r="I2828" t="s">
        <v>58</v>
      </c>
      <c r="J2828" t="s">
        <v>44</v>
      </c>
      <c r="K2828" t="s">
        <v>36</v>
      </c>
      <c r="L2828" t="s">
        <v>37</v>
      </c>
      <c r="M2828">
        <v>0</v>
      </c>
      <c r="N2828">
        <v>0</v>
      </c>
      <c r="O2828" s="5" t="s">
        <v>514</v>
      </c>
      <c r="P2828" s="5"/>
      <c r="Q2828">
        <f>38-14</f>
        <v>24</v>
      </c>
      <c r="R2828" t="s">
        <v>64</v>
      </c>
      <c r="T2828">
        <v>18</v>
      </c>
      <c r="W2828">
        <v>12.5</v>
      </c>
      <c r="X2828">
        <v>26.8</v>
      </c>
      <c r="Z2828" t="s">
        <v>102</v>
      </c>
      <c r="AB2828" t="s">
        <v>86</v>
      </c>
      <c r="AC2828" t="s">
        <v>41</v>
      </c>
      <c r="AD2828" t="s">
        <v>515</v>
      </c>
    </row>
    <row r="2829" spans="1:30" x14ac:dyDescent="0.35">
      <c r="A2829" s="4">
        <v>42588</v>
      </c>
      <c r="B2829" t="s">
        <v>30</v>
      </c>
      <c r="C2829">
        <v>113</v>
      </c>
      <c r="D2829">
        <v>8</v>
      </c>
      <c r="E2829">
        <v>1</v>
      </c>
      <c r="F2829" t="s">
        <v>42</v>
      </c>
      <c r="G2829" t="s">
        <v>32</v>
      </c>
      <c r="H2829" t="s">
        <v>33</v>
      </c>
      <c r="I2829" t="s">
        <v>55</v>
      </c>
      <c r="J2829" t="s">
        <v>66</v>
      </c>
      <c r="O2829" s="5"/>
      <c r="P2829" s="5"/>
      <c r="AB2829" t="s">
        <v>86</v>
      </c>
      <c r="AC2829" t="s">
        <v>41</v>
      </c>
    </row>
    <row r="2830" spans="1:30" x14ac:dyDescent="0.35">
      <c r="A2830" s="4">
        <v>42588</v>
      </c>
      <c r="B2830" t="s">
        <v>30</v>
      </c>
      <c r="C2830">
        <v>113</v>
      </c>
      <c r="D2830">
        <v>3</v>
      </c>
      <c r="E2830">
        <v>1</v>
      </c>
      <c r="F2830" t="s">
        <v>315</v>
      </c>
      <c r="G2830" t="s">
        <v>32</v>
      </c>
      <c r="H2830" t="s">
        <v>33</v>
      </c>
      <c r="I2830" t="s">
        <v>55</v>
      </c>
      <c r="J2830" t="s">
        <v>66</v>
      </c>
      <c r="O2830" s="5"/>
      <c r="P2830" s="5"/>
    </row>
    <row r="2831" spans="1:30" x14ac:dyDescent="0.35">
      <c r="A2831" s="4">
        <v>42588</v>
      </c>
      <c r="B2831" t="s">
        <v>30</v>
      </c>
      <c r="C2831">
        <v>112</v>
      </c>
      <c r="D2831">
        <v>7</v>
      </c>
      <c r="E2831">
        <v>1</v>
      </c>
      <c r="F2831" t="s">
        <v>42</v>
      </c>
      <c r="G2831" t="s">
        <v>32</v>
      </c>
      <c r="H2831" t="s">
        <v>33</v>
      </c>
      <c r="I2831" t="s">
        <v>59</v>
      </c>
      <c r="O2831" s="5"/>
      <c r="P2831" s="5"/>
    </row>
    <row r="2832" spans="1:30" x14ac:dyDescent="0.35">
      <c r="A2832" s="4">
        <v>42588</v>
      </c>
      <c r="B2832" t="s">
        <v>30</v>
      </c>
      <c r="C2832">
        <v>113</v>
      </c>
      <c r="D2832">
        <v>6</v>
      </c>
      <c r="E2832">
        <v>1</v>
      </c>
      <c r="F2832" t="s">
        <v>42</v>
      </c>
      <c r="G2832" t="s">
        <v>32</v>
      </c>
      <c r="H2832" t="s">
        <v>33</v>
      </c>
      <c r="I2832" t="s">
        <v>59</v>
      </c>
      <c r="O2832" s="5"/>
      <c r="P2832" s="5"/>
    </row>
    <row r="2833" spans="1:29" x14ac:dyDescent="0.35">
      <c r="A2833" s="4">
        <v>42588</v>
      </c>
      <c r="B2833" t="s">
        <v>30</v>
      </c>
      <c r="C2833">
        <v>402</v>
      </c>
      <c r="D2833">
        <v>3</v>
      </c>
      <c r="E2833">
        <v>1</v>
      </c>
      <c r="F2833" t="s">
        <v>42</v>
      </c>
      <c r="G2833" t="s">
        <v>32</v>
      </c>
      <c r="H2833" t="s">
        <v>33</v>
      </c>
      <c r="I2833" t="s">
        <v>59</v>
      </c>
      <c r="O2833" s="5"/>
      <c r="P2833" s="5"/>
    </row>
    <row r="2834" spans="1:29" x14ac:dyDescent="0.35">
      <c r="A2834" s="4">
        <v>42588</v>
      </c>
      <c r="B2834" t="s">
        <v>30</v>
      </c>
      <c r="C2834">
        <v>112</v>
      </c>
      <c r="D2834">
        <v>1</v>
      </c>
      <c r="E2834">
        <v>1</v>
      </c>
      <c r="F2834" t="s">
        <v>315</v>
      </c>
      <c r="G2834" t="s">
        <v>32</v>
      </c>
      <c r="H2834" t="s">
        <v>33</v>
      </c>
      <c r="I2834" t="s">
        <v>59</v>
      </c>
      <c r="O2834" s="5"/>
      <c r="P2834" s="5"/>
    </row>
    <row r="2835" spans="1:29" x14ac:dyDescent="0.35">
      <c r="A2835" s="4">
        <v>42588</v>
      </c>
      <c r="B2835" t="s">
        <v>30</v>
      </c>
      <c r="C2835">
        <v>112</v>
      </c>
      <c r="D2835">
        <v>4</v>
      </c>
      <c r="E2835">
        <v>1</v>
      </c>
      <c r="F2835" t="s">
        <v>315</v>
      </c>
      <c r="G2835" t="s">
        <v>32</v>
      </c>
      <c r="H2835" t="s">
        <v>33</v>
      </c>
      <c r="I2835" t="s">
        <v>59</v>
      </c>
      <c r="O2835" s="5"/>
      <c r="P2835" s="5"/>
    </row>
    <row r="2836" spans="1:29" x14ac:dyDescent="0.35">
      <c r="A2836" s="4">
        <v>42588</v>
      </c>
      <c r="B2836" t="s">
        <v>30</v>
      </c>
      <c r="C2836">
        <v>113</v>
      </c>
      <c r="D2836">
        <v>5</v>
      </c>
      <c r="E2836">
        <v>2</v>
      </c>
      <c r="F2836" t="s">
        <v>315</v>
      </c>
      <c r="G2836" t="s">
        <v>32</v>
      </c>
      <c r="H2836" t="s">
        <v>33</v>
      </c>
      <c r="I2836" t="s">
        <v>59</v>
      </c>
      <c r="O2836" s="5"/>
      <c r="P2836" s="5"/>
    </row>
    <row r="2837" spans="1:29" x14ac:dyDescent="0.35">
      <c r="A2837" s="4">
        <v>42588</v>
      </c>
      <c r="B2837" t="s">
        <v>30</v>
      </c>
      <c r="C2837">
        <v>113</v>
      </c>
      <c r="D2837">
        <v>7</v>
      </c>
      <c r="E2837">
        <v>2</v>
      </c>
      <c r="F2837" t="s">
        <v>315</v>
      </c>
      <c r="G2837" t="s">
        <v>32</v>
      </c>
      <c r="H2837" t="s">
        <v>33</v>
      </c>
      <c r="I2837" t="s">
        <v>59</v>
      </c>
      <c r="O2837" s="5"/>
      <c r="P2837" s="5"/>
    </row>
    <row r="2838" spans="1:29" x14ac:dyDescent="0.35">
      <c r="A2838" s="4">
        <v>42588</v>
      </c>
      <c r="B2838" t="s">
        <v>30</v>
      </c>
      <c r="C2838">
        <v>113</v>
      </c>
      <c r="D2838">
        <v>9</v>
      </c>
      <c r="E2838">
        <v>1</v>
      </c>
      <c r="F2838" t="s">
        <v>315</v>
      </c>
      <c r="G2838" t="s">
        <v>32</v>
      </c>
      <c r="H2838" t="s">
        <v>33</v>
      </c>
      <c r="I2838" t="s">
        <v>59</v>
      </c>
      <c r="O2838" s="5"/>
      <c r="P2838" s="5"/>
    </row>
    <row r="2839" spans="1:29" x14ac:dyDescent="0.35">
      <c r="A2839" s="4">
        <v>42588</v>
      </c>
      <c r="B2839" t="s">
        <v>30</v>
      </c>
      <c r="C2839">
        <v>304</v>
      </c>
      <c r="D2839">
        <v>6</v>
      </c>
      <c r="E2839">
        <v>1</v>
      </c>
      <c r="F2839" t="s">
        <v>315</v>
      </c>
      <c r="G2839" t="s">
        <v>32</v>
      </c>
      <c r="H2839" t="s">
        <v>33</v>
      </c>
      <c r="I2839" t="s">
        <v>59</v>
      </c>
      <c r="O2839" s="5"/>
      <c r="P2839" s="5"/>
    </row>
    <row r="2840" spans="1:29" x14ac:dyDescent="0.35">
      <c r="A2840" s="4">
        <v>42588</v>
      </c>
      <c r="B2840" t="s">
        <v>30</v>
      </c>
      <c r="C2840">
        <v>304</v>
      </c>
      <c r="D2840">
        <v>7</v>
      </c>
      <c r="E2840">
        <v>1</v>
      </c>
      <c r="F2840" t="s">
        <v>315</v>
      </c>
      <c r="G2840" t="s">
        <v>32</v>
      </c>
      <c r="H2840" t="s">
        <v>33</v>
      </c>
      <c r="I2840" t="s">
        <v>59</v>
      </c>
      <c r="O2840" s="5"/>
      <c r="P2840" s="5"/>
    </row>
    <row r="2841" spans="1:29" x14ac:dyDescent="0.35">
      <c r="A2841" s="4">
        <v>42588</v>
      </c>
      <c r="B2841" t="s">
        <v>30</v>
      </c>
      <c r="C2841">
        <v>112</v>
      </c>
      <c r="D2841">
        <v>6</v>
      </c>
      <c r="E2841">
        <v>2</v>
      </c>
      <c r="F2841" t="s">
        <v>42</v>
      </c>
      <c r="G2841" t="s">
        <v>32</v>
      </c>
      <c r="H2841" t="s">
        <v>33</v>
      </c>
      <c r="I2841" t="s">
        <v>94</v>
      </c>
      <c r="J2841" t="s">
        <v>44</v>
      </c>
      <c r="K2841" t="s">
        <v>36</v>
      </c>
      <c r="L2841" t="s">
        <v>37</v>
      </c>
      <c r="M2841">
        <v>0</v>
      </c>
      <c r="N2841">
        <v>0</v>
      </c>
      <c r="O2841" s="5" t="s">
        <v>435</v>
      </c>
      <c r="P2841" s="5"/>
      <c r="Q2841">
        <f>32-12</f>
        <v>20</v>
      </c>
      <c r="R2841" t="s">
        <v>38</v>
      </c>
      <c r="T2841">
        <v>29</v>
      </c>
      <c r="W2841">
        <v>12.7</v>
      </c>
      <c r="X2841">
        <v>25.3</v>
      </c>
      <c r="Z2841" t="s">
        <v>39</v>
      </c>
      <c r="AB2841" t="s">
        <v>86</v>
      </c>
      <c r="AC2841" t="s">
        <v>41</v>
      </c>
    </row>
    <row r="2842" spans="1:29" x14ac:dyDescent="0.35">
      <c r="A2842" s="4">
        <v>42588</v>
      </c>
      <c r="B2842" t="s">
        <v>30</v>
      </c>
      <c r="C2842">
        <v>112</v>
      </c>
      <c r="D2842">
        <v>9</v>
      </c>
      <c r="E2842">
        <v>1</v>
      </c>
      <c r="F2842" t="s">
        <v>42</v>
      </c>
      <c r="G2842" t="s">
        <v>32</v>
      </c>
      <c r="H2842" t="s">
        <v>33</v>
      </c>
      <c r="I2842" t="s">
        <v>94</v>
      </c>
      <c r="J2842" t="s">
        <v>44</v>
      </c>
      <c r="K2842" t="s">
        <v>113</v>
      </c>
      <c r="L2842" t="s">
        <v>45</v>
      </c>
      <c r="M2842">
        <v>0</v>
      </c>
      <c r="N2842">
        <v>0</v>
      </c>
      <c r="O2842" s="5" t="s">
        <v>336</v>
      </c>
      <c r="P2842" s="5"/>
      <c r="Q2842">
        <f>30-13</f>
        <v>17</v>
      </c>
      <c r="R2842" t="s">
        <v>46</v>
      </c>
      <c r="S2842" t="s">
        <v>39</v>
      </c>
      <c r="T2842">
        <v>27</v>
      </c>
      <c r="W2842">
        <v>12.5</v>
      </c>
      <c r="X2842">
        <v>24.5</v>
      </c>
      <c r="Z2842" t="s">
        <v>39</v>
      </c>
      <c r="AB2842" t="s">
        <v>86</v>
      </c>
      <c r="AC2842" t="s">
        <v>41</v>
      </c>
    </row>
    <row r="2843" spans="1:29" x14ac:dyDescent="0.35">
      <c r="A2843" s="4">
        <v>42588</v>
      </c>
      <c r="B2843" t="s">
        <v>30</v>
      </c>
      <c r="C2843">
        <v>112</v>
      </c>
      <c r="D2843">
        <v>2</v>
      </c>
      <c r="E2843">
        <v>1</v>
      </c>
      <c r="F2843" t="s">
        <v>42</v>
      </c>
      <c r="G2843" t="s">
        <v>32</v>
      </c>
      <c r="H2843" t="s">
        <v>33</v>
      </c>
      <c r="I2843" t="s">
        <v>94</v>
      </c>
      <c r="J2843" t="s">
        <v>44</v>
      </c>
      <c r="K2843" t="s">
        <v>36</v>
      </c>
      <c r="L2843" t="s">
        <v>37</v>
      </c>
      <c r="M2843">
        <v>0</v>
      </c>
      <c r="N2843">
        <v>0</v>
      </c>
      <c r="O2843" s="5" t="s">
        <v>349</v>
      </c>
      <c r="P2843" s="5"/>
      <c r="Q2843">
        <f>33-12.5</f>
        <v>20.5</v>
      </c>
      <c r="R2843" t="s">
        <v>38</v>
      </c>
      <c r="T2843">
        <v>28</v>
      </c>
      <c r="W2843">
        <v>12.85</v>
      </c>
      <c r="X2843">
        <v>25.3</v>
      </c>
      <c r="Z2843" t="s">
        <v>102</v>
      </c>
      <c r="AB2843" t="s">
        <v>86</v>
      </c>
      <c r="AC2843" t="s">
        <v>41</v>
      </c>
    </row>
    <row r="2844" spans="1:29" x14ac:dyDescent="0.35">
      <c r="A2844" s="4">
        <v>42588</v>
      </c>
      <c r="B2844" t="s">
        <v>30</v>
      </c>
      <c r="C2844">
        <v>112</v>
      </c>
      <c r="D2844">
        <v>2</v>
      </c>
      <c r="E2844">
        <v>1</v>
      </c>
      <c r="F2844" t="s">
        <v>315</v>
      </c>
      <c r="G2844" t="s">
        <v>32</v>
      </c>
      <c r="H2844" t="s">
        <v>33</v>
      </c>
      <c r="I2844" t="s">
        <v>94</v>
      </c>
      <c r="J2844" t="s">
        <v>44</v>
      </c>
      <c r="K2844" t="s">
        <v>36</v>
      </c>
      <c r="L2844" t="s">
        <v>45</v>
      </c>
      <c r="M2844">
        <v>0</v>
      </c>
      <c r="N2844">
        <v>0</v>
      </c>
      <c r="O2844" s="5" t="s">
        <v>350</v>
      </c>
      <c r="P2844" s="5"/>
      <c r="Q2844">
        <f>35-12</f>
        <v>23</v>
      </c>
      <c r="R2844" t="s">
        <v>145</v>
      </c>
      <c r="S2844" t="s">
        <v>102</v>
      </c>
      <c r="T2844">
        <v>29</v>
      </c>
      <c r="W2844">
        <v>13</v>
      </c>
      <c r="X2844">
        <v>26.3</v>
      </c>
      <c r="Z2844" t="s">
        <v>39</v>
      </c>
      <c r="AB2844" t="s">
        <v>97</v>
      </c>
      <c r="AC2844" t="s">
        <v>41</v>
      </c>
    </row>
    <row r="2845" spans="1:29" x14ac:dyDescent="0.35">
      <c r="A2845" s="4">
        <v>42588</v>
      </c>
      <c r="B2845" t="s">
        <v>30</v>
      </c>
      <c r="C2845">
        <v>112</v>
      </c>
      <c r="D2845">
        <v>5</v>
      </c>
      <c r="E2845">
        <v>1</v>
      </c>
      <c r="F2845" t="s">
        <v>42</v>
      </c>
      <c r="G2845" t="s">
        <v>32</v>
      </c>
      <c r="H2845" t="s">
        <v>33</v>
      </c>
      <c r="I2845" t="s">
        <v>94</v>
      </c>
      <c r="J2845" t="s">
        <v>44</v>
      </c>
      <c r="K2845" t="s">
        <v>113</v>
      </c>
      <c r="L2845" t="s">
        <v>37</v>
      </c>
      <c r="M2845">
        <v>0</v>
      </c>
      <c r="N2845">
        <v>0</v>
      </c>
      <c r="O2845" s="5" t="s">
        <v>392</v>
      </c>
      <c r="P2845" s="5"/>
      <c r="Q2845">
        <f>30-13</f>
        <v>17</v>
      </c>
      <c r="R2845" t="s">
        <v>38</v>
      </c>
      <c r="T2845">
        <v>30</v>
      </c>
      <c r="W2845">
        <v>12.5</v>
      </c>
      <c r="X2845">
        <v>23.35</v>
      </c>
      <c r="Z2845" t="s">
        <v>39</v>
      </c>
      <c r="AB2845" t="s">
        <v>86</v>
      </c>
      <c r="AC2845" t="s">
        <v>41</v>
      </c>
    </row>
    <row r="2846" spans="1:29" x14ac:dyDescent="0.35">
      <c r="A2846" s="4">
        <v>42588</v>
      </c>
      <c r="B2846" t="s">
        <v>30</v>
      </c>
      <c r="C2846">
        <v>304</v>
      </c>
      <c r="D2846">
        <v>8</v>
      </c>
      <c r="E2846">
        <v>1</v>
      </c>
      <c r="F2846" t="s">
        <v>315</v>
      </c>
      <c r="G2846" t="s">
        <v>32</v>
      </c>
      <c r="H2846" t="s">
        <v>33</v>
      </c>
      <c r="I2846" t="s">
        <v>94</v>
      </c>
      <c r="J2846" t="s">
        <v>35</v>
      </c>
      <c r="K2846" t="s">
        <v>88</v>
      </c>
      <c r="L2846" t="s">
        <v>45</v>
      </c>
      <c r="M2846">
        <v>0</v>
      </c>
      <c r="N2846">
        <v>1</v>
      </c>
      <c r="O2846" s="5" t="s">
        <v>516</v>
      </c>
      <c r="P2846" s="5"/>
      <c r="Q2846">
        <f>28-16</f>
        <v>12</v>
      </c>
      <c r="R2846" t="s">
        <v>46</v>
      </c>
      <c r="S2846" t="s">
        <v>39</v>
      </c>
      <c r="T2846">
        <v>28</v>
      </c>
      <c r="W2846">
        <v>12.8</v>
      </c>
      <c r="X2846">
        <v>25.3</v>
      </c>
      <c r="Z2846" t="s">
        <v>102</v>
      </c>
      <c r="AA2846" t="s">
        <v>201</v>
      </c>
      <c r="AB2846" t="s">
        <v>86</v>
      </c>
      <c r="AC2846" t="s">
        <v>41</v>
      </c>
    </row>
    <row r="2847" spans="1:29" x14ac:dyDescent="0.35">
      <c r="A2847" s="4">
        <v>42588</v>
      </c>
      <c r="B2847" t="s">
        <v>30</v>
      </c>
      <c r="C2847">
        <v>304</v>
      </c>
      <c r="D2847">
        <v>7</v>
      </c>
      <c r="E2847">
        <v>2</v>
      </c>
      <c r="F2847" t="s">
        <v>315</v>
      </c>
      <c r="G2847" t="s">
        <v>32</v>
      </c>
      <c r="H2847" t="s">
        <v>33</v>
      </c>
      <c r="I2847" t="s">
        <v>94</v>
      </c>
      <c r="J2847" t="s">
        <v>35</v>
      </c>
      <c r="K2847" t="s">
        <v>113</v>
      </c>
      <c r="L2847" t="s">
        <v>37</v>
      </c>
      <c r="M2847">
        <v>0</v>
      </c>
      <c r="N2847">
        <v>1</v>
      </c>
      <c r="O2847" s="5" t="s">
        <v>517</v>
      </c>
      <c r="P2847" s="5"/>
      <c r="Q2847">
        <f>31-13</f>
        <v>18</v>
      </c>
      <c r="R2847" t="s">
        <v>38</v>
      </c>
      <c r="T2847">
        <v>28</v>
      </c>
      <c r="W2847">
        <v>13</v>
      </c>
      <c r="X2847">
        <v>25.9</v>
      </c>
      <c r="Z2847" t="s">
        <v>102</v>
      </c>
      <c r="AA2847" t="s">
        <v>518</v>
      </c>
      <c r="AB2847" t="s">
        <v>86</v>
      </c>
      <c r="AC2847" t="s">
        <v>41</v>
      </c>
    </row>
    <row r="2848" spans="1:29" x14ac:dyDescent="0.35">
      <c r="A2848" s="4">
        <v>42588</v>
      </c>
      <c r="B2848" t="s">
        <v>30</v>
      </c>
      <c r="C2848">
        <v>113</v>
      </c>
      <c r="D2848">
        <v>1</v>
      </c>
      <c r="E2848">
        <v>1</v>
      </c>
      <c r="F2848" t="s">
        <v>315</v>
      </c>
      <c r="G2848" t="s">
        <v>32</v>
      </c>
      <c r="H2848" t="s">
        <v>33</v>
      </c>
      <c r="I2848" t="s">
        <v>94</v>
      </c>
      <c r="J2848" t="s">
        <v>35</v>
      </c>
      <c r="K2848" t="s">
        <v>36</v>
      </c>
      <c r="L2848" t="s">
        <v>45</v>
      </c>
      <c r="M2848">
        <v>0</v>
      </c>
      <c r="N2848">
        <v>1</v>
      </c>
      <c r="O2848" s="5" t="s">
        <v>519</v>
      </c>
      <c r="P2848" s="5"/>
      <c r="Q2848">
        <f>38-13</f>
        <v>25</v>
      </c>
      <c r="R2848" t="s">
        <v>145</v>
      </c>
      <c r="S2848" t="s">
        <v>102</v>
      </c>
      <c r="T2848">
        <v>30</v>
      </c>
      <c r="Z2848" t="s">
        <v>39</v>
      </c>
      <c r="AB2848" t="s">
        <v>86</v>
      </c>
      <c r="AC2848" t="s">
        <v>41</v>
      </c>
    </row>
    <row r="2849" spans="1:30" x14ac:dyDescent="0.35">
      <c r="A2849" s="4">
        <v>42588</v>
      </c>
      <c r="B2849" t="s">
        <v>30</v>
      </c>
      <c r="C2849">
        <v>112</v>
      </c>
      <c r="D2849">
        <v>8</v>
      </c>
      <c r="E2849">
        <v>1</v>
      </c>
      <c r="F2849" t="s">
        <v>42</v>
      </c>
      <c r="G2849" t="s">
        <v>32</v>
      </c>
      <c r="H2849" t="s">
        <v>33</v>
      </c>
      <c r="I2849" t="s">
        <v>94</v>
      </c>
      <c r="J2849" t="s">
        <v>44</v>
      </c>
      <c r="K2849" t="s">
        <v>36</v>
      </c>
      <c r="L2849" t="s">
        <v>45</v>
      </c>
      <c r="M2849">
        <v>0</v>
      </c>
      <c r="N2849">
        <v>0</v>
      </c>
      <c r="O2849" s="5" t="s">
        <v>442</v>
      </c>
      <c r="P2849" s="5"/>
      <c r="Q2849">
        <f>35-13</f>
        <v>22</v>
      </c>
      <c r="R2849" t="s">
        <v>74</v>
      </c>
      <c r="S2849" t="s">
        <v>102</v>
      </c>
      <c r="T2849">
        <v>27</v>
      </c>
      <c r="W2849">
        <v>13.15</v>
      </c>
      <c r="X2849">
        <v>25.4</v>
      </c>
      <c r="Z2849" t="s">
        <v>102</v>
      </c>
      <c r="AB2849" t="s">
        <v>86</v>
      </c>
      <c r="AC2849" t="s">
        <v>41</v>
      </c>
    </row>
    <row r="2850" spans="1:30" x14ac:dyDescent="0.35">
      <c r="A2850" s="4">
        <v>42588</v>
      </c>
      <c r="B2850" t="s">
        <v>30</v>
      </c>
      <c r="C2850">
        <v>113</v>
      </c>
      <c r="D2850">
        <v>5</v>
      </c>
      <c r="E2850">
        <v>1</v>
      </c>
      <c r="F2850" t="s">
        <v>315</v>
      </c>
      <c r="G2850" t="s">
        <v>32</v>
      </c>
      <c r="H2850" t="s">
        <v>33</v>
      </c>
      <c r="I2850" t="s">
        <v>94</v>
      </c>
      <c r="J2850" t="s">
        <v>122</v>
      </c>
      <c r="O2850" s="5"/>
      <c r="P2850" s="5"/>
    </row>
    <row r="2851" spans="1:30" x14ac:dyDescent="0.35">
      <c r="A2851" s="4">
        <v>42589</v>
      </c>
      <c r="B2851" t="s">
        <v>30</v>
      </c>
      <c r="C2851">
        <v>111</v>
      </c>
      <c r="D2851">
        <v>3</v>
      </c>
      <c r="E2851">
        <v>2</v>
      </c>
      <c r="F2851" t="s">
        <v>42</v>
      </c>
      <c r="G2851" t="s">
        <v>32</v>
      </c>
      <c r="H2851" t="s">
        <v>33</v>
      </c>
      <c r="I2851" t="s">
        <v>43</v>
      </c>
      <c r="J2851" t="s">
        <v>44</v>
      </c>
      <c r="K2851" t="s">
        <v>113</v>
      </c>
      <c r="L2851" t="s">
        <v>37</v>
      </c>
      <c r="M2851">
        <v>0</v>
      </c>
      <c r="N2851">
        <v>0</v>
      </c>
      <c r="O2851" s="5" t="s">
        <v>371</v>
      </c>
      <c r="P2851" s="5" t="s">
        <v>372</v>
      </c>
      <c r="Q2851">
        <f>31.5-12.5</f>
        <v>19</v>
      </c>
      <c r="R2851" t="s">
        <v>38</v>
      </c>
      <c r="T2851">
        <v>19</v>
      </c>
      <c r="U2851">
        <v>89</v>
      </c>
      <c r="V2851">
        <v>17.5</v>
      </c>
      <c r="W2851">
        <v>13</v>
      </c>
      <c r="X2851">
        <v>24.8</v>
      </c>
      <c r="Z2851" t="s">
        <v>102</v>
      </c>
      <c r="AB2851" t="s">
        <v>86</v>
      </c>
      <c r="AC2851" t="s">
        <v>41</v>
      </c>
    </row>
    <row r="2852" spans="1:30" x14ac:dyDescent="0.35">
      <c r="A2852" s="4">
        <v>42589</v>
      </c>
      <c r="B2852" t="s">
        <v>30</v>
      </c>
      <c r="C2852">
        <v>111</v>
      </c>
      <c r="D2852">
        <v>3</v>
      </c>
      <c r="E2852">
        <v>1</v>
      </c>
      <c r="F2852" t="s">
        <v>42</v>
      </c>
      <c r="G2852" t="s">
        <v>32</v>
      </c>
      <c r="H2852" t="s">
        <v>33</v>
      </c>
      <c r="I2852" t="s">
        <v>43</v>
      </c>
      <c r="J2852" t="s">
        <v>44</v>
      </c>
      <c r="K2852" t="s">
        <v>113</v>
      </c>
      <c r="L2852" t="s">
        <v>37</v>
      </c>
      <c r="M2852">
        <v>0</v>
      </c>
      <c r="N2852">
        <v>0</v>
      </c>
      <c r="O2852" s="5" t="s">
        <v>373</v>
      </c>
      <c r="P2852" s="5" t="s">
        <v>374</v>
      </c>
      <c r="Q2852">
        <f>35-14.5</f>
        <v>20.5</v>
      </c>
      <c r="R2852" t="s">
        <v>38</v>
      </c>
      <c r="T2852">
        <v>19</v>
      </c>
      <c r="U2852">
        <v>91</v>
      </c>
      <c r="V2852">
        <v>15</v>
      </c>
      <c r="W2852">
        <v>13.5</v>
      </c>
      <c r="X2852">
        <v>76.2</v>
      </c>
      <c r="Z2852" t="s">
        <v>39</v>
      </c>
      <c r="AB2852" t="s">
        <v>86</v>
      </c>
      <c r="AC2852" t="s">
        <v>41</v>
      </c>
      <c r="AD2852" t="s">
        <v>520</v>
      </c>
    </row>
    <row r="2853" spans="1:30" x14ac:dyDescent="0.35">
      <c r="A2853" s="4">
        <v>42589</v>
      </c>
      <c r="B2853" t="s">
        <v>30</v>
      </c>
      <c r="C2853">
        <v>111</v>
      </c>
      <c r="D2853">
        <v>9</v>
      </c>
      <c r="E2853">
        <v>2</v>
      </c>
      <c r="F2853" t="s">
        <v>42</v>
      </c>
      <c r="G2853" t="s">
        <v>32</v>
      </c>
      <c r="H2853" t="s">
        <v>33</v>
      </c>
      <c r="I2853" t="s">
        <v>43</v>
      </c>
      <c r="J2853" t="s">
        <v>44</v>
      </c>
      <c r="K2853" t="s">
        <v>88</v>
      </c>
      <c r="L2853" t="s">
        <v>37</v>
      </c>
      <c r="M2853">
        <v>0</v>
      </c>
      <c r="N2853">
        <v>0</v>
      </c>
      <c r="O2853" s="5" t="s">
        <v>444</v>
      </c>
      <c r="P2853" s="5" t="s">
        <v>445</v>
      </c>
      <c r="Q2853">
        <f>30.5-15.5</f>
        <v>15</v>
      </c>
      <c r="R2853" t="s">
        <v>64</v>
      </c>
      <c r="T2853">
        <v>19</v>
      </c>
      <c r="V2853">
        <v>17</v>
      </c>
      <c r="W2853">
        <v>13</v>
      </c>
      <c r="X2853">
        <v>25.7</v>
      </c>
      <c r="Z2853" t="s">
        <v>39</v>
      </c>
      <c r="AB2853" t="s">
        <v>86</v>
      </c>
      <c r="AC2853" t="s">
        <v>41</v>
      </c>
    </row>
    <row r="2854" spans="1:30" x14ac:dyDescent="0.35">
      <c r="A2854" s="4">
        <v>42589</v>
      </c>
      <c r="B2854" t="s">
        <v>30</v>
      </c>
      <c r="C2854">
        <v>111</v>
      </c>
      <c r="D2854">
        <v>4</v>
      </c>
      <c r="E2854">
        <v>1</v>
      </c>
      <c r="F2854" t="s">
        <v>315</v>
      </c>
      <c r="G2854" t="s">
        <v>32</v>
      </c>
      <c r="H2854" t="s">
        <v>33</v>
      </c>
      <c r="I2854" t="s">
        <v>43</v>
      </c>
      <c r="J2854" t="s">
        <v>44</v>
      </c>
      <c r="K2854" t="s">
        <v>36</v>
      </c>
      <c r="L2854" t="s">
        <v>45</v>
      </c>
      <c r="M2854">
        <v>0</v>
      </c>
      <c r="N2854">
        <v>0</v>
      </c>
      <c r="O2854" s="5" t="s">
        <v>450</v>
      </c>
      <c r="P2854" s="5" t="s">
        <v>451</v>
      </c>
      <c r="Q2854">
        <f>36-13</f>
        <v>23</v>
      </c>
      <c r="R2854" t="s">
        <v>145</v>
      </c>
      <c r="S2854" t="s">
        <v>102</v>
      </c>
      <c r="T2854">
        <v>20</v>
      </c>
      <c r="U2854">
        <v>90</v>
      </c>
      <c r="V2854">
        <v>15</v>
      </c>
      <c r="W2854">
        <v>13.1</v>
      </c>
      <c r="X2854">
        <v>28.2</v>
      </c>
      <c r="Z2854" t="s">
        <v>39</v>
      </c>
      <c r="AB2854" t="s">
        <v>86</v>
      </c>
      <c r="AC2854" t="s">
        <v>41</v>
      </c>
    </row>
    <row r="2855" spans="1:30" x14ac:dyDescent="0.35">
      <c r="A2855" s="4">
        <v>42589</v>
      </c>
      <c r="B2855" t="s">
        <v>30</v>
      </c>
      <c r="C2855">
        <v>112</v>
      </c>
      <c r="D2855">
        <v>8</v>
      </c>
      <c r="E2855">
        <v>2</v>
      </c>
      <c r="F2855" t="s">
        <v>315</v>
      </c>
      <c r="G2855" t="s">
        <v>32</v>
      </c>
      <c r="H2855" t="s">
        <v>33</v>
      </c>
      <c r="I2855" t="s">
        <v>43</v>
      </c>
      <c r="J2855" t="s">
        <v>44</v>
      </c>
      <c r="K2855" t="s">
        <v>88</v>
      </c>
      <c r="L2855" t="s">
        <v>45</v>
      </c>
      <c r="M2855">
        <v>0</v>
      </c>
      <c r="N2855">
        <v>0</v>
      </c>
      <c r="O2855" s="5" t="s">
        <v>389</v>
      </c>
      <c r="P2855" s="5" t="s">
        <v>390</v>
      </c>
      <c r="Q2855">
        <f>26-14</f>
        <v>12</v>
      </c>
      <c r="R2855" t="s">
        <v>46</v>
      </c>
      <c r="S2855" t="s">
        <v>39</v>
      </c>
      <c r="T2855">
        <v>19</v>
      </c>
      <c r="V2855">
        <v>15</v>
      </c>
      <c r="W2855">
        <v>12.4</v>
      </c>
      <c r="X2855">
        <v>25.9</v>
      </c>
      <c r="Z2855" t="s">
        <v>39</v>
      </c>
      <c r="AB2855" t="s">
        <v>86</v>
      </c>
      <c r="AC2855" t="s">
        <v>41</v>
      </c>
    </row>
    <row r="2856" spans="1:30" x14ac:dyDescent="0.35">
      <c r="A2856" s="4">
        <v>42589</v>
      </c>
      <c r="B2856" t="s">
        <v>30</v>
      </c>
      <c r="C2856">
        <v>112</v>
      </c>
      <c r="D2856">
        <v>6</v>
      </c>
      <c r="E2856">
        <v>1</v>
      </c>
      <c r="F2856" t="s">
        <v>315</v>
      </c>
      <c r="G2856" t="s">
        <v>32</v>
      </c>
      <c r="H2856" t="s">
        <v>33</v>
      </c>
      <c r="I2856" t="s">
        <v>43</v>
      </c>
      <c r="J2856" t="s">
        <v>44</v>
      </c>
      <c r="K2856" t="s">
        <v>113</v>
      </c>
      <c r="L2856" t="s">
        <v>37</v>
      </c>
      <c r="M2856">
        <v>0</v>
      </c>
      <c r="N2856">
        <v>0</v>
      </c>
      <c r="O2856" s="5" t="s">
        <v>391</v>
      </c>
      <c r="P2856" s="5" t="s">
        <v>452</v>
      </c>
      <c r="Q2856">
        <f>36-18.5</f>
        <v>17.5</v>
      </c>
      <c r="R2856" t="s">
        <v>64</v>
      </c>
      <c r="T2856">
        <v>19</v>
      </c>
      <c r="U2856">
        <v>86</v>
      </c>
      <c r="V2856">
        <v>17</v>
      </c>
      <c r="W2856">
        <v>13.1</v>
      </c>
      <c r="X2856">
        <v>27.5</v>
      </c>
      <c r="Z2856" t="s">
        <v>39</v>
      </c>
      <c r="AB2856" t="s">
        <v>86</v>
      </c>
      <c r="AC2856" t="s">
        <v>41</v>
      </c>
    </row>
    <row r="2857" spans="1:30" x14ac:dyDescent="0.35">
      <c r="A2857" s="4">
        <v>42589</v>
      </c>
      <c r="B2857" t="s">
        <v>30</v>
      </c>
      <c r="C2857">
        <v>111</v>
      </c>
      <c r="D2857">
        <v>6</v>
      </c>
      <c r="E2857">
        <v>1</v>
      </c>
      <c r="F2857" t="s">
        <v>315</v>
      </c>
      <c r="G2857" t="s">
        <v>32</v>
      </c>
      <c r="H2857" t="s">
        <v>33</v>
      </c>
      <c r="I2857" t="s">
        <v>43</v>
      </c>
      <c r="J2857" t="s">
        <v>44</v>
      </c>
      <c r="K2857" t="s">
        <v>113</v>
      </c>
      <c r="L2857" t="s">
        <v>37</v>
      </c>
      <c r="M2857">
        <v>0</v>
      </c>
      <c r="N2857">
        <v>0</v>
      </c>
      <c r="O2857" s="5" t="s">
        <v>489</v>
      </c>
      <c r="P2857" s="5" t="s">
        <v>490</v>
      </c>
      <c r="Q2857">
        <f>31-14</f>
        <v>17</v>
      </c>
      <c r="R2857" t="s">
        <v>64</v>
      </c>
      <c r="T2857">
        <v>20</v>
      </c>
      <c r="U2857">
        <v>92</v>
      </c>
      <c r="V2857">
        <v>15</v>
      </c>
      <c r="W2857">
        <v>13</v>
      </c>
      <c r="X2857">
        <v>28</v>
      </c>
      <c r="Y2857" t="s">
        <v>521</v>
      </c>
      <c r="Z2857" t="s">
        <v>39</v>
      </c>
      <c r="AB2857" t="s">
        <v>86</v>
      </c>
      <c r="AC2857" t="s">
        <v>41</v>
      </c>
    </row>
    <row r="2858" spans="1:30" x14ac:dyDescent="0.35">
      <c r="A2858" s="4">
        <v>42589</v>
      </c>
      <c r="B2858" t="s">
        <v>30</v>
      </c>
      <c r="C2858">
        <v>111</v>
      </c>
      <c r="D2858">
        <v>1</v>
      </c>
      <c r="E2858">
        <v>1</v>
      </c>
      <c r="F2858" t="s">
        <v>42</v>
      </c>
      <c r="G2858" t="s">
        <v>32</v>
      </c>
      <c r="H2858" t="s">
        <v>33</v>
      </c>
      <c r="I2858" t="s">
        <v>43</v>
      </c>
      <c r="J2858" t="s">
        <v>35</v>
      </c>
      <c r="K2858" t="s">
        <v>36</v>
      </c>
      <c r="L2858" t="s">
        <v>37</v>
      </c>
      <c r="M2858">
        <v>0</v>
      </c>
      <c r="N2858">
        <v>1</v>
      </c>
      <c r="O2858" s="5" t="s">
        <v>522</v>
      </c>
      <c r="P2858" s="5" t="s">
        <v>523</v>
      </c>
      <c r="Q2858">
        <f>32.5-13</f>
        <v>19.5</v>
      </c>
      <c r="R2858" t="s">
        <v>64</v>
      </c>
      <c r="T2858">
        <v>20</v>
      </c>
      <c r="U2858">
        <v>93</v>
      </c>
      <c r="V2858">
        <v>17</v>
      </c>
      <c r="W2858">
        <v>13.3</v>
      </c>
      <c r="X2858">
        <v>27.75</v>
      </c>
      <c r="Z2858" t="s">
        <v>39</v>
      </c>
      <c r="AB2858" t="s">
        <v>86</v>
      </c>
      <c r="AC2858" t="s">
        <v>41</v>
      </c>
    </row>
    <row r="2859" spans="1:30" x14ac:dyDescent="0.35">
      <c r="A2859" s="4">
        <v>42589</v>
      </c>
      <c r="B2859" t="s">
        <v>30</v>
      </c>
      <c r="C2859">
        <v>111</v>
      </c>
      <c r="D2859">
        <v>6</v>
      </c>
      <c r="E2859">
        <v>2</v>
      </c>
      <c r="F2859" t="s">
        <v>315</v>
      </c>
      <c r="G2859" t="s">
        <v>32</v>
      </c>
      <c r="H2859" t="s">
        <v>33</v>
      </c>
      <c r="I2859" t="s">
        <v>43</v>
      </c>
      <c r="J2859" t="s">
        <v>35</v>
      </c>
      <c r="K2859" t="s">
        <v>36</v>
      </c>
      <c r="L2859" t="s">
        <v>37</v>
      </c>
      <c r="M2859">
        <v>0</v>
      </c>
      <c r="N2859">
        <v>1</v>
      </c>
      <c r="O2859" s="5" t="s">
        <v>524</v>
      </c>
      <c r="P2859" s="5" t="s">
        <v>525</v>
      </c>
      <c r="Q2859">
        <f>39.5-14.5</f>
        <v>25</v>
      </c>
      <c r="R2859" t="s">
        <v>38</v>
      </c>
      <c r="T2859">
        <v>20</v>
      </c>
      <c r="U2859">
        <v>93</v>
      </c>
      <c r="V2859">
        <v>17</v>
      </c>
      <c r="W2859">
        <v>13.3</v>
      </c>
      <c r="X2859">
        <v>28.8</v>
      </c>
      <c r="Y2859" t="s">
        <v>526</v>
      </c>
      <c r="Z2859" t="s">
        <v>39</v>
      </c>
      <c r="AB2859" t="s">
        <v>86</v>
      </c>
      <c r="AC2859" t="s">
        <v>41</v>
      </c>
    </row>
    <row r="2860" spans="1:30" x14ac:dyDescent="0.35">
      <c r="A2860" s="4">
        <v>42589</v>
      </c>
      <c r="B2860" t="s">
        <v>30</v>
      </c>
      <c r="C2860">
        <v>111</v>
      </c>
      <c r="D2860">
        <v>2</v>
      </c>
      <c r="E2860">
        <v>2</v>
      </c>
      <c r="F2860" t="s">
        <v>315</v>
      </c>
      <c r="G2860" t="s">
        <v>32</v>
      </c>
      <c r="H2860" t="s">
        <v>33</v>
      </c>
      <c r="I2860" t="s">
        <v>43</v>
      </c>
      <c r="J2860" t="s">
        <v>35</v>
      </c>
      <c r="K2860" t="s">
        <v>36</v>
      </c>
      <c r="L2860" t="s">
        <v>45</v>
      </c>
      <c r="M2860">
        <v>0</v>
      </c>
      <c r="N2860">
        <v>1</v>
      </c>
      <c r="O2860" s="5" t="s">
        <v>527</v>
      </c>
      <c r="P2860" s="5" t="s">
        <v>528</v>
      </c>
      <c r="Q2860">
        <f>43-18</f>
        <v>25</v>
      </c>
      <c r="R2860" t="s">
        <v>145</v>
      </c>
      <c r="S2860" t="s">
        <v>102</v>
      </c>
      <c r="T2860">
        <v>20</v>
      </c>
      <c r="U2860">
        <v>102</v>
      </c>
      <c r="V2860">
        <v>16.5</v>
      </c>
      <c r="W2860">
        <v>13.1</v>
      </c>
      <c r="X2860">
        <v>27.4</v>
      </c>
      <c r="Z2860" t="s">
        <v>39</v>
      </c>
      <c r="AA2860" t="s">
        <v>201</v>
      </c>
      <c r="AB2860" t="s">
        <v>86</v>
      </c>
      <c r="AC2860" t="s">
        <v>41</v>
      </c>
    </row>
    <row r="2861" spans="1:30" x14ac:dyDescent="0.35">
      <c r="A2861" s="4">
        <v>42589</v>
      </c>
      <c r="B2861" t="s">
        <v>30</v>
      </c>
      <c r="C2861">
        <v>112</v>
      </c>
      <c r="D2861">
        <v>4</v>
      </c>
      <c r="E2861">
        <v>2</v>
      </c>
      <c r="F2861" t="s">
        <v>315</v>
      </c>
      <c r="G2861" t="s">
        <v>32</v>
      </c>
      <c r="H2861" t="s">
        <v>33</v>
      </c>
      <c r="I2861" t="s">
        <v>43</v>
      </c>
      <c r="J2861" t="s">
        <v>44</v>
      </c>
      <c r="K2861" t="s">
        <v>36</v>
      </c>
      <c r="L2861" t="s">
        <v>45</v>
      </c>
      <c r="M2861">
        <v>0</v>
      </c>
      <c r="N2861">
        <v>0</v>
      </c>
      <c r="O2861" s="5" t="s">
        <v>497</v>
      </c>
      <c r="P2861" s="5" t="s">
        <v>498</v>
      </c>
      <c r="Q2861">
        <f>37-15</f>
        <v>22</v>
      </c>
      <c r="R2861" t="s">
        <v>145</v>
      </c>
      <c r="S2861" t="s">
        <v>102</v>
      </c>
      <c r="T2861">
        <v>19</v>
      </c>
      <c r="U2861">
        <v>84</v>
      </c>
      <c r="V2861">
        <v>19</v>
      </c>
      <c r="W2861">
        <v>13</v>
      </c>
      <c r="X2861">
        <v>27.7</v>
      </c>
      <c r="Z2861" t="s">
        <v>102</v>
      </c>
      <c r="AA2861" t="s">
        <v>201</v>
      </c>
      <c r="AB2861" t="s">
        <v>86</v>
      </c>
      <c r="AC2861" t="s">
        <v>41</v>
      </c>
    </row>
    <row r="2862" spans="1:30" x14ac:dyDescent="0.35">
      <c r="A2862" s="4">
        <v>42589</v>
      </c>
      <c r="B2862" t="s">
        <v>30</v>
      </c>
      <c r="C2862">
        <v>113</v>
      </c>
      <c r="D2862">
        <v>3</v>
      </c>
      <c r="E2862">
        <v>1</v>
      </c>
      <c r="F2862" t="s">
        <v>315</v>
      </c>
      <c r="G2862" t="s">
        <v>32</v>
      </c>
      <c r="H2862" t="s">
        <v>33</v>
      </c>
      <c r="I2862" t="s">
        <v>43</v>
      </c>
      <c r="J2862" t="s">
        <v>44</v>
      </c>
      <c r="K2862" t="s">
        <v>113</v>
      </c>
      <c r="L2862" t="s">
        <v>37</v>
      </c>
      <c r="M2862">
        <v>0</v>
      </c>
      <c r="N2862">
        <v>0</v>
      </c>
      <c r="O2862" s="5" t="s">
        <v>453</v>
      </c>
      <c r="P2862" s="5" t="s">
        <v>454</v>
      </c>
      <c r="Q2862">
        <f>33-15.5</f>
        <v>17.5</v>
      </c>
      <c r="R2862" t="s">
        <v>64</v>
      </c>
      <c r="T2862">
        <v>20</v>
      </c>
      <c r="U2862">
        <v>93</v>
      </c>
      <c r="V2862">
        <v>16</v>
      </c>
      <c r="W2862">
        <v>13.1</v>
      </c>
      <c r="X2862">
        <v>27.5</v>
      </c>
      <c r="Z2862" t="s">
        <v>102</v>
      </c>
      <c r="AA2862" t="s">
        <v>201</v>
      </c>
      <c r="AB2862" t="s">
        <v>86</v>
      </c>
      <c r="AC2862" t="s">
        <v>41</v>
      </c>
    </row>
    <row r="2863" spans="1:30" x14ac:dyDescent="0.35">
      <c r="A2863" s="4">
        <v>42589</v>
      </c>
      <c r="B2863" t="s">
        <v>30</v>
      </c>
      <c r="C2863">
        <v>111</v>
      </c>
      <c r="D2863">
        <v>5</v>
      </c>
      <c r="E2863">
        <v>2</v>
      </c>
      <c r="F2863" t="s">
        <v>42</v>
      </c>
      <c r="G2863" t="s">
        <v>32</v>
      </c>
      <c r="H2863" t="s">
        <v>33</v>
      </c>
      <c r="I2863" t="s">
        <v>43</v>
      </c>
      <c r="J2863" t="s">
        <v>35</v>
      </c>
      <c r="K2863" t="s">
        <v>113</v>
      </c>
      <c r="L2863" t="s">
        <v>37</v>
      </c>
      <c r="M2863">
        <v>0</v>
      </c>
      <c r="N2863">
        <v>1</v>
      </c>
      <c r="O2863" s="5" t="s">
        <v>529</v>
      </c>
      <c r="P2863" s="5" t="s">
        <v>530</v>
      </c>
      <c r="Q2863">
        <f>31.5-14</f>
        <v>17.5</v>
      </c>
      <c r="R2863" t="s">
        <v>64</v>
      </c>
      <c r="T2863">
        <v>19</v>
      </c>
      <c r="U2863">
        <v>89</v>
      </c>
      <c r="V2863">
        <v>15</v>
      </c>
      <c r="W2863">
        <v>12.8</v>
      </c>
      <c r="X2863">
        <v>27</v>
      </c>
      <c r="Z2863" t="s">
        <v>39</v>
      </c>
      <c r="AB2863" t="s">
        <v>86</v>
      </c>
      <c r="AC2863" t="s">
        <v>41</v>
      </c>
    </row>
    <row r="2864" spans="1:30" x14ac:dyDescent="0.35">
      <c r="A2864" s="4">
        <v>42589</v>
      </c>
      <c r="B2864" t="s">
        <v>30</v>
      </c>
      <c r="C2864">
        <v>113</v>
      </c>
      <c r="D2864">
        <v>3</v>
      </c>
      <c r="E2864">
        <v>2</v>
      </c>
      <c r="F2864" t="s">
        <v>42</v>
      </c>
      <c r="G2864" t="s">
        <v>32</v>
      </c>
      <c r="H2864" t="s">
        <v>33</v>
      </c>
      <c r="I2864" t="s">
        <v>43</v>
      </c>
      <c r="J2864" t="s">
        <v>35</v>
      </c>
      <c r="K2864" t="s">
        <v>113</v>
      </c>
      <c r="L2864" t="s">
        <v>45</v>
      </c>
      <c r="M2864">
        <v>0</v>
      </c>
      <c r="N2864">
        <v>1</v>
      </c>
      <c r="O2864" s="5" t="s">
        <v>531</v>
      </c>
      <c r="P2864" s="5" t="s">
        <v>532</v>
      </c>
      <c r="Q2864">
        <f>30-13</f>
        <v>17</v>
      </c>
      <c r="R2864" t="s">
        <v>74</v>
      </c>
      <c r="S2864" t="s">
        <v>102</v>
      </c>
      <c r="T2864">
        <v>18</v>
      </c>
      <c r="U2864">
        <v>88</v>
      </c>
      <c r="V2864">
        <v>17</v>
      </c>
      <c r="W2864">
        <v>13</v>
      </c>
      <c r="X2864">
        <v>26.7</v>
      </c>
      <c r="Z2864" t="s">
        <v>39</v>
      </c>
      <c r="AB2864" t="s">
        <v>86</v>
      </c>
      <c r="AC2864" t="s">
        <v>41</v>
      </c>
    </row>
    <row r="2865" spans="1:30" x14ac:dyDescent="0.35">
      <c r="A2865" s="4">
        <v>42589</v>
      </c>
      <c r="B2865" t="s">
        <v>30</v>
      </c>
      <c r="C2865">
        <v>113</v>
      </c>
      <c r="D2865">
        <v>9</v>
      </c>
      <c r="E2865">
        <v>2</v>
      </c>
      <c r="F2865" t="s">
        <v>42</v>
      </c>
      <c r="G2865" t="s">
        <v>32</v>
      </c>
      <c r="H2865" t="s">
        <v>33</v>
      </c>
      <c r="I2865" t="s">
        <v>43</v>
      </c>
      <c r="J2865" t="s">
        <v>44</v>
      </c>
      <c r="K2865" t="s">
        <v>36</v>
      </c>
      <c r="L2865" t="s">
        <v>45</v>
      </c>
      <c r="M2865">
        <v>0</v>
      </c>
      <c r="N2865">
        <v>0</v>
      </c>
      <c r="O2865" s="5" t="s">
        <v>400</v>
      </c>
      <c r="P2865" s="5" t="s">
        <v>401</v>
      </c>
      <c r="Q2865">
        <f>39-17.5</f>
        <v>21.5</v>
      </c>
      <c r="R2865" t="s">
        <v>74</v>
      </c>
      <c r="S2865" t="s">
        <v>102</v>
      </c>
      <c r="T2865">
        <v>17</v>
      </c>
      <c r="U2865">
        <v>84</v>
      </c>
      <c r="V2865">
        <v>17</v>
      </c>
      <c r="W2865">
        <v>12.9</v>
      </c>
      <c r="X2865">
        <v>26.8</v>
      </c>
      <c r="Z2865" t="s">
        <v>39</v>
      </c>
      <c r="AB2865" t="s">
        <v>86</v>
      </c>
      <c r="AC2865" t="s">
        <v>41</v>
      </c>
    </row>
    <row r="2866" spans="1:30" x14ac:dyDescent="0.35">
      <c r="A2866" s="4">
        <v>42589</v>
      </c>
      <c r="B2866" t="s">
        <v>30</v>
      </c>
      <c r="C2866">
        <v>112</v>
      </c>
      <c r="D2866">
        <v>5</v>
      </c>
      <c r="E2866">
        <v>2</v>
      </c>
      <c r="F2866" t="s">
        <v>42</v>
      </c>
      <c r="G2866" t="s">
        <v>32</v>
      </c>
      <c r="H2866" t="s">
        <v>33</v>
      </c>
      <c r="I2866" t="s">
        <v>43</v>
      </c>
      <c r="J2866" t="s">
        <v>44</v>
      </c>
      <c r="K2866" t="s">
        <v>36</v>
      </c>
      <c r="L2866" t="s">
        <v>37</v>
      </c>
      <c r="M2866">
        <v>0</v>
      </c>
      <c r="N2866">
        <v>0</v>
      </c>
      <c r="O2866" s="5" t="s">
        <v>460</v>
      </c>
      <c r="P2866" s="5" t="s">
        <v>461</v>
      </c>
      <c r="Q2866">
        <f>32-13.5</f>
        <v>18.5</v>
      </c>
      <c r="R2866" t="s">
        <v>38</v>
      </c>
      <c r="T2866">
        <v>18</v>
      </c>
      <c r="U2866">
        <v>79</v>
      </c>
      <c r="V2866">
        <v>18</v>
      </c>
      <c r="W2866">
        <v>13</v>
      </c>
      <c r="X2866">
        <v>25</v>
      </c>
      <c r="Z2866" t="s">
        <v>102</v>
      </c>
      <c r="AB2866" t="s">
        <v>86</v>
      </c>
      <c r="AC2866" t="s">
        <v>41</v>
      </c>
    </row>
    <row r="2867" spans="1:30" x14ac:dyDescent="0.35">
      <c r="A2867" s="4">
        <v>42589</v>
      </c>
      <c r="B2867" t="s">
        <v>30</v>
      </c>
      <c r="C2867">
        <v>111</v>
      </c>
      <c r="D2867">
        <v>4</v>
      </c>
      <c r="E2867">
        <v>2</v>
      </c>
      <c r="F2867" t="s">
        <v>315</v>
      </c>
      <c r="G2867" t="s">
        <v>32</v>
      </c>
      <c r="H2867" t="s">
        <v>33</v>
      </c>
      <c r="I2867" t="s">
        <v>43</v>
      </c>
      <c r="J2867" t="s">
        <v>44</v>
      </c>
      <c r="K2867" t="s">
        <v>36</v>
      </c>
      <c r="L2867" t="s">
        <v>37</v>
      </c>
      <c r="M2867">
        <v>0</v>
      </c>
      <c r="N2867">
        <v>0</v>
      </c>
      <c r="O2867" s="5" t="s">
        <v>402</v>
      </c>
      <c r="P2867" s="5" t="s">
        <v>403</v>
      </c>
      <c r="Q2867">
        <f>37-15</f>
        <v>22</v>
      </c>
      <c r="R2867" t="s">
        <v>38</v>
      </c>
      <c r="T2867">
        <v>20</v>
      </c>
      <c r="U2867">
        <v>93</v>
      </c>
      <c r="V2867">
        <v>16</v>
      </c>
      <c r="W2867">
        <v>13.2</v>
      </c>
      <c r="X2867">
        <v>28.1</v>
      </c>
      <c r="Z2867" t="s">
        <v>102</v>
      </c>
      <c r="AB2867" t="s">
        <v>86</v>
      </c>
      <c r="AC2867" t="s">
        <v>41</v>
      </c>
    </row>
    <row r="2868" spans="1:30" x14ac:dyDescent="0.35">
      <c r="A2868" s="4">
        <v>42589</v>
      </c>
      <c r="B2868" t="s">
        <v>30</v>
      </c>
      <c r="C2868">
        <v>112</v>
      </c>
      <c r="D2868">
        <v>2</v>
      </c>
      <c r="E2868">
        <v>2</v>
      </c>
      <c r="F2868" t="s">
        <v>42</v>
      </c>
      <c r="G2868" t="s">
        <v>32</v>
      </c>
      <c r="H2868" t="s">
        <v>33</v>
      </c>
      <c r="I2868" t="s">
        <v>43</v>
      </c>
      <c r="J2868" t="s">
        <v>44</v>
      </c>
      <c r="K2868" t="s">
        <v>36</v>
      </c>
      <c r="L2868" t="s">
        <v>37</v>
      </c>
      <c r="M2868">
        <v>0</v>
      </c>
      <c r="N2868">
        <v>0</v>
      </c>
      <c r="O2868" s="5" t="s">
        <v>462</v>
      </c>
      <c r="P2868" s="5" t="s">
        <v>463</v>
      </c>
      <c r="Q2868">
        <f>34-15</f>
        <v>19</v>
      </c>
      <c r="R2868" t="s">
        <v>64</v>
      </c>
      <c r="T2868">
        <v>19</v>
      </c>
      <c r="U2868">
        <v>91.5</v>
      </c>
      <c r="V2868">
        <v>15</v>
      </c>
      <c r="W2868">
        <v>13.4</v>
      </c>
      <c r="X2868">
        <v>27.4</v>
      </c>
      <c r="Z2868" t="s">
        <v>102</v>
      </c>
      <c r="AB2868" t="s">
        <v>86</v>
      </c>
      <c r="AC2868" t="s">
        <v>41</v>
      </c>
    </row>
    <row r="2869" spans="1:30" x14ac:dyDescent="0.35">
      <c r="A2869" s="4">
        <v>42589</v>
      </c>
      <c r="B2869" t="s">
        <v>30</v>
      </c>
      <c r="C2869">
        <v>112</v>
      </c>
      <c r="D2869">
        <v>9</v>
      </c>
      <c r="E2869">
        <v>1</v>
      </c>
      <c r="F2869" t="s">
        <v>315</v>
      </c>
      <c r="G2869" t="s">
        <v>32</v>
      </c>
      <c r="H2869" t="s">
        <v>33</v>
      </c>
      <c r="I2869" t="s">
        <v>43</v>
      </c>
      <c r="J2869" t="s">
        <v>44</v>
      </c>
      <c r="K2869" t="s">
        <v>36</v>
      </c>
      <c r="L2869" t="s">
        <v>37</v>
      </c>
      <c r="M2869">
        <v>0</v>
      </c>
      <c r="N2869">
        <v>0</v>
      </c>
      <c r="O2869" s="5" t="s">
        <v>404</v>
      </c>
      <c r="P2869" s="5" t="s">
        <v>405</v>
      </c>
      <c r="Q2869">
        <f>39-19</f>
        <v>20</v>
      </c>
      <c r="R2869" t="s">
        <v>38</v>
      </c>
      <c r="T2869">
        <v>19</v>
      </c>
      <c r="U2869">
        <v>90</v>
      </c>
      <c r="V2869">
        <v>16</v>
      </c>
      <c r="W2869">
        <v>13.1</v>
      </c>
      <c r="X2869">
        <v>27.2</v>
      </c>
      <c r="Z2869" t="s">
        <v>102</v>
      </c>
      <c r="AA2869" t="s">
        <v>201</v>
      </c>
      <c r="AB2869" t="s">
        <v>86</v>
      </c>
      <c r="AC2869" t="s">
        <v>41</v>
      </c>
    </row>
    <row r="2870" spans="1:30" x14ac:dyDescent="0.35">
      <c r="A2870" s="4">
        <v>42589</v>
      </c>
      <c r="B2870" t="s">
        <v>30</v>
      </c>
      <c r="C2870">
        <v>111</v>
      </c>
      <c r="D2870">
        <v>10</v>
      </c>
      <c r="E2870">
        <v>2</v>
      </c>
      <c r="F2870" t="s">
        <v>315</v>
      </c>
      <c r="G2870" t="s">
        <v>32</v>
      </c>
      <c r="H2870" t="s">
        <v>33</v>
      </c>
      <c r="I2870" t="s">
        <v>43</v>
      </c>
      <c r="J2870" t="s">
        <v>44</v>
      </c>
      <c r="K2870" t="s">
        <v>88</v>
      </c>
      <c r="L2870" t="s">
        <v>45</v>
      </c>
      <c r="M2870">
        <v>0</v>
      </c>
      <c r="N2870">
        <v>0</v>
      </c>
      <c r="O2870" s="5" t="s">
        <v>408</v>
      </c>
      <c r="P2870" s="5" t="s">
        <v>409</v>
      </c>
      <c r="Q2870">
        <f>30-14.5</f>
        <v>15.5</v>
      </c>
      <c r="R2870" t="s">
        <v>46</v>
      </c>
      <c r="S2870" t="s">
        <v>39</v>
      </c>
      <c r="T2870">
        <v>19</v>
      </c>
      <c r="V2870">
        <v>15</v>
      </c>
      <c r="W2870">
        <v>12.5</v>
      </c>
      <c r="X2870">
        <v>26.8</v>
      </c>
      <c r="Z2870" t="s">
        <v>39</v>
      </c>
      <c r="AB2870" t="s">
        <v>86</v>
      </c>
      <c r="AC2870" t="s">
        <v>41</v>
      </c>
    </row>
    <row r="2871" spans="1:30" x14ac:dyDescent="0.35">
      <c r="A2871" s="4">
        <v>42589</v>
      </c>
      <c r="B2871" t="s">
        <v>30</v>
      </c>
      <c r="C2871">
        <v>112</v>
      </c>
      <c r="D2871">
        <v>7</v>
      </c>
      <c r="E2871">
        <v>1</v>
      </c>
      <c r="F2871" t="s">
        <v>42</v>
      </c>
      <c r="G2871" t="s">
        <v>32</v>
      </c>
      <c r="H2871" t="s">
        <v>33</v>
      </c>
      <c r="I2871" t="s">
        <v>43</v>
      </c>
      <c r="J2871" t="s">
        <v>44</v>
      </c>
      <c r="K2871" t="s">
        <v>113</v>
      </c>
      <c r="L2871" t="s">
        <v>45</v>
      </c>
      <c r="M2871">
        <v>0</v>
      </c>
      <c r="N2871">
        <v>0</v>
      </c>
      <c r="O2871" s="5" t="s">
        <v>467</v>
      </c>
      <c r="P2871" s="5" t="s">
        <v>468</v>
      </c>
      <c r="Q2871">
        <f>33-13.5</f>
        <v>19.5</v>
      </c>
      <c r="R2871" t="s">
        <v>46</v>
      </c>
      <c r="S2871" t="s">
        <v>39</v>
      </c>
      <c r="T2871">
        <v>19</v>
      </c>
      <c r="V2871">
        <v>17</v>
      </c>
      <c r="W2871">
        <v>13.1</v>
      </c>
      <c r="X2871">
        <v>27.1</v>
      </c>
      <c r="Z2871" t="s">
        <v>102</v>
      </c>
      <c r="AB2871" t="s">
        <v>86</v>
      </c>
      <c r="AC2871" t="s">
        <v>41</v>
      </c>
    </row>
    <row r="2872" spans="1:30" x14ac:dyDescent="0.35">
      <c r="A2872" s="4">
        <v>42589</v>
      </c>
      <c r="B2872" t="s">
        <v>30</v>
      </c>
      <c r="C2872">
        <v>111</v>
      </c>
      <c r="D2872">
        <v>2</v>
      </c>
      <c r="E2872">
        <v>1</v>
      </c>
      <c r="F2872" t="s">
        <v>315</v>
      </c>
      <c r="G2872" t="s">
        <v>32</v>
      </c>
      <c r="H2872" t="s">
        <v>33</v>
      </c>
      <c r="I2872" t="s">
        <v>43</v>
      </c>
      <c r="J2872" t="s">
        <v>44</v>
      </c>
      <c r="K2872" t="s">
        <v>113</v>
      </c>
      <c r="L2872" t="s">
        <v>37</v>
      </c>
      <c r="M2872">
        <v>0</v>
      </c>
      <c r="N2872">
        <v>0</v>
      </c>
      <c r="O2872" s="5" t="s">
        <v>533</v>
      </c>
      <c r="P2872" s="5" t="s">
        <v>534</v>
      </c>
      <c r="Q2872">
        <f>35-18</f>
        <v>17</v>
      </c>
      <c r="R2872" t="s">
        <v>38</v>
      </c>
      <c r="T2872">
        <v>19</v>
      </c>
      <c r="U2872">
        <v>98</v>
      </c>
      <c r="V2872">
        <v>14</v>
      </c>
      <c r="W2872">
        <v>12.8</v>
      </c>
      <c r="X2872">
        <v>26.8</v>
      </c>
      <c r="Z2872" t="s">
        <v>102</v>
      </c>
      <c r="AA2872" t="s">
        <v>201</v>
      </c>
      <c r="AB2872" t="s">
        <v>86</v>
      </c>
      <c r="AC2872" t="s">
        <v>41</v>
      </c>
    </row>
    <row r="2873" spans="1:30" x14ac:dyDescent="0.35">
      <c r="A2873" s="4">
        <v>42589</v>
      </c>
      <c r="B2873" t="s">
        <v>30</v>
      </c>
      <c r="C2873">
        <v>113</v>
      </c>
      <c r="D2873">
        <v>6</v>
      </c>
      <c r="E2873">
        <v>1</v>
      </c>
      <c r="F2873" t="s">
        <v>315</v>
      </c>
      <c r="G2873" t="s">
        <v>32</v>
      </c>
      <c r="H2873" t="s">
        <v>33</v>
      </c>
      <c r="I2873" t="s">
        <v>43</v>
      </c>
      <c r="J2873" t="s">
        <v>66</v>
      </c>
      <c r="O2873" s="5" t="s">
        <v>410</v>
      </c>
      <c r="P2873" s="5" t="s">
        <v>411</v>
      </c>
      <c r="Z2873" t="s">
        <v>102</v>
      </c>
      <c r="AD2873" t="s">
        <v>535</v>
      </c>
    </row>
    <row r="2874" spans="1:30" x14ac:dyDescent="0.35">
      <c r="A2874" s="4">
        <v>42589</v>
      </c>
      <c r="B2874" t="s">
        <v>30</v>
      </c>
      <c r="C2874">
        <v>113</v>
      </c>
      <c r="D2874">
        <v>8</v>
      </c>
      <c r="E2874">
        <v>2</v>
      </c>
      <c r="F2874" t="s">
        <v>315</v>
      </c>
      <c r="G2874" t="s">
        <v>32</v>
      </c>
      <c r="H2874" t="s">
        <v>33</v>
      </c>
      <c r="I2874" t="s">
        <v>43</v>
      </c>
      <c r="J2874" t="s">
        <v>44</v>
      </c>
      <c r="K2874" t="s">
        <v>36</v>
      </c>
      <c r="L2874" t="s">
        <v>45</v>
      </c>
      <c r="M2874">
        <v>0</v>
      </c>
      <c r="N2874">
        <v>0</v>
      </c>
      <c r="O2874" s="5" t="s">
        <v>415</v>
      </c>
      <c r="P2874" s="5" t="s">
        <v>416</v>
      </c>
      <c r="Q2874">
        <f>37.5-15.5</f>
        <v>22</v>
      </c>
      <c r="R2874" t="s">
        <v>161</v>
      </c>
      <c r="S2874" t="s">
        <v>102</v>
      </c>
      <c r="T2874">
        <v>19</v>
      </c>
      <c r="U2874">
        <v>96</v>
      </c>
      <c r="V2874">
        <v>17</v>
      </c>
      <c r="W2874">
        <v>13.2</v>
      </c>
      <c r="X2874">
        <v>28.8</v>
      </c>
      <c r="Z2874" t="s">
        <v>102</v>
      </c>
      <c r="AA2874" t="s">
        <v>201</v>
      </c>
      <c r="AB2874" t="s">
        <v>86</v>
      </c>
      <c r="AC2874" t="s">
        <v>41</v>
      </c>
    </row>
    <row r="2875" spans="1:30" x14ac:dyDescent="0.35">
      <c r="A2875" s="4">
        <v>42589</v>
      </c>
      <c r="B2875" t="s">
        <v>30</v>
      </c>
      <c r="C2875">
        <v>113</v>
      </c>
      <c r="D2875">
        <v>10</v>
      </c>
      <c r="E2875">
        <v>1</v>
      </c>
      <c r="F2875" t="s">
        <v>42</v>
      </c>
      <c r="G2875" t="s">
        <v>32</v>
      </c>
      <c r="H2875" t="s">
        <v>33</v>
      </c>
      <c r="I2875" t="s">
        <v>43</v>
      </c>
      <c r="J2875" t="s">
        <v>44</v>
      </c>
      <c r="K2875" t="s">
        <v>88</v>
      </c>
      <c r="L2875" t="s">
        <v>45</v>
      </c>
      <c r="M2875">
        <v>0</v>
      </c>
      <c r="N2875">
        <v>0</v>
      </c>
      <c r="O2875" s="5" t="s">
        <v>417</v>
      </c>
      <c r="P2875" s="5" t="s">
        <v>418</v>
      </c>
      <c r="Q2875">
        <f>34-20</f>
        <v>14</v>
      </c>
      <c r="R2875" t="s">
        <v>46</v>
      </c>
      <c r="S2875" t="s">
        <v>39</v>
      </c>
      <c r="T2875">
        <v>15</v>
      </c>
      <c r="U2875">
        <v>17</v>
      </c>
      <c r="W2875">
        <v>12.35</v>
      </c>
      <c r="X2875">
        <v>26.1</v>
      </c>
      <c r="Z2875" t="s">
        <v>102</v>
      </c>
      <c r="AB2875" t="s">
        <v>86</v>
      </c>
      <c r="AC2875" t="s">
        <v>41</v>
      </c>
    </row>
    <row r="2876" spans="1:30" x14ac:dyDescent="0.35">
      <c r="A2876" s="4">
        <v>42589</v>
      </c>
      <c r="B2876" t="s">
        <v>30</v>
      </c>
      <c r="C2876">
        <v>113</v>
      </c>
      <c r="D2876">
        <v>10</v>
      </c>
      <c r="E2876">
        <v>2</v>
      </c>
      <c r="F2876" t="s">
        <v>315</v>
      </c>
      <c r="G2876" t="s">
        <v>32</v>
      </c>
      <c r="H2876" t="s">
        <v>33</v>
      </c>
      <c r="I2876" t="s">
        <v>43</v>
      </c>
      <c r="J2876" t="s">
        <v>44</v>
      </c>
      <c r="K2876" t="s">
        <v>88</v>
      </c>
      <c r="L2876" t="s">
        <v>37</v>
      </c>
      <c r="M2876">
        <v>0</v>
      </c>
      <c r="N2876">
        <v>0</v>
      </c>
      <c r="O2876" s="5" t="s">
        <v>419</v>
      </c>
      <c r="P2876" s="5" t="s">
        <v>420</v>
      </c>
      <c r="Q2876">
        <f>28.5-13</f>
        <v>15.5</v>
      </c>
      <c r="R2876" t="s">
        <v>64</v>
      </c>
      <c r="T2876">
        <v>20</v>
      </c>
      <c r="V2876">
        <v>17</v>
      </c>
      <c r="W2876">
        <v>12.7</v>
      </c>
      <c r="X2876">
        <v>26.4</v>
      </c>
      <c r="Z2876" t="s">
        <v>536</v>
      </c>
      <c r="AA2876" t="s">
        <v>201</v>
      </c>
      <c r="AB2876" t="s">
        <v>86</v>
      </c>
      <c r="AC2876" t="s">
        <v>41</v>
      </c>
      <c r="AD2876" t="s">
        <v>508</v>
      </c>
    </row>
    <row r="2877" spans="1:30" x14ac:dyDescent="0.35">
      <c r="A2877" s="4">
        <v>42589</v>
      </c>
      <c r="B2877" t="s">
        <v>30</v>
      </c>
      <c r="C2877">
        <v>113</v>
      </c>
      <c r="D2877">
        <v>4</v>
      </c>
      <c r="E2877">
        <v>1</v>
      </c>
      <c r="F2877" t="s">
        <v>315</v>
      </c>
      <c r="G2877" t="s">
        <v>32</v>
      </c>
      <c r="H2877" t="s">
        <v>33</v>
      </c>
      <c r="I2877" t="s">
        <v>43</v>
      </c>
      <c r="J2877" t="s">
        <v>44</v>
      </c>
      <c r="K2877" t="s">
        <v>113</v>
      </c>
      <c r="L2877" t="s">
        <v>37</v>
      </c>
      <c r="M2877">
        <v>0</v>
      </c>
      <c r="N2877">
        <v>0</v>
      </c>
      <c r="O2877" s="5" t="s">
        <v>469</v>
      </c>
      <c r="P2877" s="5" t="s">
        <v>470</v>
      </c>
      <c r="R2877" t="s">
        <v>38</v>
      </c>
      <c r="T2877">
        <v>20</v>
      </c>
      <c r="U2877">
        <v>82</v>
      </c>
      <c r="V2877">
        <v>16</v>
      </c>
      <c r="W2877">
        <v>13</v>
      </c>
      <c r="X2877">
        <v>27.3</v>
      </c>
      <c r="Z2877" t="s">
        <v>102</v>
      </c>
      <c r="AB2877" t="s">
        <v>86</v>
      </c>
      <c r="AC2877" t="s">
        <v>41</v>
      </c>
      <c r="AD2877" t="s">
        <v>537</v>
      </c>
    </row>
    <row r="2878" spans="1:30" x14ac:dyDescent="0.35">
      <c r="A2878" s="4">
        <v>42589</v>
      </c>
      <c r="B2878" t="s">
        <v>30</v>
      </c>
      <c r="C2878">
        <v>111</v>
      </c>
      <c r="D2878">
        <v>7</v>
      </c>
      <c r="E2878">
        <v>1</v>
      </c>
      <c r="F2878" t="s">
        <v>42</v>
      </c>
      <c r="G2878" t="s">
        <v>32</v>
      </c>
      <c r="H2878" t="s">
        <v>33</v>
      </c>
      <c r="I2878" t="s">
        <v>43</v>
      </c>
      <c r="J2878" t="s">
        <v>44</v>
      </c>
      <c r="K2878" t="s">
        <v>88</v>
      </c>
      <c r="L2878" t="s">
        <v>37</v>
      </c>
      <c r="M2878">
        <v>0</v>
      </c>
      <c r="N2878">
        <v>0</v>
      </c>
      <c r="O2878" s="5" t="s">
        <v>471</v>
      </c>
      <c r="P2878" s="5" t="s">
        <v>472</v>
      </c>
      <c r="Q2878">
        <v>14</v>
      </c>
      <c r="R2878" t="s">
        <v>38</v>
      </c>
      <c r="T2878">
        <v>20</v>
      </c>
      <c r="V2878">
        <v>16</v>
      </c>
      <c r="W2878">
        <v>13</v>
      </c>
      <c r="X2878">
        <v>25.2</v>
      </c>
      <c r="Z2878" t="s">
        <v>102</v>
      </c>
      <c r="AB2878" t="s">
        <v>86</v>
      </c>
      <c r="AC2878" t="s">
        <v>41</v>
      </c>
    </row>
    <row r="2879" spans="1:30" x14ac:dyDescent="0.35">
      <c r="A2879" s="4">
        <v>42589</v>
      </c>
      <c r="B2879" t="s">
        <v>30</v>
      </c>
      <c r="C2879">
        <v>112</v>
      </c>
      <c r="D2879">
        <v>4</v>
      </c>
      <c r="E2879">
        <v>1</v>
      </c>
      <c r="F2879" t="s">
        <v>42</v>
      </c>
      <c r="G2879" t="s">
        <v>32</v>
      </c>
      <c r="H2879" t="s">
        <v>33</v>
      </c>
      <c r="I2879" t="s">
        <v>43</v>
      </c>
      <c r="J2879" t="s">
        <v>44</v>
      </c>
      <c r="K2879" t="s">
        <v>36</v>
      </c>
      <c r="L2879" t="s">
        <v>45</v>
      </c>
      <c r="M2879">
        <v>0</v>
      </c>
      <c r="N2879">
        <v>0</v>
      </c>
      <c r="O2879" s="5" t="s">
        <v>509</v>
      </c>
      <c r="P2879" s="5" t="s">
        <v>510</v>
      </c>
      <c r="Q2879">
        <f>35-14</f>
        <v>21</v>
      </c>
      <c r="R2879" t="s">
        <v>74</v>
      </c>
      <c r="S2879" t="s">
        <v>102</v>
      </c>
      <c r="T2879">
        <v>17</v>
      </c>
      <c r="U2879">
        <v>90</v>
      </c>
      <c r="V2879">
        <v>19</v>
      </c>
      <c r="W2879">
        <v>13.5</v>
      </c>
      <c r="X2879">
        <v>26</v>
      </c>
      <c r="Z2879" t="s">
        <v>39</v>
      </c>
      <c r="AB2879" t="s">
        <v>86</v>
      </c>
      <c r="AC2879" t="s">
        <v>41</v>
      </c>
    </row>
    <row r="2880" spans="1:30" x14ac:dyDescent="0.35">
      <c r="A2880" s="4">
        <v>42589</v>
      </c>
      <c r="B2880" t="s">
        <v>30</v>
      </c>
      <c r="C2880">
        <v>112</v>
      </c>
      <c r="D2880">
        <v>8</v>
      </c>
      <c r="E2880">
        <v>1</v>
      </c>
      <c r="F2880" t="s">
        <v>42</v>
      </c>
      <c r="G2880" t="s">
        <v>32</v>
      </c>
      <c r="H2880" t="s">
        <v>33</v>
      </c>
      <c r="I2880" t="s">
        <v>43</v>
      </c>
      <c r="J2880" t="s">
        <v>44</v>
      </c>
      <c r="K2880" t="s">
        <v>36</v>
      </c>
      <c r="L2880" t="s">
        <v>45</v>
      </c>
      <c r="M2880">
        <v>0</v>
      </c>
      <c r="N2880">
        <v>0</v>
      </c>
      <c r="O2880" s="5" t="s">
        <v>423</v>
      </c>
      <c r="P2880" s="5" t="s">
        <v>424</v>
      </c>
      <c r="Q2880">
        <f>33-14.5</f>
        <v>18.5</v>
      </c>
      <c r="R2880" t="s">
        <v>46</v>
      </c>
      <c r="S2880" t="s">
        <v>39</v>
      </c>
      <c r="T2880">
        <v>19</v>
      </c>
      <c r="U2880">
        <v>90</v>
      </c>
      <c r="V2880">
        <v>16</v>
      </c>
      <c r="W2880">
        <v>13.4</v>
      </c>
      <c r="X2880">
        <v>27</v>
      </c>
      <c r="Z2880" t="s">
        <v>102</v>
      </c>
      <c r="AB2880" t="s">
        <v>86</v>
      </c>
      <c r="AC2880" t="s">
        <v>41</v>
      </c>
    </row>
    <row r="2881" spans="1:29" x14ac:dyDescent="0.35">
      <c r="A2881" s="4">
        <v>42589</v>
      </c>
      <c r="B2881" t="s">
        <v>30</v>
      </c>
      <c r="C2881">
        <v>402</v>
      </c>
      <c r="D2881">
        <v>6</v>
      </c>
      <c r="E2881">
        <v>1</v>
      </c>
      <c r="F2881" t="s">
        <v>315</v>
      </c>
      <c r="G2881" t="s">
        <v>32</v>
      </c>
      <c r="H2881" t="s">
        <v>33</v>
      </c>
      <c r="I2881" t="s">
        <v>34</v>
      </c>
      <c r="J2881" t="s">
        <v>44</v>
      </c>
      <c r="K2881" t="s">
        <v>36</v>
      </c>
      <c r="L2881" t="s">
        <v>37</v>
      </c>
      <c r="M2881">
        <v>0</v>
      </c>
      <c r="N2881">
        <v>0</v>
      </c>
      <c r="O2881" s="5" t="s">
        <v>428</v>
      </c>
      <c r="P2881" s="5"/>
      <c r="Q2881">
        <f>132-48</f>
        <v>84</v>
      </c>
      <c r="R2881" t="s">
        <v>38</v>
      </c>
      <c r="T2881">
        <v>30</v>
      </c>
      <c r="W2881">
        <v>22.5</v>
      </c>
      <c r="X2881">
        <v>48</v>
      </c>
      <c r="Z2881" t="s">
        <v>102</v>
      </c>
      <c r="AA2881" t="s">
        <v>538</v>
      </c>
      <c r="AB2881" t="s">
        <v>86</v>
      </c>
      <c r="AC2881" t="s">
        <v>41</v>
      </c>
    </row>
    <row r="2882" spans="1:29" x14ac:dyDescent="0.35">
      <c r="A2882" s="4">
        <v>42589</v>
      </c>
      <c r="B2882" t="s">
        <v>30</v>
      </c>
      <c r="C2882">
        <v>113</v>
      </c>
      <c r="D2882">
        <v>4</v>
      </c>
      <c r="E2882">
        <v>2</v>
      </c>
      <c r="F2882" t="s">
        <v>42</v>
      </c>
      <c r="G2882" t="s">
        <v>32</v>
      </c>
      <c r="H2882" t="s">
        <v>33</v>
      </c>
      <c r="I2882" t="s">
        <v>34</v>
      </c>
      <c r="J2882" t="s">
        <v>44</v>
      </c>
      <c r="K2882" t="s">
        <v>36</v>
      </c>
      <c r="L2882" t="s">
        <v>37</v>
      </c>
      <c r="M2882">
        <v>0</v>
      </c>
      <c r="N2882">
        <v>0</v>
      </c>
      <c r="O2882" s="5" t="s">
        <v>473</v>
      </c>
      <c r="P2882" s="5"/>
      <c r="Q2882">
        <v>90</v>
      </c>
      <c r="R2882" t="s">
        <v>64</v>
      </c>
      <c r="T2882">
        <v>32</v>
      </c>
      <c r="W2882">
        <v>22</v>
      </c>
      <c r="X2882">
        <v>41.5</v>
      </c>
      <c r="Z2882" t="s">
        <v>39</v>
      </c>
      <c r="AB2882" t="s">
        <v>86</v>
      </c>
      <c r="AC2882" t="s">
        <v>41</v>
      </c>
    </row>
    <row r="2883" spans="1:29" x14ac:dyDescent="0.35">
      <c r="A2883" s="4">
        <v>42589</v>
      </c>
      <c r="B2883" t="s">
        <v>30</v>
      </c>
      <c r="C2883">
        <v>402</v>
      </c>
      <c r="D2883">
        <v>1</v>
      </c>
      <c r="E2883">
        <v>1</v>
      </c>
      <c r="F2883" t="s">
        <v>42</v>
      </c>
      <c r="G2883" t="s">
        <v>32</v>
      </c>
      <c r="H2883" t="s">
        <v>33</v>
      </c>
      <c r="I2883" t="s">
        <v>58</v>
      </c>
      <c r="J2883" t="s">
        <v>44</v>
      </c>
      <c r="K2883" t="s">
        <v>36</v>
      </c>
      <c r="L2883" t="s">
        <v>37</v>
      </c>
      <c r="M2883">
        <v>0</v>
      </c>
      <c r="N2883">
        <v>0</v>
      </c>
      <c r="O2883" s="5" t="s">
        <v>539</v>
      </c>
      <c r="P2883" s="5"/>
      <c r="Q2883">
        <f>36-14.5</f>
        <v>21.5</v>
      </c>
      <c r="R2883" t="s">
        <v>38</v>
      </c>
      <c r="S2883" t="s">
        <v>39</v>
      </c>
      <c r="T2883">
        <v>15</v>
      </c>
      <c r="W2883">
        <v>12.7</v>
      </c>
      <c r="X2883">
        <v>22.7</v>
      </c>
      <c r="Z2883" t="s">
        <v>102</v>
      </c>
      <c r="AA2883" t="s">
        <v>540</v>
      </c>
      <c r="AB2883" t="s">
        <v>86</v>
      </c>
      <c r="AC2883" t="s">
        <v>41</v>
      </c>
    </row>
    <row r="2884" spans="1:29" x14ac:dyDescent="0.35">
      <c r="A2884" s="4">
        <v>42589</v>
      </c>
      <c r="B2884" t="s">
        <v>30</v>
      </c>
      <c r="C2884">
        <v>402</v>
      </c>
      <c r="D2884">
        <v>4</v>
      </c>
      <c r="E2884">
        <v>1</v>
      </c>
      <c r="F2884" t="s">
        <v>315</v>
      </c>
      <c r="G2884" t="s">
        <v>32</v>
      </c>
      <c r="H2884" t="s">
        <v>33</v>
      </c>
      <c r="I2884" t="s">
        <v>55</v>
      </c>
      <c r="J2884" t="s">
        <v>66</v>
      </c>
      <c r="O2884" s="5"/>
      <c r="P2884" s="5"/>
    </row>
    <row r="2885" spans="1:29" x14ac:dyDescent="0.35">
      <c r="A2885" s="4">
        <v>42589</v>
      </c>
      <c r="B2885" t="s">
        <v>30</v>
      </c>
      <c r="C2885">
        <v>402</v>
      </c>
      <c r="D2885">
        <v>8</v>
      </c>
      <c r="E2885">
        <v>1</v>
      </c>
      <c r="F2885" t="s">
        <v>315</v>
      </c>
      <c r="G2885" t="s">
        <v>32</v>
      </c>
      <c r="H2885" t="s">
        <v>33</v>
      </c>
      <c r="I2885" t="s">
        <v>55</v>
      </c>
      <c r="J2885" t="s">
        <v>66</v>
      </c>
      <c r="O2885" s="5"/>
      <c r="P2885" s="5"/>
    </row>
    <row r="2886" spans="1:29" x14ac:dyDescent="0.35">
      <c r="A2886" s="4">
        <v>42589</v>
      </c>
      <c r="B2886" t="s">
        <v>30</v>
      </c>
      <c r="C2886">
        <v>111</v>
      </c>
      <c r="D2886">
        <v>10</v>
      </c>
      <c r="E2886">
        <v>1</v>
      </c>
      <c r="F2886" t="s">
        <v>315</v>
      </c>
      <c r="G2886" t="s">
        <v>32</v>
      </c>
      <c r="H2886" t="s">
        <v>33</v>
      </c>
      <c r="I2886" t="s">
        <v>59</v>
      </c>
      <c r="O2886" s="5"/>
      <c r="P2886" s="5"/>
    </row>
    <row r="2887" spans="1:29" x14ac:dyDescent="0.35">
      <c r="A2887" s="4">
        <v>42589</v>
      </c>
      <c r="B2887" t="s">
        <v>30</v>
      </c>
      <c r="C2887">
        <v>112</v>
      </c>
      <c r="D2887">
        <v>3</v>
      </c>
      <c r="E2887">
        <v>1</v>
      </c>
      <c r="F2887" t="s">
        <v>315</v>
      </c>
      <c r="G2887" t="s">
        <v>32</v>
      </c>
      <c r="H2887" t="s">
        <v>33</v>
      </c>
      <c r="I2887" t="s">
        <v>59</v>
      </c>
      <c r="O2887" s="5"/>
      <c r="P2887" s="5"/>
    </row>
    <row r="2888" spans="1:29" x14ac:dyDescent="0.35">
      <c r="A2888" s="4">
        <v>42589</v>
      </c>
      <c r="B2888" t="s">
        <v>30</v>
      </c>
      <c r="C2888">
        <v>113</v>
      </c>
      <c r="D2888">
        <v>1</v>
      </c>
      <c r="E2888">
        <v>1</v>
      </c>
      <c r="F2888" t="s">
        <v>315</v>
      </c>
      <c r="G2888" t="s">
        <v>32</v>
      </c>
      <c r="H2888" t="s">
        <v>33</v>
      </c>
      <c r="I2888" t="s">
        <v>59</v>
      </c>
      <c r="O2888" s="5"/>
      <c r="P2888" s="5"/>
    </row>
    <row r="2889" spans="1:29" x14ac:dyDescent="0.35">
      <c r="A2889" s="4">
        <v>42589</v>
      </c>
      <c r="B2889" t="s">
        <v>30</v>
      </c>
      <c r="C2889">
        <v>113</v>
      </c>
      <c r="D2889">
        <v>1</v>
      </c>
      <c r="E2889">
        <v>2</v>
      </c>
      <c r="F2889" t="s">
        <v>315</v>
      </c>
      <c r="G2889" t="s">
        <v>32</v>
      </c>
      <c r="H2889" t="s">
        <v>33</v>
      </c>
      <c r="I2889" t="s">
        <v>59</v>
      </c>
      <c r="O2889" s="5"/>
      <c r="P2889" s="5"/>
    </row>
    <row r="2890" spans="1:29" x14ac:dyDescent="0.35">
      <c r="A2890" s="4">
        <v>42589</v>
      </c>
      <c r="B2890" t="s">
        <v>30</v>
      </c>
      <c r="C2890">
        <v>113</v>
      </c>
      <c r="D2890">
        <v>5</v>
      </c>
      <c r="E2890">
        <v>1</v>
      </c>
      <c r="F2890" t="s">
        <v>315</v>
      </c>
      <c r="G2890" t="s">
        <v>32</v>
      </c>
      <c r="H2890" t="s">
        <v>33</v>
      </c>
      <c r="I2890" t="s">
        <v>59</v>
      </c>
      <c r="O2890" s="5"/>
      <c r="P2890" s="5"/>
    </row>
    <row r="2891" spans="1:29" x14ac:dyDescent="0.35">
      <c r="A2891" s="4">
        <v>42589</v>
      </c>
      <c r="B2891" t="s">
        <v>30</v>
      </c>
      <c r="C2891">
        <v>113</v>
      </c>
      <c r="D2891">
        <v>5</v>
      </c>
      <c r="E2891">
        <v>2</v>
      </c>
      <c r="F2891" t="s">
        <v>315</v>
      </c>
      <c r="G2891" t="s">
        <v>32</v>
      </c>
      <c r="H2891" t="s">
        <v>33</v>
      </c>
      <c r="I2891" t="s">
        <v>59</v>
      </c>
      <c r="O2891" s="5"/>
      <c r="P2891" s="5"/>
    </row>
    <row r="2892" spans="1:29" x14ac:dyDescent="0.35">
      <c r="A2892" s="4">
        <v>42589</v>
      </c>
      <c r="B2892" t="s">
        <v>30</v>
      </c>
      <c r="C2892">
        <v>113</v>
      </c>
      <c r="D2892">
        <v>6</v>
      </c>
      <c r="E2892">
        <v>2</v>
      </c>
      <c r="F2892" t="s">
        <v>315</v>
      </c>
      <c r="G2892" t="s">
        <v>32</v>
      </c>
      <c r="H2892" t="s">
        <v>33</v>
      </c>
      <c r="I2892" t="s">
        <v>59</v>
      </c>
      <c r="O2892" s="5"/>
      <c r="P2892" s="5"/>
    </row>
    <row r="2893" spans="1:29" x14ac:dyDescent="0.35">
      <c r="A2893" s="4">
        <v>42589</v>
      </c>
      <c r="B2893" t="s">
        <v>30</v>
      </c>
      <c r="C2893">
        <v>113</v>
      </c>
      <c r="D2893">
        <v>8</v>
      </c>
      <c r="E2893">
        <v>1</v>
      </c>
      <c r="F2893" t="s">
        <v>315</v>
      </c>
      <c r="G2893" t="s">
        <v>32</v>
      </c>
      <c r="H2893" t="s">
        <v>33</v>
      </c>
      <c r="I2893" t="s">
        <v>59</v>
      </c>
      <c r="O2893" s="5"/>
      <c r="P2893" s="5"/>
    </row>
    <row r="2894" spans="1:29" x14ac:dyDescent="0.35">
      <c r="A2894" s="4">
        <v>42589</v>
      </c>
      <c r="B2894" t="s">
        <v>30</v>
      </c>
      <c r="C2894">
        <v>402</v>
      </c>
      <c r="D2894">
        <v>2</v>
      </c>
      <c r="E2894">
        <v>1</v>
      </c>
      <c r="F2894" t="s">
        <v>315</v>
      </c>
      <c r="G2894" t="s">
        <v>32</v>
      </c>
      <c r="H2894" t="s">
        <v>33</v>
      </c>
      <c r="I2894" t="s">
        <v>59</v>
      </c>
      <c r="O2894" s="5"/>
      <c r="P2894" s="5"/>
    </row>
    <row r="2895" spans="1:29" x14ac:dyDescent="0.35">
      <c r="A2895" s="4">
        <v>42589</v>
      </c>
      <c r="B2895" t="s">
        <v>30</v>
      </c>
      <c r="C2895">
        <v>402</v>
      </c>
      <c r="D2895">
        <v>2</v>
      </c>
      <c r="E2895">
        <v>2</v>
      </c>
      <c r="F2895" t="s">
        <v>315</v>
      </c>
      <c r="G2895" t="s">
        <v>32</v>
      </c>
      <c r="H2895" t="s">
        <v>33</v>
      </c>
      <c r="I2895" t="s">
        <v>59</v>
      </c>
      <c r="O2895" s="5"/>
      <c r="P2895" s="5"/>
    </row>
    <row r="2896" spans="1:29" x14ac:dyDescent="0.35">
      <c r="A2896" s="4">
        <v>42589</v>
      </c>
      <c r="B2896" t="s">
        <v>30</v>
      </c>
      <c r="C2896">
        <v>402</v>
      </c>
      <c r="D2896">
        <v>3</v>
      </c>
      <c r="E2896">
        <v>1</v>
      </c>
      <c r="F2896" t="s">
        <v>315</v>
      </c>
      <c r="G2896" t="s">
        <v>32</v>
      </c>
      <c r="H2896" t="s">
        <v>33</v>
      </c>
      <c r="I2896" t="s">
        <v>59</v>
      </c>
      <c r="O2896" s="5"/>
      <c r="P2896" s="5"/>
    </row>
    <row r="2897" spans="1:29" x14ac:dyDescent="0.35">
      <c r="A2897" s="4">
        <v>42589</v>
      </c>
      <c r="B2897" t="s">
        <v>30</v>
      </c>
      <c r="C2897">
        <v>402</v>
      </c>
      <c r="D2897">
        <v>3</v>
      </c>
      <c r="E2897">
        <v>2</v>
      </c>
      <c r="F2897" t="s">
        <v>315</v>
      </c>
      <c r="G2897" t="s">
        <v>32</v>
      </c>
      <c r="H2897" t="s">
        <v>33</v>
      </c>
      <c r="I2897" t="s">
        <v>59</v>
      </c>
      <c r="O2897" s="5"/>
      <c r="P2897" s="5"/>
    </row>
    <row r="2898" spans="1:29" x14ac:dyDescent="0.35">
      <c r="A2898" s="4">
        <v>42589</v>
      </c>
      <c r="B2898" t="s">
        <v>30</v>
      </c>
      <c r="C2898">
        <v>111</v>
      </c>
      <c r="D2898">
        <v>5</v>
      </c>
      <c r="E2898">
        <v>1</v>
      </c>
      <c r="F2898" t="s">
        <v>42</v>
      </c>
      <c r="G2898" t="s">
        <v>32</v>
      </c>
      <c r="H2898" t="s">
        <v>33</v>
      </c>
      <c r="I2898" t="s">
        <v>59</v>
      </c>
      <c r="O2898" s="5"/>
      <c r="P2898" s="5"/>
    </row>
    <row r="2899" spans="1:29" x14ac:dyDescent="0.35">
      <c r="A2899" s="4">
        <v>42589</v>
      </c>
      <c r="B2899" t="s">
        <v>30</v>
      </c>
      <c r="C2899">
        <v>112</v>
      </c>
      <c r="D2899">
        <v>1</v>
      </c>
      <c r="E2899">
        <v>1</v>
      </c>
      <c r="F2899" t="s">
        <v>42</v>
      </c>
      <c r="G2899" t="s">
        <v>32</v>
      </c>
      <c r="H2899" t="s">
        <v>33</v>
      </c>
      <c r="I2899" t="s">
        <v>59</v>
      </c>
      <c r="O2899" s="5"/>
      <c r="P2899" s="5"/>
    </row>
    <row r="2900" spans="1:29" x14ac:dyDescent="0.35">
      <c r="A2900" s="4">
        <v>42589</v>
      </c>
      <c r="B2900" t="s">
        <v>30</v>
      </c>
      <c r="C2900">
        <v>112</v>
      </c>
      <c r="D2900">
        <v>2</v>
      </c>
      <c r="E2900">
        <v>1</v>
      </c>
      <c r="F2900" t="s">
        <v>42</v>
      </c>
      <c r="G2900" t="s">
        <v>32</v>
      </c>
      <c r="H2900" t="s">
        <v>33</v>
      </c>
      <c r="I2900" t="s">
        <v>59</v>
      </c>
      <c r="O2900" s="5"/>
      <c r="P2900" s="5"/>
    </row>
    <row r="2901" spans="1:29" x14ac:dyDescent="0.35">
      <c r="A2901" s="4">
        <v>42589</v>
      </c>
      <c r="B2901" t="s">
        <v>30</v>
      </c>
      <c r="C2901">
        <v>113</v>
      </c>
      <c r="D2901">
        <v>2</v>
      </c>
      <c r="E2901">
        <v>1</v>
      </c>
      <c r="F2901" t="s">
        <v>42</v>
      </c>
      <c r="G2901" t="s">
        <v>32</v>
      </c>
      <c r="H2901" t="s">
        <v>33</v>
      </c>
      <c r="I2901" t="s">
        <v>59</v>
      </c>
      <c r="O2901" s="5"/>
      <c r="P2901" s="5"/>
    </row>
    <row r="2902" spans="1:29" x14ac:dyDescent="0.35">
      <c r="A2902" s="4">
        <v>42589</v>
      </c>
      <c r="B2902" t="s">
        <v>30</v>
      </c>
      <c r="C2902">
        <v>113</v>
      </c>
      <c r="D2902">
        <v>2</v>
      </c>
      <c r="E2902">
        <v>2</v>
      </c>
      <c r="F2902" t="s">
        <v>42</v>
      </c>
      <c r="G2902" t="s">
        <v>32</v>
      </c>
      <c r="H2902" t="s">
        <v>33</v>
      </c>
      <c r="I2902" t="s">
        <v>59</v>
      </c>
      <c r="O2902" s="5"/>
      <c r="P2902" s="5"/>
    </row>
    <row r="2903" spans="1:29" x14ac:dyDescent="0.35">
      <c r="A2903" s="4">
        <v>42589</v>
      </c>
      <c r="B2903" t="s">
        <v>30</v>
      </c>
      <c r="C2903">
        <v>113</v>
      </c>
      <c r="D2903">
        <v>7</v>
      </c>
      <c r="E2903">
        <v>1</v>
      </c>
      <c r="F2903" t="s">
        <v>42</v>
      </c>
      <c r="G2903" t="s">
        <v>32</v>
      </c>
      <c r="H2903" t="s">
        <v>33</v>
      </c>
      <c r="I2903" t="s">
        <v>59</v>
      </c>
      <c r="O2903" s="5"/>
      <c r="P2903" s="5"/>
    </row>
    <row r="2904" spans="1:29" x14ac:dyDescent="0.35">
      <c r="A2904" s="4">
        <v>42589</v>
      </c>
      <c r="B2904" t="s">
        <v>30</v>
      </c>
      <c r="C2904">
        <v>113</v>
      </c>
      <c r="D2904">
        <v>7</v>
      </c>
      <c r="E2904">
        <v>2</v>
      </c>
      <c r="F2904" t="s">
        <v>42</v>
      </c>
      <c r="G2904" t="s">
        <v>32</v>
      </c>
      <c r="H2904" t="s">
        <v>33</v>
      </c>
      <c r="I2904" t="s">
        <v>59</v>
      </c>
      <c r="O2904" s="5"/>
      <c r="P2904" s="5"/>
    </row>
    <row r="2905" spans="1:29" x14ac:dyDescent="0.35">
      <c r="A2905" s="4">
        <v>42589</v>
      </c>
      <c r="B2905" t="s">
        <v>30</v>
      </c>
      <c r="C2905">
        <v>113</v>
      </c>
      <c r="D2905">
        <v>9</v>
      </c>
      <c r="E2905">
        <v>1</v>
      </c>
      <c r="F2905" t="s">
        <v>42</v>
      </c>
      <c r="G2905" t="s">
        <v>32</v>
      </c>
      <c r="H2905" t="s">
        <v>33</v>
      </c>
      <c r="I2905" t="s">
        <v>59</v>
      </c>
      <c r="O2905" s="5"/>
      <c r="P2905" s="5"/>
    </row>
    <row r="2906" spans="1:29" x14ac:dyDescent="0.35">
      <c r="A2906" s="4">
        <v>42589</v>
      </c>
      <c r="B2906" t="s">
        <v>30</v>
      </c>
      <c r="C2906">
        <v>402</v>
      </c>
      <c r="D2906">
        <v>1</v>
      </c>
      <c r="E2906">
        <v>2</v>
      </c>
      <c r="F2906" t="s">
        <v>42</v>
      </c>
      <c r="G2906" t="s">
        <v>32</v>
      </c>
      <c r="H2906" t="s">
        <v>33</v>
      </c>
      <c r="I2906" t="s">
        <v>59</v>
      </c>
      <c r="O2906" s="5"/>
      <c r="P2906" s="5"/>
    </row>
    <row r="2907" spans="1:29" x14ac:dyDescent="0.35">
      <c r="A2907" s="4">
        <v>42589</v>
      </c>
      <c r="B2907" t="s">
        <v>30</v>
      </c>
      <c r="C2907">
        <v>112</v>
      </c>
      <c r="D2907">
        <v>10</v>
      </c>
      <c r="E2907">
        <v>1</v>
      </c>
      <c r="F2907" t="s">
        <v>42</v>
      </c>
      <c r="G2907" t="s">
        <v>32</v>
      </c>
      <c r="H2907" t="s">
        <v>33</v>
      </c>
      <c r="I2907" t="s">
        <v>94</v>
      </c>
      <c r="J2907" t="s">
        <v>44</v>
      </c>
      <c r="K2907" t="s">
        <v>113</v>
      </c>
      <c r="L2907" t="s">
        <v>37</v>
      </c>
      <c r="M2907">
        <v>0</v>
      </c>
      <c r="N2907">
        <v>0</v>
      </c>
      <c r="O2907" s="5" t="s">
        <v>435</v>
      </c>
      <c r="P2907" s="5"/>
      <c r="Q2907">
        <f>35-16</f>
        <v>19</v>
      </c>
      <c r="R2907" t="s">
        <v>64</v>
      </c>
      <c r="T2907">
        <v>29</v>
      </c>
      <c r="X2907">
        <v>25.2</v>
      </c>
      <c r="Z2907" t="s">
        <v>39</v>
      </c>
      <c r="AB2907" t="s">
        <v>86</v>
      </c>
      <c r="AC2907" t="s">
        <v>41</v>
      </c>
    </row>
    <row r="2908" spans="1:29" x14ac:dyDescent="0.35">
      <c r="A2908" s="4">
        <v>42589</v>
      </c>
      <c r="B2908" t="s">
        <v>30</v>
      </c>
      <c r="C2908">
        <v>112</v>
      </c>
      <c r="D2908">
        <v>6</v>
      </c>
      <c r="E2908">
        <v>2</v>
      </c>
      <c r="F2908" t="s">
        <v>42</v>
      </c>
      <c r="G2908" t="s">
        <v>32</v>
      </c>
      <c r="H2908" t="s">
        <v>33</v>
      </c>
      <c r="I2908" t="s">
        <v>94</v>
      </c>
      <c r="J2908" t="s">
        <v>44</v>
      </c>
      <c r="K2908" t="s">
        <v>113</v>
      </c>
      <c r="L2908" t="s">
        <v>45</v>
      </c>
      <c r="M2908">
        <v>0</v>
      </c>
      <c r="N2908">
        <v>0</v>
      </c>
      <c r="O2908" s="5" t="s">
        <v>336</v>
      </c>
      <c r="P2908" s="5"/>
      <c r="Q2908">
        <f>30-13</f>
        <v>17</v>
      </c>
      <c r="R2908" t="s">
        <v>46</v>
      </c>
      <c r="S2908" t="s">
        <v>39</v>
      </c>
      <c r="T2908">
        <v>27</v>
      </c>
      <c r="W2908">
        <v>25</v>
      </c>
      <c r="X2908">
        <v>22.2</v>
      </c>
      <c r="Z2908" t="s">
        <v>39</v>
      </c>
      <c r="AB2908" t="s">
        <v>86</v>
      </c>
      <c r="AC2908" t="s">
        <v>41</v>
      </c>
    </row>
    <row r="2909" spans="1:29" x14ac:dyDescent="0.35">
      <c r="A2909" s="4">
        <v>42589</v>
      </c>
      <c r="B2909" t="s">
        <v>30</v>
      </c>
      <c r="C2909">
        <v>112</v>
      </c>
      <c r="D2909">
        <v>7</v>
      </c>
      <c r="E2909">
        <v>2</v>
      </c>
      <c r="F2909" t="s">
        <v>315</v>
      </c>
      <c r="G2909" t="s">
        <v>32</v>
      </c>
      <c r="H2909" t="s">
        <v>33</v>
      </c>
      <c r="I2909" t="s">
        <v>94</v>
      </c>
      <c r="J2909" t="s">
        <v>44</v>
      </c>
      <c r="K2909" t="s">
        <v>36</v>
      </c>
      <c r="L2909" t="s">
        <v>45</v>
      </c>
      <c r="M2909">
        <v>0</v>
      </c>
      <c r="N2909">
        <v>0</v>
      </c>
      <c r="O2909" s="5" t="s">
        <v>350</v>
      </c>
      <c r="P2909" s="5"/>
      <c r="Q2909">
        <f>38-15</f>
        <v>23</v>
      </c>
      <c r="R2909" t="s">
        <v>61</v>
      </c>
      <c r="S2909" t="s">
        <v>39</v>
      </c>
      <c r="T2909">
        <v>28</v>
      </c>
      <c r="W2909">
        <v>13</v>
      </c>
      <c r="X2909">
        <v>26.2</v>
      </c>
      <c r="Z2909" t="s">
        <v>39</v>
      </c>
      <c r="AB2909" t="s">
        <v>86</v>
      </c>
      <c r="AC2909" t="s">
        <v>41</v>
      </c>
    </row>
    <row r="2910" spans="1:29" x14ac:dyDescent="0.35">
      <c r="A2910" s="4">
        <v>42589</v>
      </c>
      <c r="B2910" t="s">
        <v>30</v>
      </c>
      <c r="C2910">
        <v>402</v>
      </c>
      <c r="D2910">
        <v>5</v>
      </c>
      <c r="E2910">
        <v>1</v>
      </c>
      <c r="F2910" t="s">
        <v>42</v>
      </c>
      <c r="G2910" t="s">
        <v>32</v>
      </c>
      <c r="H2910" t="s">
        <v>33</v>
      </c>
      <c r="I2910" t="s">
        <v>94</v>
      </c>
      <c r="J2910" t="s">
        <v>35</v>
      </c>
      <c r="K2910" t="s">
        <v>36</v>
      </c>
      <c r="L2910" t="s">
        <v>37</v>
      </c>
      <c r="M2910">
        <v>0</v>
      </c>
      <c r="N2910">
        <v>1</v>
      </c>
      <c r="O2910" s="5" t="s">
        <v>541</v>
      </c>
      <c r="P2910" s="5"/>
      <c r="Q2910">
        <f>36.5-14.5</f>
        <v>22</v>
      </c>
      <c r="R2910" t="s">
        <v>38</v>
      </c>
      <c r="T2910">
        <v>29</v>
      </c>
      <c r="W2910">
        <v>12.8</v>
      </c>
      <c r="X2910">
        <v>25</v>
      </c>
      <c r="Z2910" t="s">
        <v>102</v>
      </c>
      <c r="AA2910" t="s">
        <v>542</v>
      </c>
      <c r="AB2910" t="s">
        <v>86</v>
      </c>
      <c r="AC2910" t="s">
        <v>41</v>
      </c>
    </row>
    <row r="2911" spans="1:29" x14ac:dyDescent="0.35">
      <c r="A2911" s="4">
        <v>42589</v>
      </c>
      <c r="B2911" t="s">
        <v>30</v>
      </c>
      <c r="C2911">
        <v>112</v>
      </c>
      <c r="D2911">
        <v>1</v>
      </c>
      <c r="E2911">
        <v>2</v>
      </c>
      <c r="F2911" t="s">
        <v>315</v>
      </c>
      <c r="G2911" t="s">
        <v>32</v>
      </c>
      <c r="H2911" t="s">
        <v>33</v>
      </c>
      <c r="I2911" t="s">
        <v>94</v>
      </c>
      <c r="J2911" t="s">
        <v>35</v>
      </c>
      <c r="M2911">
        <v>0</v>
      </c>
      <c r="N2911">
        <v>1</v>
      </c>
      <c r="O2911" s="5" t="s">
        <v>543</v>
      </c>
      <c r="P2911" s="5"/>
      <c r="Z2911" t="s">
        <v>102</v>
      </c>
      <c r="AA2911" t="s">
        <v>201</v>
      </c>
      <c r="AB2911" t="s">
        <v>86</v>
      </c>
      <c r="AC2911" t="s">
        <v>41</v>
      </c>
    </row>
    <row r="2912" spans="1:29" x14ac:dyDescent="0.35">
      <c r="A2912" s="4">
        <v>42589</v>
      </c>
      <c r="B2912" t="s">
        <v>30</v>
      </c>
      <c r="C2912">
        <v>402</v>
      </c>
      <c r="D2912">
        <v>4</v>
      </c>
      <c r="E2912">
        <v>2</v>
      </c>
      <c r="F2912" t="s">
        <v>315</v>
      </c>
      <c r="G2912" t="s">
        <v>32</v>
      </c>
      <c r="H2912" t="s">
        <v>33</v>
      </c>
      <c r="I2912" t="s">
        <v>94</v>
      </c>
      <c r="J2912" t="s">
        <v>44</v>
      </c>
      <c r="K2912" t="s">
        <v>113</v>
      </c>
      <c r="L2912" t="s">
        <v>45</v>
      </c>
      <c r="M2912">
        <v>0</v>
      </c>
      <c r="N2912">
        <v>0</v>
      </c>
      <c r="O2912" s="5" t="s">
        <v>516</v>
      </c>
      <c r="P2912" s="5"/>
      <c r="Q2912">
        <f>32-13</f>
        <v>19</v>
      </c>
      <c r="R2912" t="s">
        <v>61</v>
      </c>
      <c r="S2912" t="s">
        <v>39</v>
      </c>
      <c r="T2912">
        <v>30</v>
      </c>
      <c r="W2912">
        <v>12.7</v>
      </c>
      <c r="X2912">
        <v>25.3</v>
      </c>
      <c r="Z2912" t="s">
        <v>102</v>
      </c>
      <c r="AA2912" t="s">
        <v>201</v>
      </c>
      <c r="AB2912" t="s">
        <v>86</v>
      </c>
      <c r="AC2912" t="s">
        <v>41</v>
      </c>
    </row>
    <row r="2913" spans="1:30" x14ac:dyDescent="0.35">
      <c r="A2913" s="4">
        <v>42589</v>
      </c>
      <c r="B2913" t="s">
        <v>30</v>
      </c>
      <c r="C2913">
        <v>402</v>
      </c>
      <c r="D2913">
        <v>7</v>
      </c>
      <c r="E2913">
        <v>1</v>
      </c>
      <c r="F2913" t="s">
        <v>42</v>
      </c>
      <c r="G2913" t="s">
        <v>32</v>
      </c>
      <c r="H2913" t="s">
        <v>33</v>
      </c>
      <c r="I2913" t="s">
        <v>94</v>
      </c>
      <c r="J2913" t="s">
        <v>44</v>
      </c>
      <c r="K2913" t="s">
        <v>36</v>
      </c>
      <c r="L2913" t="s">
        <v>37</v>
      </c>
      <c r="M2913">
        <v>0</v>
      </c>
      <c r="N2913">
        <v>0</v>
      </c>
      <c r="O2913" s="5" t="s">
        <v>517</v>
      </c>
      <c r="P2913" s="5"/>
      <c r="Q2913">
        <f>36-17</f>
        <v>19</v>
      </c>
      <c r="R2913" t="s">
        <v>38</v>
      </c>
      <c r="S2913" t="s">
        <v>39</v>
      </c>
      <c r="T2913">
        <v>29</v>
      </c>
      <c r="W2913">
        <v>12.5</v>
      </c>
      <c r="X2913">
        <v>24.5</v>
      </c>
      <c r="Z2913" t="s">
        <v>102</v>
      </c>
      <c r="AB2913" t="s">
        <v>86</v>
      </c>
      <c r="AC2913" t="s">
        <v>41</v>
      </c>
    </row>
    <row r="2914" spans="1:30" x14ac:dyDescent="0.35">
      <c r="A2914" s="4">
        <v>42589</v>
      </c>
      <c r="B2914" t="s">
        <v>30</v>
      </c>
      <c r="C2914">
        <v>402</v>
      </c>
      <c r="D2914">
        <v>9</v>
      </c>
      <c r="E2914">
        <v>1</v>
      </c>
      <c r="F2914" t="s">
        <v>315</v>
      </c>
      <c r="G2914" t="s">
        <v>32</v>
      </c>
      <c r="H2914" t="s">
        <v>33</v>
      </c>
      <c r="I2914" t="s">
        <v>94</v>
      </c>
      <c r="J2914" t="s">
        <v>35</v>
      </c>
      <c r="K2914" t="s">
        <v>36</v>
      </c>
      <c r="L2914" t="s">
        <v>45</v>
      </c>
      <c r="M2914">
        <v>0</v>
      </c>
      <c r="N2914">
        <v>1</v>
      </c>
      <c r="O2914" s="5" t="s">
        <v>544</v>
      </c>
      <c r="P2914" s="5"/>
      <c r="Q2914">
        <f>32-14</f>
        <v>18</v>
      </c>
      <c r="R2914" t="s">
        <v>46</v>
      </c>
      <c r="S2914" t="s">
        <v>39</v>
      </c>
      <c r="T2914">
        <v>30</v>
      </c>
      <c r="W2914">
        <v>12.5</v>
      </c>
      <c r="X2914">
        <v>23</v>
      </c>
      <c r="Z2914" t="s">
        <v>102</v>
      </c>
      <c r="AA2914" t="s">
        <v>201</v>
      </c>
      <c r="AB2914" t="s">
        <v>86</v>
      </c>
      <c r="AC2914" t="s">
        <v>41</v>
      </c>
    </row>
    <row r="2915" spans="1:30" x14ac:dyDescent="0.35">
      <c r="A2915" s="4">
        <v>42589</v>
      </c>
      <c r="B2915" t="s">
        <v>30</v>
      </c>
      <c r="C2915">
        <v>112</v>
      </c>
      <c r="D2915">
        <v>3</v>
      </c>
      <c r="E2915">
        <v>2</v>
      </c>
      <c r="F2915" t="s">
        <v>315</v>
      </c>
      <c r="G2915" t="s">
        <v>32</v>
      </c>
      <c r="H2915" t="s">
        <v>33</v>
      </c>
      <c r="I2915" t="s">
        <v>94</v>
      </c>
      <c r="J2915" t="s">
        <v>44</v>
      </c>
      <c r="K2915" t="s">
        <v>36</v>
      </c>
      <c r="L2915" t="s">
        <v>37</v>
      </c>
      <c r="M2915">
        <v>0</v>
      </c>
      <c r="N2915">
        <v>0</v>
      </c>
      <c r="O2915" s="5" t="s">
        <v>441</v>
      </c>
      <c r="P2915" s="5"/>
      <c r="Q2915">
        <f>33-13.5</f>
        <v>19.5</v>
      </c>
      <c r="R2915" t="s">
        <v>38</v>
      </c>
      <c r="T2915">
        <v>30</v>
      </c>
      <c r="W2915">
        <v>12.9</v>
      </c>
      <c r="X2915">
        <v>25.7</v>
      </c>
      <c r="Z2915" t="s">
        <v>39</v>
      </c>
      <c r="AB2915" t="s">
        <v>86</v>
      </c>
      <c r="AC2915" t="s">
        <v>41</v>
      </c>
    </row>
    <row r="2916" spans="1:30" x14ac:dyDescent="0.35">
      <c r="A2916" s="4">
        <v>42589</v>
      </c>
      <c r="B2916" t="s">
        <v>30</v>
      </c>
      <c r="C2916">
        <v>112</v>
      </c>
      <c r="D2916">
        <v>9</v>
      </c>
      <c r="E2916">
        <v>2</v>
      </c>
      <c r="F2916" t="s">
        <v>42</v>
      </c>
      <c r="G2916" t="s">
        <v>32</v>
      </c>
      <c r="H2916" t="s">
        <v>33</v>
      </c>
      <c r="I2916" t="s">
        <v>94</v>
      </c>
      <c r="J2916" t="s">
        <v>44</v>
      </c>
      <c r="K2916" t="s">
        <v>36</v>
      </c>
      <c r="L2916" t="s">
        <v>45</v>
      </c>
      <c r="M2916">
        <v>0</v>
      </c>
      <c r="N2916">
        <v>0</v>
      </c>
      <c r="O2916" s="5"/>
      <c r="P2916" s="5" t="s">
        <v>484</v>
      </c>
      <c r="Q2916">
        <f>36.5-13.5</f>
        <v>23</v>
      </c>
      <c r="R2916" t="s">
        <v>74</v>
      </c>
      <c r="S2916" t="s">
        <v>102</v>
      </c>
      <c r="T2916">
        <v>28</v>
      </c>
      <c r="W2916">
        <v>13.3</v>
      </c>
      <c r="X2916">
        <v>25.8</v>
      </c>
      <c r="Z2916" t="s">
        <v>39</v>
      </c>
      <c r="AB2916" t="s">
        <v>86</v>
      </c>
      <c r="AC2916" t="s">
        <v>41</v>
      </c>
    </row>
    <row r="2917" spans="1:30" x14ac:dyDescent="0.35">
      <c r="A2917" s="4">
        <v>42591</v>
      </c>
      <c r="B2917" t="s">
        <v>30</v>
      </c>
      <c r="C2917">
        <v>703</v>
      </c>
      <c r="D2917">
        <v>7</v>
      </c>
      <c r="E2917">
        <v>1</v>
      </c>
      <c r="F2917" t="s">
        <v>315</v>
      </c>
      <c r="G2917" t="s">
        <v>32</v>
      </c>
      <c r="H2917" t="s">
        <v>33</v>
      </c>
      <c r="I2917" t="s">
        <v>43</v>
      </c>
      <c r="J2917" t="s">
        <v>35</v>
      </c>
      <c r="K2917" t="s">
        <v>88</v>
      </c>
      <c r="L2917" t="s">
        <v>45</v>
      </c>
      <c r="M2917">
        <v>0</v>
      </c>
      <c r="N2917">
        <v>1</v>
      </c>
      <c r="O2917" s="5" t="s">
        <v>545</v>
      </c>
      <c r="P2917" s="5" t="s">
        <v>546</v>
      </c>
      <c r="Q2917">
        <f>30-13</f>
        <v>17</v>
      </c>
      <c r="R2917" t="s">
        <v>46</v>
      </c>
      <c r="S2917" t="s">
        <v>39</v>
      </c>
      <c r="T2917">
        <v>20</v>
      </c>
      <c r="U2917">
        <v>85</v>
      </c>
      <c r="V2917">
        <v>16</v>
      </c>
      <c r="W2917">
        <v>13.2</v>
      </c>
      <c r="X2917">
        <v>28.2</v>
      </c>
      <c r="Z2917" t="s">
        <v>39</v>
      </c>
      <c r="AB2917" t="s">
        <v>47</v>
      </c>
      <c r="AC2917" t="s">
        <v>41</v>
      </c>
    </row>
    <row r="2918" spans="1:30" x14ac:dyDescent="0.35">
      <c r="A2918" s="4">
        <v>42591</v>
      </c>
      <c r="B2918" t="s">
        <v>30</v>
      </c>
      <c r="C2918">
        <v>701</v>
      </c>
      <c r="D2918">
        <v>6</v>
      </c>
      <c r="E2918">
        <v>1</v>
      </c>
      <c r="F2918" t="s">
        <v>315</v>
      </c>
      <c r="G2918" t="s">
        <v>32</v>
      </c>
      <c r="H2918" t="s">
        <v>33</v>
      </c>
      <c r="I2918" t="s">
        <v>43</v>
      </c>
      <c r="J2918" t="s">
        <v>35</v>
      </c>
      <c r="K2918" t="s">
        <v>113</v>
      </c>
      <c r="L2918" t="s">
        <v>37</v>
      </c>
      <c r="M2918">
        <v>0</v>
      </c>
      <c r="N2918">
        <v>1</v>
      </c>
      <c r="O2918" s="5" t="s">
        <v>547</v>
      </c>
      <c r="P2918" s="5" t="s">
        <v>548</v>
      </c>
      <c r="Q2918">
        <f>36-15</f>
        <v>21</v>
      </c>
      <c r="R2918" t="s">
        <v>64</v>
      </c>
      <c r="T2918">
        <v>19</v>
      </c>
      <c r="U2918">
        <v>87</v>
      </c>
      <c r="V2918">
        <v>16</v>
      </c>
      <c r="W2918">
        <v>13</v>
      </c>
      <c r="X2918">
        <v>28.7</v>
      </c>
      <c r="Z2918" t="s">
        <v>102</v>
      </c>
      <c r="AB2918" t="s">
        <v>47</v>
      </c>
      <c r="AC2918" t="s">
        <v>41</v>
      </c>
    </row>
    <row r="2919" spans="1:30" x14ac:dyDescent="0.35">
      <c r="A2919" s="4">
        <v>42591</v>
      </c>
      <c r="B2919" t="s">
        <v>30</v>
      </c>
      <c r="C2919">
        <v>803</v>
      </c>
      <c r="D2919">
        <v>2</v>
      </c>
      <c r="E2919">
        <v>1</v>
      </c>
      <c r="F2919" t="s">
        <v>315</v>
      </c>
      <c r="G2919" t="s">
        <v>32</v>
      </c>
      <c r="H2919" t="s">
        <v>33</v>
      </c>
      <c r="I2919" t="s">
        <v>43</v>
      </c>
      <c r="J2919" t="s">
        <v>35</v>
      </c>
      <c r="K2919" t="s">
        <v>88</v>
      </c>
      <c r="L2919" t="s">
        <v>45</v>
      </c>
      <c r="M2919">
        <v>0</v>
      </c>
      <c r="N2919">
        <v>1</v>
      </c>
      <c r="O2919" s="5" t="s">
        <v>549</v>
      </c>
      <c r="P2919" s="5" t="s">
        <v>550</v>
      </c>
      <c r="Q2919">
        <f>28-15</f>
        <v>13</v>
      </c>
      <c r="R2919" t="s">
        <v>46</v>
      </c>
      <c r="S2919" t="s">
        <v>39</v>
      </c>
      <c r="T2919">
        <v>19</v>
      </c>
      <c r="U2919">
        <v>77</v>
      </c>
      <c r="V2919">
        <v>13</v>
      </c>
      <c r="W2919">
        <v>12.5</v>
      </c>
      <c r="X2919">
        <v>26.8</v>
      </c>
      <c r="Z2919" t="s">
        <v>102</v>
      </c>
      <c r="AA2919" t="s">
        <v>201</v>
      </c>
      <c r="AB2919" t="s">
        <v>47</v>
      </c>
      <c r="AC2919" t="s">
        <v>41</v>
      </c>
    </row>
    <row r="2920" spans="1:30" x14ac:dyDescent="0.35">
      <c r="A2920" s="4">
        <v>42591</v>
      </c>
      <c r="B2920" t="s">
        <v>30</v>
      </c>
      <c r="C2920">
        <v>503</v>
      </c>
      <c r="D2920">
        <v>9</v>
      </c>
      <c r="E2920">
        <v>2</v>
      </c>
      <c r="F2920" t="s">
        <v>42</v>
      </c>
      <c r="G2920" t="s">
        <v>32</v>
      </c>
      <c r="H2920" t="s">
        <v>33</v>
      </c>
      <c r="I2920" t="s">
        <v>43</v>
      </c>
      <c r="J2920" t="s">
        <v>35</v>
      </c>
      <c r="K2920" t="s">
        <v>88</v>
      </c>
      <c r="L2920" t="s">
        <v>45</v>
      </c>
      <c r="M2920">
        <v>0</v>
      </c>
      <c r="N2920">
        <v>1</v>
      </c>
      <c r="O2920" s="5" t="s">
        <v>551</v>
      </c>
      <c r="P2920" s="5" t="s">
        <v>552</v>
      </c>
      <c r="Q2920">
        <f>27.5-14</f>
        <v>13.5</v>
      </c>
      <c r="R2920" t="s">
        <v>46</v>
      </c>
      <c r="S2920" t="s">
        <v>39</v>
      </c>
      <c r="T2920">
        <v>19</v>
      </c>
      <c r="U2920">
        <v>71</v>
      </c>
      <c r="V2920">
        <v>17</v>
      </c>
      <c r="W2920">
        <v>12.3</v>
      </c>
      <c r="X2920">
        <v>26</v>
      </c>
      <c r="Z2920" t="s">
        <v>102</v>
      </c>
      <c r="AB2920" t="s">
        <v>47</v>
      </c>
      <c r="AC2920" t="s">
        <v>41</v>
      </c>
    </row>
    <row r="2921" spans="1:30" x14ac:dyDescent="0.35">
      <c r="A2921" s="4">
        <v>42591</v>
      </c>
      <c r="B2921" t="s">
        <v>30</v>
      </c>
      <c r="C2921">
        <v>501</v>
      </c>
      <c r="D2921">
        <v>9</v>
      </c>
      <c r="E2921">
        <v>1</v>
      </c>
      <c r="F2921" t="s">
        <v>42</v>
      </c>
      <c r="G2921" t="s">
        <v>32</v>
      </c>
      <c r="H2921" t="s">
        <v>33</v>
      </c>
      <c r="I2921" t="s">
        <v>43</v>
      </c>
      <c r="J2921" t="s">
        <v>35</v>
      </c>
      <c r="K2921" t="s">
        <v>36</v>
      </c>
      <c r="L2921" t="s">
        <v>37</v>
      </c>
      <c r="M2921">
        <v>0</v>
      </c>
      <c r="N2921">
        <v>1</v>
      </c>
      <c r="O2921" s="5" t="s">
        <v>553</v>
      </c>
      <c r="P2921" s="5" t="s">
        <v>554</v>
      </c>
      <c r="Q2921">
        <f>30-13</f>
        <v>17</v>
      </c>
      <c r="R2921" t="s">
        <v>64</v>
      </c>
      <c r="T2921">
        <v>21</v>
      </c>
      <c r="U2921">
        <v>85</v>
      </c>
      <c r="V2921">
        <v>14</v>
      </c>
      <c r="W2921">
        <v>13</v>
      </c>
      <c r="X2921">
        <v>29.3</v>
      </c>
      <c r="Z2921" t="s">
        <v>39</v>
      </c>
      <c r="AB2921" t="s">
        <v>47</v>
      </c>
      <c r="AC2921" t="s">
        <v>41</v>
      </c>
    </row>
    <row r="2922" spans="1:30" x14ac:dyDescent="0.35">
      <c r="A2922" s="4">
        <v>42591</v>
      </c>
      <c r="B2922" t="s">
        <v>30</v>
      </c>
      <c r="C2922">
        <v>501</v>
      </c>
      <c r="D2922">
        <v>1</v>
      </c>
      <c r="E2922">
        <v>1</v>
      </c>
      <c r="F2922" t="s">
        <v>42</v>
      </c>
      <c r="G2922" t="s">
        <v>32</v>
      </c>
      <c r="H2922" t="s">
        <v>33</v>
      </c>
      <c r="I2922" t="s">
        <v>43</v>
      </c>
      <c r="J2922" t="s">
        <v>35</v>
      </c>
      <c r="K2922" t="s">
        <v>113</v>
      </c>
      <c r="L2922" t="s">
        <v>37</v>
      </c>
      <c r="M2922">
        <v>0</v>
      </c>
      <c r="N2922">
        <v>1</v>
      </c>
      <c r="O2922" s="5" t="s">
        <v>555</v>
      </c>
      <c r="P2922" s="5" t="s">
        <v>556</v>
      </c>
      <c r="Q2922">
        <f>29-13</f>
        <v>16</v>
      </c>
      <c r="R2922" t="s">
        <v>64</v>
      </c>
      <c r="T2922">
        <v>19</v>
      </c>
      <c r="U2922">
        <v>8</v>
      </c>
      <c r="V2922">
        <v>16</v>
      </c>
      <c r="W2922">
        <v>13.5</v>
      </c>
      <c r="X2922">
        <v>26.35</v>
      </c>
      <c r="Z2922" t="s">
        <v>102</v>
      </c>
      <c r="AB2922" t="s">
        <v>86</v>
      </c>
      <c r="AC2922" t="s">
        <v>41</v>
      </c>
    </row>
    <row r="2923" spans="1:30" x14ac:dyDescent="0.35">
      <c r="A2923" s="4">
        <v>42591</v>
      </c>
      <c r="B2923" t="s">
        <v>30</v>
      </c>
      <c r="C2923">
        <v>703</v>
      </c>
      <c r="D2923">
        <v>8</v>
      </c>
      <c r="E2923">
        <v>2</v>
      </c>
      <c r="F2923" t="s">
        <v>315</v>
      </c>
      <c r="G2923" t="s">
        <v>32</v>
      </c>
      <c r="H2923" t="s">
        <v>33</v>
      </c>
      <c r="I2923" t="s">
        <v>43</v>
      </c>
      <c r="J2923" t="s">
        <v>44</v>
      </c>
      <c r="K2923" t="s">
        <v>112</v>
      </c>
      <c r="L2923" t="s">
        <v>37</v>
      </c>
      <c r="M2923">
        <v>0</v>
      </c>
      <c r="N2923">
        <v>0</v>
      </c>
      <c r="O2923" s="5" t="s">
        <v>557</v>
      </c>
      <c r="P2923" s="5" t="s">
        <v>558</v>
      </c>
      <c r="Q2923">
        <f>32-14</f>
        <v>18</v>
      </c>
      <c r="R2923" t="s">
        <v>64</v>
      </c>
      <c r="T2923">
        <v>19</v>
      </c>
      <c r="U2923">
        <v>87</v>
      </c>
      <c r="V2923">
        <v>16</v>
      </c>
      <c r="W2923">
        <v>13.2</v>
      </c>
      <c r="X2923">
        <v>28</v>
      </c>
      <c r="Z2923" t="s">
        <v>102</v>
      </c>
      <c r="AA2923" t="s">
        <v>201</v>
      </c>
      <c r="AB2923" t="s">
        <v>47</v>
      </c>
      <c r="AC2923" t="s">
        <v>41</v>
      </c>
    </row>
    <row r="2924" spans="1:30" x14ac:dyDescent="0.35">
      <c r="A2924" s="4">
        <v>42591</v>
      </c>
      <c r="B2924" t="s">
        <v>30</v>
      </c>
      <c r="C2924">
        <v>703</v>
      </c>
      <c r="D2924">
        <v>1</v>
      </c>
      <c r="E2924">
        <v>1</v>
      </c>
      <c r="F2924" t="s">
        <v>315</v>
      </c>
      <c r="G2924" t="s">
        <v>32</v>
      </c>
      <c r="H2924" t="s">
        <v>33</v>
      </c>
      <c r="I2924" t="s">
        <v>43</v>
      </c>
      <c r="J2924" t="s">
        <v>44</v>
      </c>
      <c r="K2924" t="s">
        <v>113</v>
      </c>
      <c r="L2924" t="s">
        <v>37</v>
      </c>
      <c r="M2924">
        <v>0</v>
      </c>
      <c r="N2924">
        <v>0</v>
      </c>
      <c r="O2924" s="5" t="s">
        <v>559</v>
      </c>
      <c r="P2924" s="5" t="s">
        <v>560</v>
      </c>
      <c r="Q2924">
        <f>28-12.5</f>
        <v>15.5</v>
      </c>
      <c r="R2924" t="s">
        <v>64</v>
      </c>
      <c r="T2924">
        <v>19</v>
      </c>
      <c r="U2924">
        <v>80</v>
      </c>
      <c r="V2924">
        <v>15</v>
      </c>
      <c r="W2924">
        <v>13</v>
      </c>
      <c r="X2924">
        <v>27.5</v>
      </c>
      <c r="Z2924" t="s">
        <v>39</v>
      </c>
      <c r="AB2924" t="s">
        <v>47</v>
      </c>
      <c r="AC2924" t="s">
        <v>41</v>
      </c>
      <c r="AD2924" t="s">
        <v>561</v>
      </c>
    </row>
    <row r="2925" spans="1:30" x14ac:dyDescent="0.35">
      <c r="A2925" s="4">
        <v>42591</v>
      </c>
      <c r="B2925" t="s">
        <v>30</v>
      </c>
      <c r="C2925">
        <v>701</v>
      </c>
      <c r="D2925">
        <v>1</v>
      </c>
      <c r="E2925">
        <v>1</v>
      </c>
      <c r="F2925" t="s">
        <v>315</v>
      </c>
      <c r="G2925" t="s">
        <v>32</v>
      </c>
      <c r="H2925" t="s">
        <v>33</v>
      </c>
      <c r="I2925" t="s">
        <v>43</v>
      </c>
      <c r="J2925" t="s">
        <v>44</v>
      </c>
      <c r="K2925" t="s">
        <v>113</v>
      </c>
      <c r="L2925" t="s">
        <v>37</v>
      </c>
      <c r="M2925">
        <v>0</v>
      </c>
      <c r="N2925">
        <v>0</v>
      </c>
      <c r="O2925" s="5" t="s">
        <v>562</v>
      </c>
      <c r="P2925" s="5" t="s">
        <v>563</v>
      </c>
      <c r="Q2925">
        <f>32-14.5</f>
        <v>17.5</v>
      </c>
      <c r="R2925" t="s">
        <v>64</v>
      </c>
      <c r="T2925">
        <v>18.5</v>
      </c>
      <c r="U2925">
        <v>88</v>
      </c>
      <c r="V2925">
        <v>16</v>
      </c>
      <c r="W2925">
        <v>13</v>
      </c>
      <c r="X2925">
        <v>28.2</v>
      </c>
      <c r="Z2925" t="s">
        <v>102</v>
      </c>
      <c r="AA2925" t="s">
        <v>201</v>
      </c>
      <c r="AB2925" t="s">
        <v>47</v>
      </c>
      <c r="AC2925" t="s">
        <v>41</v>
      </c>
      <c r="AD2925" t="s">
        <v>564</v>
      </c>
    </row>
    <row r="2926" spans="1:30" x14ac:dyDescent="0.35">
      <c r="A2926" s="4">
        <v>42591</v>
      </c>
      <c r="B2926" t="s">
        <v>30</v>
      </c>
      <c r="C2926">
        <v>701</v>
      </c>
      <c r="D2926">
        <v>1</v>
      </c>
      <c r="E2926">
        <v>2</v>
      </c>
      <c r="F2926" t="s">
        <v>315</v>
      </c>
      <c r="G2926" t="s">
        <v>32</v>
      </c>
      <c r="H2926" t="s">
        <v>33</v>
      </c>
      <c r="I2926" t="s">
        <v>43</v>
      </c>
      <c r="J2926" t="s">
        <v>44</v>
      </c>
      <c r="K2926" t="s">
        <v>113</v>
      </c>
      <c r="L2926" t="s">
        <v>37</v>
      </c>
      <c r="M2926">
        <v>0</v>
      </c>
      <c r="N2926">
        <v>0</v>
      </c>
      <c r="O2926" s="5" t="s">
        <v>565</v>
      </c>
      <c r="P2926" s="5" t="s">
        <v>566</v>
      </c>
      <c r="Q2926">
        <f>33-15</f>
        <v>18</v>
      </c>
      <c r="R2926" t="s">
        <v>64</v>
      </c>
      <c r="T2926">
        <v>16</v>
      </c>
      <c r="U2926">
        <v>89</v>
      </c>
      <c r="V2926">
        <v>16</v>
      </c>
      <c r="W2926">
        <v>13</v>
      </c>
      <c r="X2926">
        <v>28.2</v>
      </c>
      <c r="Z2926" t="s">
        <v>102</v>
      </c>
      <c r="AA2926" t="s">
        <v>567</v>
      </c>
      <c r="AB2926" t="s">
        <v>47</v>
      </c>
      <c r="AC2926" t="s">
        <v>41</v>
      </c>
    </row>
    <row r="2927" spans="1:30" x14ac:dyDescent="0.35">
      <c r="A2927" s="4">
        <v>42591</v>
      </c>
      <c r="B2927" t="s">
        <v>30</v>
      </c>
      <c r="C2927">
        <v>703</v>
      </c>
      <c r="D2927">
        <v>9</v>
      </c>
      <c r="E2927">
        <v>1</v>
      </c>
      <c r="F2927" t="s">
        <v>315</v>
      </c>
      <c r="G2927" t="s">
        <v>32</v>
      </c>
      <c r="H2927" t="s">
        <v>33</v>
      </c>
      <c r="I2927" t="s">
        <v>43</v>
      </c>
      <c r="J2927" t="s">
        <v>44</v>
      </c>
      <c r="K2927" t="s">
        <v>88</v>
      </c>
      <c r="L2927" t="s">
        <v>45</v>
      </c>
      <c r="M2927">
        <v>0</v>
      </c>
      <c r="N2927">
        <v>0</v>
      </c>
      <c r="O2927" s="5" t="s">
        <v>568</v>
      </c>
      <c r="P2927" s="5" t="s">
        <v>569</v>
      </c>
      <c r="Q2927">
        <f>31-15</f>
        <v>16</v>
      </c>
      <c r="R2927" t="s">
        <v>46</v>
      </c>
      <c r="S2927" t="s">
        <v>39</v>
      </c>
      <c r="T2927">
        <v>19</v>
      </c>
      <c r="U2927">
        <v>75</v>
      </c>
      <c r="V2927">
        <v>15</v>
      </c>
      <c r="W2927">
        <v>13.1</v>
      </c>
      <c r="X2927">
        <v>27.9</v>
      </c>
      <c r="Z2927" t="s">
        <v>102</v>
      </c>
      <c r="AA2927" t="s">
        <v>201</v>
      </c>
      <c r="AB2927" t="s">
        <v>47</v>
      </c>
      <c r="AC2927" t="s">
        <v>41</v>
      </c>
    </row>
    <row r="2928" spans="1:30" x14ac:dyDescent="0.35">
      <c r="A2928" s="4">
        <v>42591</v>
      </c>
      <c r="B2928" t="s">
        <v>30</v>
      </c>
      <c r="C2928">
        <v>303</v>
      </c>
      <c r="D2928">
        <v>9</v>
      </c>
      <c r="E2928">
        <v>1</v>
      </c>
      <c r="F2928" t="s">
        <v>42</v>
      </c>
      <c r="G2928" t="s">
        <v>32</v>
      </c>
      <c r="H2928" t="s">
        <v>33</v>
      </c>
      <c r="I2928" t="s">
        <v>43</v>
      </c>
      <c r="J2928" t="s">
        <v>44</v>
      </c>
      <c r="K2928" t="s">
        <v>113</v>
      </c>
      <c r="L2928" t="s">
        <v>37</v>
      </c>
      <c r="M2928">
        <v>0</v>
      </c>
      <c r="N2928">
        <v>0</v>
      </c>
      <c r="O2928" s="5" t="s">
        <v>570</v>
      </c>
      <c r="P2928" s="5" t="s">
        <v>571</v>
      </c>
      <c r="Q2928">
        <f>34.5-17</f>
        <v>17.5</v>
      </c>
      <c r="R2928" t="s">
        <v>64</v>
      </c>
      <c r="T2928">
        <v>18.5</v>
      </c>
      <c r="U2928">
        <v>79</v>
      </c>
      <c r="V2928">
        <v>18</v>
      </c>
      <c r="W2928">
        <v>13.2</v>
      </c>
      <c r="X2928">
        <v>26</v>
      </c>
      <c r="Z2928" t="s">
        <v>102</v>
      </c>
      <c r="AB2928" t="s">
        <v>47</v>
      </c>
      <c r="AC2928" t="s">
        <v>41</v>
      </c>
    </row>
    <row r="2929" spans="1:30" x14ac:dyDescent="0.35">
      <c r="A2929" s="4">
        <v>42591</v>
      </c>
      <c r="B2929" t="s">
        <v>30</v>
      </c>
      <c r="C2929">
        <v>703</v>
      </c>
      <c r="D2929">
        <v>3</v>
      </c>
      <c r="E2929">
        <v>2</v>
      </c>
      <c r="F2929" t="s">
        <v>315</v>
      </c>
      <c r="G2929" t="s">
        <v>32</v>
      </c>
      <c r="H2929" t="s">
        <v>33</v>
      </c>
      <c r="I2929" t="s">
        <v>43</v>
      </c>
      <c r="J2929" t="s">
        <v>44</v>
      </c>
      <c r="K2929" t="s">
        <v>88</v>
      </c>
      <c r="L2929" t="s">
        <v>45</v>
      </c>
      <c r="M2929">
        <v>0</v>
      </c>
      <c r="N2929">
        <v>0</v>
      </c>
      <c r="O2929" s="5" t="s">
        <v>572</v>
      </c>
      <c r="P2929" s="5" t="s">
        <v>573</v>
      </c>
      <c r="Q2929">
        <f>31-16</f>
        <v>15</v>
      </c>
      <c r="R2929" t="s">
        <v>46</v>
      </c>
      <c r="S2929" t="s">
        <v>39</v>
      </c>
      <c r="T2929">
        <v>18</v>
      </c>
      <c r="U2929">
        <v>71</v>
      </c>
      <c r="V2929">
        <v>15</v>
      </c>
      <c r="W2929">
        <v>13</v>
      </c>
      <c r="X2929">
        <v>27.5</v>
      </c>
      <c r="Z2929" t="s">
        <v>102</v>
      </c>
      <c r="AA2929" t="s">
        <v>201</v>
      </c>
      <c r="AB2929" t="s">
        <v>47</v>
      </c>
      <c r="AC2929" t="s">
        <v>41</v>
      </c>
    </row>
    <row r="2930" spans="1:30" x14ac:dyDescent="0.35">
      <c r="A2930" s="4">
        <v>42591</v>
      </c>
      <c r="B2930" t="s">
        <v>30</v>
      </c>
      <c r="C2930">
        <v>703</v>
      </c>
      <c r="D2930">
        <v>3</v>
      </c>
      <c r="E2930">
        <v>1</v>
      </c>
      <c r="F2930" t="s">
        <v>315</v>
      </c>
      <c r="G2930" t="s">
        <v>32</v>
      </c>
      <c r="H2930" t="s">
        <v>33</v>
      </c>
      <c r="I2930" t="s">
        <v>43</v>
      </c>
      <c r="J2930" t="s">
        <v>44</v>
      </c>
      <c r="K2930" t="s">
        <v>88</v>
      </c>
      <c r="L2930" t="s">
        <v>45</v>
      </c>
      <c r="M2930">
        <v>0</v>
      </c>
      <c r="N2930">
        <v>0</v>
      </c>
      <c r="O2930" s="5" t="s">
        <v>574</v>
      </c>
      <c r="P2930" s="5" t="s">
        <v>575</v>
      </c>
      <c r="Q2930">
        <f>36-20.5</f>
        <v>15.5</v>
      </c>
      <c r="R2930" t="s">
        <v>46</v>
      </c>
      <c r="S2930" t="s">
        <v>39</v>
      </c>
      <c r="T2930">
        <v>19</v>
      </c>
      <c r="U2930">
        <v>76</v>
      </c>
      <c r="V2930">
        <v>16</v>
      </c>
      <c r="W2930">
        <v>12.9</v>
      </c>
      <c r="X2930">
        <v>27</v>
      </c>
      <c r="Z2930" t="s">
        <v>102</v>
      </c>
      <c r="AA2930" t="s">
        <v>201</v>
      </c>
      <c r="AB2930" t="s">
        <v>47</v>
      </c>
      <c r="AC2930" t="s">
        <v>41</v>
      </c>
    </row>
    <row r="2931" spans="1:30" x14ac:dyDescent="0.35">
      <c r="A2931" s="4">
        <v>42591</v>
      </c>
      <c r="B2931" t="s">
        <v>30</v>
      </c>
      <c r="C2931">
        <v>701</v>
      </c>
      <c r="D2931">
        <v>3</v>
      </c>
      <c r="E2931">
        <v>2</v>
      </c>
      <c r="F2931" t="s">
        <v>315</v>
      </c>
      <c r="G2931" t="s">
        <v>32</v>
      </c>
      <c r="H2931" t="s">
        <v>33</v>
      </c>
      <c r="I2931" t="s">
        <v>43</v>
      </c>
      <c r="J2931" t="s">
        <v>44</v>
      </c>
      <c r="K2931" t="s">
        <v>36</v>
      </c>
      <c r="L2931" t="s">
        <v>45</v>
      </c>
      <c r="M2931">
        <v>0</v>
      </c>
      <c r="N2931">
        <v>0</v>
      </c>
      <c r="O2931" s="5" t="s">
        <v>576</v>
      </c>
      <c r="P2931" s="5" t="s">
        <v>577</v>
      </c>
      <c r="Q2931">
        <f>32-17</f>
        <v>15</v>
      </c>
      <c r="R2931" t="s">
        <v>46</v>
      </c>
      <c r="S2931" t="s">
        <v>39</v>
      </c>
      <c r="T2931">
        <v>18</v>
      </c>
      <c r="U2931">
        <v>88</v>
      </c>
      <c r="V2931">
        <v>16</v>
      </c>
      <c r="W2931">
        <v>13.2</v>
      </c>
      <c r="X2931">
        <v>29.6</v>
      </c>
      <c r="Z2931" t="s">
        <v>102</v>
      </c>
      <c r="AA2931" t="s">
        <v>201</v>
      </c>
      <c r="AB2931" t="s">
        <v>47</v>
      </c>
      <c r="AC2931" t="s">
        <v>41</v>
      </c>
    </row>
    <row r="2932" spans="1:30" x14ac:dyDescent="0.35">
      <c r="A2932" s="4">
        <v>42591</v>
      </c>
      <c r="B2932" t="s">
        <v>30</v>
      </c>
      <c r="C2932">
        <v>701</v>
      </c>
      <c r="D2932">
        <v>4</v>
      </c>
      <c r="E2932">
        <v>1</v>
      </c>
      <c r="F2932" t="s">
        <v>315</v>
      </c>
      <c r="G2932" t="s">
        <v>32</v>
      </c>
      <c r="H2932" t="s">
        <v>33</v>
      </c>
      <c r="I2932" t="s">
        <v>43</v>
      </c>
      <c r="J2932" t="s">
        <v>44</v>
      </c>
      <c r="K2932" t="s">
        <v>113</v>
      </c>
      <c r="L2932" t="s">
        <v>37</v>
      </c>
      <c r="M2932">
        <v>0</v>
      </c>
      <c r="N2932">
        <v>0</v>
      </c>
      <c r="O2932" s="5" t="s">
        <v>578</v>
      </c>
      <c r="P2932" s="5" t="s">
        <v>579</v>
      </c>
      <c r="Q2932">
        <f>31-14</f>
        <v>17</v>
      </c>
      <c r="R2932" t="s">
        <v>64</v>
      </c>
      <c r="T2932">
        <v>18</v>
      </c>
      <c r="U2932">
        <v>89</v>
      </c>
      <c r="V2932">
        <v>16</v>
      </c>
      <c r="W2932">
        <v>13.2</v>
      </c>
      <c r="X2932">
        <v>28</v>
      </c>
      <c r="Z2932" t="s">
        <v>102</v>
      </c>
      <c r="AA2932" t="s">
        <v>201</v>
      </c>
      <c r="AB2932" t="s">
        <v>47</v>
      </c>
      <c r="AC2932" t="s">
        <v>41</v>
      </c>
    </row>
    <row r="2933" spans="1:30" x14ac:dyDescent="0.35">
      <c r="A2933" s="4">
        <v>42591</v>
      </c>
      <c r="B2933" t="s">
        <v>30</v>
      </c>
      <c r="C2933">
        <v>801</v>
      </c>
      <c r="D2933">
        <v>10</v>
      </c>
      <c r="E2933">
        <v>1</v>
      </c>
      <c r="F2933" t="s">
        <v>315</v>
      </c>
      <c r="G2933" t="s">
        <v>32</v>
      </c>
      <c r="H2933" t="s">
        <v>33</v>
      </c>
      <c r="I2933" t="s">
        <v>43</v>
      </c>
      <c r="J2933" t="s">
        <v>44</v>
      </c>
      <c r="K2933" t="s">
        <v>36</v>
      </c>
      <c r="L2933" t="s">
        <v>45</v>
      </c>
      <c r="M2933">
        <v>0</v>
      </c>
      <c r="N2933">
        <v>0</v>
      </c>
      <c r="O2933" s="5" t="s">
        <v>580</v>
      </c>
      <c r="P2933" s="5" t="s">
        <v>581</v>
      </c>
      <c r="Q2933">
        <f>39-15</f>
        <v>24</v>
      </c>
      <c r="R2933" t="s">
        <v>145</v>
      </c>
      <c r="S2933" t="s">
        <v>102</v>
      </c>
      <c r="T2933">
        <v>16</v>
      </c>
      <c r="U2933">
        <v>98</v>
      </c>
      <c r="V2933">
        <v>16</v>
      </c>
      <c r="W2933">
        <v>12.9</v>
      </c>
      <c r="X2933">
        <v>29.8</v>
      </c>
      <c r="Z2933" t="s">
        <v>102</v>
      </c>
      <c r="AA2933" t="s">
        <v>201</v>
      </c>
      <c r="AB2933" t="s">
        <v>47</v>
      </c>
      <c r="AC2933" t="s">
        <v>41</v>
      </c>
    </row>
    <row r="2934" spans="1:30" x14ac:dyDescent="0.35">
      <c r="A2934" s="4">
        <v>42591</v>
      </c>
      <c r="B2934" t="s">
        <v>30</v>
      </c>
      <c r="C2934">
        <v>703</v>
      </c>
      <c r="D2934">
        <v>2</v>
      </c>
      <c r="E2934">
        <v>1</v>
      </c>
      <c r="F2934" t="s">
        <v>315</v>
      </c>
      <c r="G2934" t="s">
        <v>32</v>
      </c>
      <c r="H2934" t="s">
        <v>33</v>
      </c>
      <c r="I2934" t="s">
        <v>43</v>
      </c>
      <c r="J2934" t="s">
        <v>44</v>
      </c>
      <c r="K2934" t="s">
        <v>36</v>
      </c>
      <c r="L2934" t="s">
        <v>37</v>
      </c>
      <c r="M2934">
        <v>0</v>
      </c>
      <c r="N2934">
        <v>0</v>
      </c>
      <c r="O2934" s="5" t="s">
        <v>582</v>
      </c>
      <c r="P2934" s="5" t="s">
        <v>583</v>
      </c>
      <c r="Q2934">
        <f>38-15</f>
        <v>23</v>
      </c>
      <c r="R2934" t="s">
        <v>38</v>
      </c>
      <c r="T2934">
        <v>20</v>
      </c>
      <c r="U2934">
        <v>91</v>
      </c>
      <c r="V2934">
        <v>16</v>
      </c>
      <c r="W2934">
        <v>13.4</v>
      </c>
      <c r="X2934">
        <v>27.3</v>
      </c>
      <c r="Z2934" t="s">
        <v>102</v>
      </c>
      <c r="AA2934" t="s">
        <v>201</v>
      </c>
      <c r="AB2934" t="s">
        <v>47</v>
      </c>
      <c r="AC2934" t="s">
        <v>41</v>
      </c>
    </row>
    <row r="2935" spans="1:30" x14ac:dyDescent="0.35">
      <c r="A2935" s="4">
        <v>42591</v>
      </c>
      <c r="B2935" t="s">
        <v>30</v>
      </c>
      <c r="C2935">
        <v>503</v>
      </c>
      <c r="D2935">
        <v>5</v>
      </c>
      <c r="E2935">
        <v>1</v>
      </c>
      <c r="F2935" t="s">
        <v>42</v>
      </c>
      <c r="G2935" t="s">
        <v>32</v>
      </c>
      <c r="H2935" t="s">
        <v>33</v>
      </c>
      <c r="I2935" t="s">
        <v>43</v>
      </c>
      <c r="J2935" t="s">
        <v>123</v>
      </c>
      <c r="M2935">
        <v>0</v>
      </c>
      <c r="N2935">
        <v>0</v>
      </c>
      <c r="O2935" s="5" t="s">
        <v>584</v>
      </c>
      <c r="P2935" s="5" t="s">
        <v>585</v>
      </c>
      <c r="AD2935" t="s">
        <v>586</v>
      </c>
    </row>
    <row r="2936" spans="1:30" x14ac:dyDescent="0.35">
      <c r="A2936" s="4">
        <v>42591</v>
      </c>
      <c r="B2936" t="s">
        <v>30</v>
      </c>
      <c r="C2936">
        <v>503</v>
      </c>
      <c r="D2936">
        <v>7</v>
      </c>
      <c r="E2936">
        <v>2</v>
      </c>
      <c r="F2936" t="s">
        <v>42</v>
      </c>
      <c r="G2936" t="s">
        <v>32</v>
      </c>
      <c r="H2936" t="s">
        <v>33</v>
      </c>
      <c r="I2936" t="s">
        <v>43</v>
      </c>
      <c r="J2936" t="s">
        <v>44</v>
      </c>
      <c r="K2936" t="s">
        <v>88</v>
      </c>
      <c r="L2936" t="s">
        <v>37</v>
      </c>
      <c r="M2936">
        <v>0</v>
      </c>
      <c r="N2936">
        <v>0</v>
      </c>
      <c r="O2936" s="5" t="s">
        <v>587</v>
      </c>
      <c r="P2936" s="5" t="s">
        <v>585</v>
      </c>
      <c r="Q2936">
        <f>29-15</f>
        <v>14</v>
      </c>
      <c r="R2936" t="s">
        <v>64</v>
      </c>
      <c r="T2936">
        <v>17</v>
      </c>
      <c r="U2936">
        <v>72</v>
      </c>
      <c r="V2936">
        <v>15</v>
      </c>
      <c r="W2936">
        <v>12.3</v>
      </c>
      <c r="X2936">
        <v>26</v>
      </c>
      <c r="Z2936" t="s">
        <v>102</v>
      </c>
      <c r="AB2936" t="s">
        <v>47</v>
      </c>
      <c r="AC2936" t="s">
        <v>41</v>
      </c>
    </row>
    <row r="2937" spans="1:30" x14ac:dyDescent="0.35">
      <c r="A2937" s="4">
        <v>42591</v>
      </c>
      <c r="B2937" t="s">
        <v>30</v>
      </c>
      <c r="C2937">
        <v>901</v>
      </c>
      <c r="D2937">
        <v>1</v>
      </c>
      <c r="E2937">
        <v>1</v>
      </c>
      <c r="F2937" t="s">
        <v>315</v>
      </c>
      <c r="G2937" t="s">
        <v>32</v>
      </c>
      <c r="H2937" t="s">
        <v>33</v>
      </c>
      <c r="I2937" t="s">
        <v>43</v>
      </c>
      <c r="J2937" t="s">
        <v>44</v>
      </c>
      <c r="K2937" t="s">
        <v>36</v>
      </c>
      <c r="L2937" t="s">
        <v>45</v>
      </c>
      <c r="M2937">
        <v>0</v>
      </c>
      <c r="N2937">
        <v>0</v>
      </c>
      <c r="O2937" s="5" t="s">
        <v>99</v>
      </c>
      <c r="P2937" s="5" t="s">
        <v>171</v>
      </c>
      <c r="Q2937">
        <f>34.5-14</f>
        <v>20.5</v>
      </c>
      <c r="R2937" t="s">
        <v>74</v>
      </c>
      <c r="S2937" t="s">
        <v>102</v>
      </c>
      <c r="T2937">
        <v>18</v>
      </c>
      <c r="U2937">
        <v>91</v>
      </c>
      <c r="V2937">
        <v>16</v>
      </c>
      <c r="W2937">
        <v>13.2</v>
      </c>
      <c r="X2937">
        <v>27.2</v>
      </c>
      <c r="Y2937" t="s">
        <v>588</v>
      </c>
      <c r="Z2937" t="s">
        <v>102</v>
      </c>
      <c r="AA2937" t="s">
        <v>201</v>
      </c>
      <c r="AB2937" t="s">
        <v>47</v>
      </c>
      <c r="AC2937" t="s">
        <v>41</v>
      </c>
      <c r="AD2937" t="s">
        <v>589</v>
      </c>
    </row>
    <row r="2938" spans="1:30" x14ac:dyDescent="0.35">
      <c r="A2938" s="4">
        <v>42591</v>
      </c>
      <c r="B2938" t="s">
        <v>30</v>
      </c>
      <c r="C2938">
        <v>503</v>
      </c>
      <c r="D2938">
        <v>8</v>
      </c>
      <c r="E2938">
        <v>1</v>
      </c>
      <c r="F2938" t="s">
        <v>42</v>
      </c>
      <c r="G2938" t="s">
        <v>32</v>
      </c>
      <c r="H2938" t="s">
        <v>33</v>
      </c>
      <c r="I2938" t="s">
        <v>34</v>
      </c>
      <c r="J2938" t="s">
        <v>35</v>
      </c>
      <c r="K2938" t="s">
        <v>88</v>
      </c>
      <c r="L2938" t="s">
        <v>45</v>
      </c>
      <c r="M2938">
        <v>0</v>
      </c>
      <c r="N2938">
        <v>1</v>
      </c>
      <c r="O2938" s="5" t="s">
        <v>590</v>
      </c>
      <c r="P2938" s="5"/>
      <c r="Q2938">
        <f>175-90</f>
        <v>85</v>
      </c>
      <c r="R2938" t="s">
        <v>74</v>
      </c>
      <c r="S2938" t="s">
        <v>102</v>
      </c>
      <c r="T2938">
        <v>30</v>
      </c>
      <c r="W2938">
        <v>12.6</v>
      </c>
      <c r="X2938">
        <v>44.7</v>
      </c>
      <c r="Z2938" t="s">
        <v>39</v>
      </c>
      <c r="AB2938" t="s">
        <v>47</v>
      </c>
      <c r="AC2938" t="s">
        <v>41</v>
      </c>
    </row>
    <row r="2939" spans="1:30" x14ac:dyDescent="0.35">
      <c r="A2939" s="4">
        <v>42591</v>
      </c>
      <c r="B2939" t="s">
        <v>30</v>
      </c>
      <c r="C2939">
        <v>803</v>
      </c>
      <c r="D2939">
        <v>10</v>
      </c>
      <c r="E2939">
        <v>2</v>
      </c>
      <c r="F2939" t="s">
        <v>315</v>
      </c>
      <c r="G2939" t="s">
        <v>32</v>
      </c>
      <c r="H2939" t="s">
        <v>33</v>
      </c>
      <c r="I2939" t="s">
        <v>34</v>
      </c>
      <c r="J2939" t="s">
        <v>44</v>
      </c>
      <c r="K2939" t="s">
        <v>36</v>
      </c>
      <c r="L2939" t="s">
        <v>37</v>
      </c>
      <c r="M2939">
        <v>0</v>
      </c>
      <c r="N2939">
        <v>0</v>
      </c>
      <c r="O2939" s="5"/>
      <c r="P2939" s="5" t="s">
        <v>591</v>
      </c>
      <c r="Q2939">
        <f>148-50</f>
        <v>98</v>
      </c>
      <c r="R2939" t="s">
        <v>38</v>
      </c>
      <c r="T2939">
        <v>30</v>
      </c>
      <c r="W2939">
        <v>22.5</v>
      </c>
      <c r="X2939">
        <v>42.9</v>
      </c>
      <c r="Z2939" t="s">
        <v>102</v>
      </c>
      <c r="AA2939" t="s">
        <v>201</v>
      </c>
      <c r="AB2939" t="s">
        <v>47</v>
      </c>
      <c r="AC2939" t="s">
        <v>41</v>
      </c>
    </row>
    <row r="2940" spans="1:30" x14ac:dyDescent="0.35">
      <c r="A2940" s="4">
        <v>42591</v>
      </c>
      <c r="B2940" t="s">
        <v>30</v>
      </c>
      <c r="C2940">
        <v>303</v>
      </c>
      <c r="D2940">
        <v>2</v>
      </c>
      <c r="E2940">
        <v>2</v>
      </c>
      <c r="F2940" t="s">
        <v>42</v>
      </c>
      <c r="G2940" t="s">
        <v>32</v>
      </c>
      <c r="H2940" t="s">
        <v>33</v>
      </c>
      <c r="I2940" t="s">
        <v>58</v>
      </c>
      <c r="J2940" t="s">
        <v>44</v>
      </c>
      <c r="K2940" t="s">
        <v>36</v>
      </c>
      <c r="L2940" t="s">
        <v>45</v>
      </c>
      <c r="M2940">
        <v>0</v>
      </c>
      <c r="N2940">
        <v>0</v>
      </c>
      <c r="O2940" s="5" t="s">
        <v>592</v>
      </c>
      <c r="P2940" s="5"/>
      <c r="Q2940">
        <f>41.5-14</f>
        <v>27.5</v>
      </c>
      <c r="R2940" t="s">
        <v>298</v>
      </c>
      <c r="S2940" t="s">
        <v>39</v>
      </c>
      <c r="T2940">
        <v>18</v>
      </c>
      <c r="W2940">
        <v>13</v>
      </c>
      <c r="X2940">
        <v>25.8</v>
      </c>
      <c r="Z2940" t="s">
        <v>102</v>
      </c>
      <c r="AB2940" t="s">
        <v>47</v>
      </c>
      <c r="AC2940" t="s">
        <v>41</v>
      </c>
    </row>
    <row r="2941" spans="1:30" x14ac:dyDescent="0.35">
      <c r="A2941" s="4">
        <v>42591</v>
      </c>
      <c r="B2941" t="s">
        <v>30</v>
      </c>
      <c r="C2941">
        <v>703</v>
      </c>
      <c r="D2941">
        <v>6</v>
      </c>
      <c r="E2941">
        <v>2</v>
      </c>
      <c r="F2941" t="s">
        <v>315</v>
      </c>
      <c r="G2941" t="s">
        <v>32</v>
      </c>
      <c r="H2941" t="s">
        <v>33</v>
      </c>
      <c r="I2941" t="s">
        <v>58</v>
      </c>
      <c r="J2941" t="s">
        <v>35</v>
      </c>
      <c r="K2941" t="s">
        <v>113</v>
      </c>
      <c r="L2941" t="s">
        <v>37</v>
      </c>
      <c r="M2941">
        <v>0</v>
      </c>
      <c r="N2941">
        <v>1</v>
      </c>
      <c r="O2941" s="5" t="s">
        <v>593</v>
      </c>
      <c r="P2941" s="5"/>
      <c r="Q2941">
        <f>32-13</f>
        <v>19</v>
      </c>
      <c r="R2941" t="s">
        <v>64</v>
      </c>
      <c r="T2941">
        <v>16</v>
      </c>
      <c r="W2941">
        <v>13.3</v>
      </c>
      <c r="X2941">
        <v>26.8</v>
      </c>
      <c r="Z2941" t="s">
        <v>102</v>
      </c>
      <c r="AA2941" t="s">
        <v>594</v>
      </c>
      <c r="AB2941" t="s">
        <v>47</v>
      </c>
      <c r="AC2941" t="s">
        <v>41</v>
      </c>
    </row>
    <row r="2942" spans="1:30" x14ac:dyDescent="0.35">
      <c r="A2942" s="4">
        <v>42591</v>
      </c>
      <c r="B2942" t="s">
        <v>30</v>
      </c>
      <c r="C2942">
        <v>303</v>
      </c>
      <c r="D2942">
        <v>7</v>
      </c>
      <c r="E2942">
        <v>2</v>
      </c>
      <c r="F2942" t="s">
        <v>42</v>
      </c>
      <c r="G2942" t="s">
        <v>32</v>
      </c>
      <c r="H2942" t="s">
        <v>33</v>
      </c>
      <c r="I2942" t="s">
        <v>58</v>
      </c>
      <c r="J2942" t="s">
        <v>35</v>
      </c>
      <c r="K2942" t="s">
        <v>36</v>
      </c>
      <c r="L2942" t="s">
        <v>45</v>
      </c>
      <c r="M2942">
        <v>0</v>
      </c>
      <c r="N2942">
        <v>1</v>
      </c>
      <c r="O2942" s="5" t="s">
        <v>595</v>
      </c>
      <c r="P2942" s="5"/>
      <c r="Q2942">
        <f>33-14</f>
        <v>19</v>
      </c>
      <c r="R2942" t="s">
        <v>46</v>
      </c>
      <c r="S2942" t="s">
        <v>39</v>
      </c>
      <c r="T2942">
        <v>17</v>
      </c>
      <c r="W2942">
        <v>12.9</v>
      </c>
      <c r="X2942">
        <v>24.2</v>
      </c>
      <c r="Z2942" t="s">
        <v>102</v>
      </c>
      <c r="AB2942" t="s">
        <v>47</v>
      </c>
      <c r="AC2942" t="s">
        <v>41</v>
      </c>
    </row>
    <row r="2943" spans="1:30" x14ac:dyDescent="0.35">
      <c r="A2943" s="4">
        <v>42591</v>
      </c>
      <c r="B2943" t="s">
        <v>30</v>
      </c>
      <c r="C2943">
        <v>303</v>
      </c>
      <c r="D2943">
        <v>6</v>
      </c>
      <c r="E2943">
        <v>1</v>
      </c>
      <c r="F2943" t="s">
        <v>42</v>
      </c>
      <c r="G2943" t="s">
        <v>32</v>
      </c>
      <c r="H2943" t="s">
        <v>33</v>
      </c>
      <c r="I2943" t="s">
        <v>58</v>
      </c>
      <c r="J2943" t="s">
        <v>35</v>
      </c>
      <c r="K2943" t="s">
        <v>36</v>
      </c>
      <c r="L2943" t="s">
        <v>45</v>
      </c>
      <c r="M2943">
        <v>0</v>
      </c>
      <c r="N2943">
        <v>1</v>
      </c>
      <c r="O2943" s="5" t="s">
        <v>596</v>
      </c>
      <c r="P2943" s="5"/>
      <c r="Q2943">
        <f>37-13.5</f>
        <v>23.5</v>
      </c>
      <c r="R2943" t="s">
        <v>46</v>
      </c>
      <c r="S2943" t="s">
        <v>39</v>
      </c>
      <c r="T2943">
        <v>18</v>
      </c>
      <c r="W2943">
        <v>13</v>
      </c>
      <c r="X2943">
        <v>24</v>
      </c>
      <c r="Z2943" t="s">
        <v>102</v>
      </c>
      <c r="AB2943" t="s">
        <v>47</v>
      </c>
      <c r="AC2943" t="s">
        <v>41</v>
      </c>
    </row>
    <row r="2944" spans="1:30" x14ac:dyDescent="0.35">
      <c r="A2944" s="4">
        <v>42591</v>
      </c>
      <c r="B2944" t="s">
        <v>30</v>
      </c>
      <c r="C2944">
        <v>303</v>
      </c>
      <c r="D2944">
        <v>1</v>
      </c>
      <c r="E2944">
        <v>1</v>
      </c>
      <c r="F2944" t="s">
        <v>42</v>
      </c>
      <c r="G2944" t="s">
        <v>32</v>
      </c>
      <c r="H2944" t="s">
        <v>33</v>
      </c>
      <c r="I2944" t="s">
        <v>58</v>
      </c>
      <c r="J2944" t="s">
        <v>35</v>
      </c>
      <c r="K2944" t="s">
        <v>88</v>
      </c>
      <c r="L2944" t="s">
        <v>37</v>
      </c>
      <c r="M2944">
        <v>0</v>
      </c>
      <c r="N2944">
        <v>1</v>
      </c>
      <c r="O2944" s="5" t="s">
        <v>597</v>
      </c>
      <c r="P2944" s="5"/>
      <c r="Q2944">
        <f>31-13</f>
        <v>18</v>
      </c>
      <c r="R2944" t="s">
        <v>64</v>
      </c>
      <c r="T2944">
        <v>16</v>
      </c>
      <c r="W2944">
        <v>12.4</v>
      </c>
      <c r="X2944">
        <v>25</v>
      </c>
      <c r="Z2944" t="s">
        <v>102</v>
      </c>
      <c r="AB2944" t="s">
        <v>47</v>
      </c>
      <c r="AC2944" t="s">
        <v>41</v>
      </c>
    </row>
    <row r="2945" spans="1:30" x14ac:dyDescent="0.35">
      <c r="A2945" s="4">
        <v>42591</v>
      </c>
      <c r="B2945" t="s">
        <v>30</v>
      </c>
      <c r="C2945">
        <v>303</v>
      </c>
      <c r="D2945">
        <v>10</v>
      </c>
      <c r="E2945">
        <v>2</v>
      </c>
      <c r="F2945" t="s">
        <v>42</v>
      </c>
      <c r="G2945" t="s">
        <v>32</v>
      </c>
      <c r="H2945" t="s">
        <v>33</v>
      </c>
      <c r="I2945" t="s">
        <v>58</v>
      </c>
      <c r="J2945" t="s">
        <v>44</v>
      </c>
      <c r="K2945" t="s">
        <v>36</v>
      </c>
      <c r="L2945" t="s">
        <v>45</v>
      </c>
      <c r="M2945">
        <v>0</v>
      </c>
      <c r="N2945">
        <v>0</v>
      </c>
      <c r="O2945" s="5" t="s">
        <v>598</v>
      </c>
      <c r="P2945" s="5"/>
      <c r="Q2945">
        <f>39-13</f>
        <v>26</v>
      </c>
      <c r="R2945" t="s">
        <v>79</v>
      </c>
      <c r="S2945" t="s">
        <v>39</v>
      </c>
      <c r="T2945">
        <v>16</v>
      </c>
      <c r="W2945">
        <v>13.6</v>
      </c>
      <c r="X2945">
        <v>27.8</v>
      </c>
      <c r="Z2945" t="s">
        <v>102</v>
      </c>
      <c r="AB2945" t="s">
        <v>47</v>
      </c>
      <c r="AC2945" t="s">
        <v>41</v>
      </c>
    </row>
    <row r="2946" spans="1:30" x14ac:dyDescent="0.35">
      <c r="A2946" s="4">
        <v>42591</v>
      </c>
      <c r="B2946" t="s">
        <v>30</v>
      </c>
      <c r="C2946">
        <v>801</v>
      </c>
      <c r="D2946">
        <v>9</v>
      </c>
      <c r="E2946">
        <v>2</v>
      </c>
      <c r="F2946" t="s">
        <v>315</v>
      </c>
      <c r="G2946" t="s">
        <v>32</v>
      </c>
      <c r="H2946" t="s">
        <v>33</v>
      </c>
      <c r="I2946" t="s">
        <v>58</v>
      </c>
      <c r="J2946" t="s">
        <v>44</v>
      </c>
      <c r="K2946" t="s">
        <v>36</v>
      </c>
      <c r="L2946" t="s">
        <v>45</v>
      </c>
      <c r="M2946">
        <v>0</v>
      </c>
      <c r="N2946">
        <v>0</v>
      </c>
      <c r="O2946" s="5" t="s">
        <v>599</v>
      </c>
      <c r="P2946" s="5"/>
      <c r="Q2946">
        <f>49.5-16</f>
        <v>33.5</v>
      </c>
      <c r="R2946" t="s">
        <v>145</v>
      </c>
      <c r="S2946" t="s">
        <v>102</v>
      </c>
      <c r="Z2946" t="s">
        <v>102</v>
      </c>
      <c r="AA2946" t="s">
        <v>201</v>
      </c>
      <c r="AB2946" t="s">
        <v>47</v>
      </c>
      <c r="AC2946" t="s">
        <v>41</v>
      </c>
      <c r="AD2946" t="s">
        <v>600</v>
      </c>
    </row>
    <row r="2947" spans="1:30" x14ac:dyDescent="0.35">
      <c r="A2947" s="4">
        <v>42591</v>
      </c>
      <c r="B2947" t="s">
        <v>30</v>
      </c>
      <c r="C2947">
        <v>701</v>
      </c>
      <c r="D2947">
        <v>5</v>
      </c>
      <c r="E2947">
        <v>1</v>
      </c>
      <c r="F2947" t="s">
        <v>315</v>
      </c>
      <c r="G2947" t="s">
        <v>32</v>
      </c>
      <c r="H2947" t="s">
        <v>33</v>
      </c>
      <c r="I2947" t="s">
        <v>58</v>
      </c>
      <c r="J2947" t="s">
        <v>44</v>
      </c>
      <c r="K2947" t="s">
        <v>36</v>
      </c>
      <c r="L2947" t="s">
        <v>45</v>
      </c>
      <c r="M2947">
        <v>0</v>
      </c>
      <c r="N2947">
        <v>0</v>
      </c>
      <c r="O2947" s="5" t="s">
        <v>601</v>
      </c>
      <c r="P2947" s="5"/>
      <c r="Q2947">
        <f>38.5-14</f>
        <v>24.5</v>
      </c>
      <c r="R2947" t="s">
        <v>143</v>
      </c>
      <c r="S2947" t="s">
        <v>102</v>
      </c>
      <c r="T2947">
        <v>19</v>
      </c>
      <c r="W2947">
        <v>13.3</v>
      </c>
      <c r="X2947">
        <v>28</v>
      </c>
      <c r="Z2947" t="s">
        <v>102</v>
      </c>
      <c r="AA2947" t="s">
        <v>602</v>
      </c>
      <c r="AB2947" t="s">
        <v>47</v>
      </c>
      <c r="AC2947" t="s">
        <v>41</v>
      </c>
    </row>
    <row r="2948" spans="1:30" x14ac:dyDescent="0.35">
      <c r="A2948" s="4">
        <v>42591</v>
      </c>
      <c r="B2948" t="s">
        <v>30</v>
      </c>
      <c r="C2948">
        <v>703</v>
      </c>
      <c r="D2948">
        <v>1</v>
      </c>
      <c r="E2948">
        <v>2</v>
      </c>
      <c r="F2948" t="s">
        <v>315</v>
      </c>
      <c r="G2948" t="s">
        <v>32</v>
      </c>
      <c r="H2948" t="s">
        <v>33</v>
      </c>
      <c r="I2948" t="s">
        <v>58</v>
      </c>
      <c r="J2948" t="s">
        <v>44</v>
      </c>
      <c r="K2948" t="s">
        <v>36</v>
      </c>
      <c r="L2948" t="s">
        <v>37</v>
      </c>
      <c r="M2948">
        <v>0</v>
      </c>
      <c r="N2948">
        <v>0</v>
      </c>
      <c r="O2948" s="5" t="s">
        <v>603</v>
      </c>
      <c r="P2948" s="5"/>
      <c r="Q2948">
        <f>35.5-15.5</f>
        <v>20</v>
      </c>
      <c r="R2948" t="s">
        <v>38</v>
      </c>
      <c r="T2948">
        <v>18</v>
      </c>
      <c r="W2948">
        <v>13</v>
      </c>
      <c r="X2948">
        <v>26.8</v>
      </c>
      <c r="Z2948" t="s">
        <v>102</v>
      </c>
      <c r="AB2948" t="s">
        <v>47</v>
      </c>
      <c r="AC2948" t="s">
        <v>41</v>
      </c>
    </row>
    <row r="2949" spans="1:30" x14ac:dyDescent="0.35">
      <c r="A2949" s="4">
        <v>42591</v>
      </c>
      <c r="B2949" t="s">
        <v>30</v>
      </c>
      <c r="C2949">
        <v>801</v>
      </c>
      <c r="D2949">
        <v>5</v>
      </c>
      <c r="E2949">
        <v>1</v>
      </c>
      <c r="F2949" t="s">
        <v>315</v>
      </c>
      <c r="G2949" t="s">
        <v>32</v>
      </c>
      <c r="H2949" t="s">
        <v>33</v>
      </c>
      <c r="I2949" t="s">
        <v>58</v>
      </c>
      <c r="J2949" t="s">
        <v>44</v>
      </c>
      <c r="K2949" t="s">
        <v>113</v>
      </c>
      <c r="L2949" t="s">
        <v>37</v>
      </c>
      <c r="M2949">
        <v>0</v>
      </c>
      <c r="N2949">
        <v>0</v>
      </c>
      <c r="O2949" s="5" t="s">
        <v>604</v>
      </c>
      <c r="P2949" s="5"/>
      <c r="Q2949">
        <f>36-18.5</f>
        <v>17.5</v>
      </c>
      <c r="R2949" t="s">
        <v>64</v>
      </c>
      <c r="T2949">
        <v>17</v>
      </c>
      <c r="W2949">
        <v>13.2</v>
      </c>
      <c r="X2949">
        <v>28</v>
      </c>
      <c r="Z2949" t="s">
        <v>102</v>
      </c>
      <c r="AA2949" t="s">
        <v>201</v>
      </c>
      <c r="AB2949" t="s">
        <v>47</v>
      </c>
      <c r="AC2949" t="s">
        <v>41</v>
      </c>
    </row>
    <row r="2950" spans="1:30" x14ac:dyDescent="0.35">
      <c r="A2950" s="4">
        <v>42591</v>
      </c>
      <c r="B2950" t="s">
        <v>30</v>
      </c>
      <c r="C2950">
        <v>703</v>
      </c>
      <c r="D2950">
        <v>9</v>
      </c>
      <c r="E2950">
        <v>2</v>
      </c>
      <c r="F2950" t="s">
        <v>315</v>
      </c>
      <c r="G2950" t="s">
        <v>32</v>
      </c>
      <c r="H2950" t="s">
        <v>33</v>
      </c>
      <c r="I2950" t="s">
        <v>65</v>
      </c>
      <c r="J2950" t="s">
        <v>44</v>
      </c>
      <c r="K2950" t="s">
        <v>36</v>
      </c>
      <c r="L2950" t="s">
        <v>45</v>
      </c>
      <c r="M2950">
        <v>0</v>
      </c>
      <c r="N2950">
        <v>0</v>
      </c>
      <c r="O2950" s="5" t="s">
        <v>605</v>
      </c>
      <c r="P2950" s="5"/>
      <c r="Q2950">
        <f>210-48</f>
        <v>162</v>
      </c>
      <c r="R2950" t="s">
        <v>74</v>
      </c>
      <c r="S2950" t="s">
        <v>102</v>
      </c>
      <c r="T2950">
        <v>44</v>
      </c>
      <c r="W2950">
        <v>27.5</v>
      </c>
      <c r="X2950">
        <v>46.2</v>
      </c>
      <c r="Z2950" t="s">
        <v>102</v>
      </c>
      <c r="AA2950" t="s">
        <v>606</v>
      </c>
      <c r="AB2950" t="s">
        <v>47</v>
      </c>
      <c r="AC2950" t="s">
        <v>41</v>
      </c>
    </row>
    <row r="2951" spans="1:30" x14ac:dyDescent="0.35">
      <c r="A2951" s="4">
        <v>42591</v>
      </c>
      <c r="B2951" t="s">
        <v>30</v>
      </c>
      <c r="C2951">
        <v>501</v>
      </c>
      <c r="D2951">
        <v>4</v>
      </c>
      <c r="E2951">
        <v>1</v>
      </c>
      <c r="F2951" t="s">
        <v>42</v>
      </c>
      <c r="G2951" t="s">
        <v>32</v>
      </c>
      <c r="H2951" t="s">
        <v>33</v>
      </c>
      <c r="I2951" t="s">
        <v>55</v>
      </c>
      <c r="J2951" t="s">
        <v>66</v>
      </c>
      <c r="O2951" s="5"/>
      <c r="P2951" s="5"/>
    </row>
    <row r="2952" spans="1:30" x14ac:dyDescent="0.35">
      <c r="A2952" s="4">
        <v>42591</v>
      </c>
      <c r="B2952" t="s">
        <v>30</v>
      </c>
      <c r="C2952">
        <v>501</v>
      </c>
      <c r="D2952">
        <v>8</v>
      </c>
      <c r="E2952">
        <v>2</v>
      </c>
      <c r="F2952" t="s">
        <v>42</v>
      </c>
      <c r="G2952" t="s">
        <v>32</v>
      </c>
      <c r="H2952" t="s">
        <v>33</v>
      </c>
      <c r="I2952" t="s">
        <v>55</v>
      </c>
      <c r="J2952" t="s">
        <v>66</v>
      </c>
      <c r="O2952" s="5"/>
      <c r="P2952" s="5"/>
    </row>
    <row r="2953" spans="1:30" x14ac:dyDescent="0.35">
      <c r="A2953" s="4">
        <v>42591</v>
      </c>
      <c r="B2953" t="s">
        <v>30</v>
      </c>
      <c r="C2953">
        <v>501</v>
      </c>
      <c r="D2953">
        <v>9</v>
      </c>
      <c r="E2953">
        <v>2</v>
      </c>
      <c r="F2953" t="s">
        <v>42</v>
      </c>
      <c r="G2953" t="s">
        <v>32</v>
      </c>
      <c r="H2953" t="s">
        <v>33</v>
      </c>
      <c r="I2953" t="s">
        <v>55</v>
      </c>
      <c r="J2953" t="s">
        <v>66</v>
      </c>
      <c r="O2953" s="5"/>
      <c r="P2953" s="5"/>
    </row>
    <row r="2954" spans="1:30" x14ac:dyDescent="0.35">
      <c r="A2954" s="4">
        <v>42591</v>
      </c>
      <c r="B2954" t="s">
        <v>30</v>
      </c>
      <c r="C2954">
        <v>503</v>
      </c>
      <c r="D2954">
        <v>4</v>
      </c>
      <c r="E2954">
        <v>2</v>
      </c>
      <c r="F2954" t="s">
        <v>42</v>
      </c>
      <c r="G2954" t="s">
        <v>32</v>
      </c>
      <c r="H2954" t="s">
        <v>33</v>
      </c>
      <c r="I2954" t="s">
        <v>55</v>
      </c>
      <c r="J2954" t="s">
        <v>123</v>
      </c>
      <c r="O2954" s="5"/>
      <c r="P2954" s="5"/>
    </row>
    <row r="2955" spans="1:30" x14ac:dyDescent="0.35">
      <c r="A2955" s="4">
        <v>42591</v>
      </c>
      <c r="B2955" t="s">
        <v>30</v>
      </c>
      <c r="C2955">
        <v>503</v>
      </c>
      <c r="D2955">
        <v>10</v>
      </c>
      <c r="E2955">
        <v>2</v>
      </c>
      <c r="F2955" t="s">
        <v>42</v>
      </c>
      <c r="G2955" t="s">
        <v>32</v>
      </c>
      <c r="H2955" t="s">
        <v>33</v>
      </c>
      <c r="I2955" t="s">
        <v>55</v>
      </c>
      <c r="J2955" t="s">
        <v>66</v>
      </c>
      <c r="O2955" s="5"/>
      <c r="P2955" s="5"/>
    </row>
    <row r="2956" spans="1:30" x14ac:dyDescent="0.35">
      <c r="A2956" s="4">
        <v>42591</v>
      </c>
      <c r="B2956" t="s">
        <v>30</v>
      </c>
      <c r="C2956">
        <v>303</v>
      </c>
      <c r="D2956">
        <v>4</v>
      </c>
      <c r="E2956">
        <v>1</v>
      </c>
      <c r="F2956" t="s">
        <v>42</v>
      </c>
      <c r="G2956" t="s">
        <v>32</v>
      </c>
      <c r="H2956" t="s">
        <v>33</v>
      </c>
      <c r="I2956" t="s">
        <v>55</v>
      </c>
      <c r="J2956" t="s">
        <v>66</v>
      </c>
      <c r="O2956" s="5"/>
      <c r="P2956" s="5"/>
    </row>
    <row r="2957" spans="1:30" x14ac:dyDescent="0.35">
      <c r="A2957" s="4">
        <v>42591</v>
      </c>
      <c r="B2957" t="s">
        <v>30</v>
      </c>
      <c r="C2957">
        <v>303</v>
      </c>
      <c r="D2957">
        <v>4</v>
      </c>
      <c r="E2957">
        <v>2</v>
      </c>
      <c r="F2957" t="s">
        <v>42</v>
      </c>
      <c r="G2957" t="s">
        <v>32</v>
      </c>
      <c r="H2957" t="s">
        <v>33</v>
      </c>
      <c r="I2957" t="s">
        <v>55</v>
      </c>
      <c r="J2957" t="s">
        <v>66</v>
      </c>
      <c r="O2957" s="5"/>
      <c r="P2957" s="5"/>
    </row>
    <row r="2958" spans="1:30" x14ac:dyDescent="0.35">
      <c r="A2958" s="4">
        <v>42591</v>
      </c>
      <c r="B2958" t="s">
        <v>30</v>
      </c>
      <c r="C2958">
        <v>303</v>
      </c>
      <c r="D2958">
        <v>7</v>
      </c>
      <c r="E2958">
        <v>1</v>
      </c>
      <c r="F2958" t="s">
        <v>42</v>
      </c>
      <c r="G2958" t="s">
        <v>32</v>
      </c>
      <c r="H2958" t="s">
        <v>33</v>
      </c>
      <c r="I2958" t="s">
        <v>55</v>
      </c>
      <c r="J2958" t="s">
        <v>66</v>
      </c>
      <c r="O2958" s="5"/>
      <c r="P2958" s="5"/>
    </row>
    <row r="2959" spans="1:30" x14ac:dyDescent="0.35">
      <c r="A2959" s="4">
        <v>42591</v>
      </c>
      <c r="B2959" t="s">
        <v>30</v>
      </c>
      <c r="C2959">
        <v>401</v>
      </c>
      <c r="D2959">
        <v>2</v>
      </c>
      <c r="E2959">
        <v>1</v>
      </c>
      <c r="F2959" t="s">
        <v>42</v>
      </c>
      <c r="G2959" t="s">
        <v>32</v>
      </c>
      <c r="H2959" t="s">
        <v>33</v>
      </c>
      <c r="I2959" t="s">
        <v>55</v>
      </c>
      <c r="J2959" t="s">
        <v>66</v>
      </c>
      <c r="O2959" s="5"/>
      <c r="P2959" s="5"/>
    </row>
    <row r="2960" spans="1:30" x14ac:dyDescent="0.35">
      <c r="A2960" s="4">
        <v>42591</v>
      </c>
      <c r="B2960" t="s">
        <v>30</v>
      </c>
      <c r="C2960">
        <v>701</v>
      </c>
      <c r="D2960">
        <v>8</v>
      </c>
      <c r="E2960">
        <v>1</v>
      </c>
      <c r="F2960" t="s">
        <v>315</v>
      </c>
      <c r="G2960" t="s">
        <v>32</v>
      </c>
      <c r="H2960" t="s">
        <v>33</v>
      </c>
      <c r="I2960" t="s">
        <v>55</v>
      </c>
      <c r="J2960" t="s">
        <v>66</v>
      </c>
      <c r="O2960" s="5"/>
      <c r="P2960" s="5"/>
    </row>
    <row r="2961" spans="1:16" x14ac:dyDescent="0.35">
      <c r="A2961" s="4">
        <v>42591</v>
      </c>
      <c r="B2961" t="s">
        <v>30</v>
      </c>
      <c r="C2961">
        <v>701</v>
      </c>
      <c r="D2961">
        <v>10</v>
      </c>
      <c r="E2961">
        <v>2</v>
      </c>
      <c r="F2961" t="s">
        <v>315</v>
      </c>
      <c r="G2961" t="s">
        <v>32</v>
      </c>
      <c r="H2961" t="s">
        <v>33</v>
      </c>
      <c r="I2961" t="s">
        <v>55</v>
      </c>
      <c r="J2961" t="s">
        <v>66</v>
      </c>
      <c r="O2961" s="5"/>
      <c r="P2961" s="5"/>
    </row>
    <row r="2962" spans="1:16" x14ac:dyDescent="0.35">
      <c r="A2962" s="4">
        <v>42591</v>
      </c>
      <c r="B2962" t="s">
        <v>30</v>
      </c>
      <c r="C2962">
        <v>801</v>
      </c>
      <c r="D2962">
        <v>2</v>
      </c>
      <c r="E2962">
        <v>1</v>
      </c>
      <c r="F2962" t="s">
        <v>315</v>
      </c>
      <c r="G2962" t="s">
        <v>32</v>
      </c>
      <c r="H2962" t="s">
        <v>33</v>
      </c>
      <c r="I2962" t="s">
        <v>55</v>
      </c>
      <c r="J2962" t="s">
        <v>66</v>
      </c>
      <c r="O2962" s="5"/>
      <c r="P2962" s="5"/>
    </row>
    <row r="2963" spans="1:16" x14ac:dyDescent="0.35">
      <c r="A2963" s="4">
        <v>42591</v>
      </c>
      <c r="B2963" t="s">
        <v>30</v>
      </c>
      <c r="C2963">
        <v>801</v>
      </c>
      <c r="D2963">
        <v>6</v>
      </c>
      <c r="E2963">
        <v>1</v>
      </c>
      <c r="F2963" t="s">
        <v>315</v>
      </c>
      <c r="G2963" t="s">
        <v>32</v>
      </c>
      <c r="H2963" t="s">
        <v>33</v>
      </c>
      <c r="I2963" t="s">
        <v>55</v>
      </c>
      <c r="J2963" t="s">
        <v>66</v>
      </c>
      <c r="O2963" s="5"/>
      <c r="P2963" s="5"/>
    </row>
    <row r="2964" spans="1:16" x14ac:dyDescent="0.35">
      <c r="A2964" s="4">
        <v>42591</v>
      </c>
      <c r="B2964" t="s">
        <v>30</v>
      </c>
      <c r="C2964">
        <v>501</v>
      </c>
      <c r="D2964">
        <v>2</v>
      </c>
      <c r="E2964">
        <v>1</v>
      </c>
      <c r="F2964" t="s">
        <v>42</v>
      </c>
      <c r="G2964" t="s">
        <v>32</v>
      </c>
      <c r="H2964" t="s">
        <v>33</v>
      </c>
      <c r="I2964" t="s">
        <v>59</v>
      </c>
      <c r="O2964" s="5"/>
      <c r="P2964" s="5"/>
    </row>
    <row r="2965" spans="1:16" x14ac:dyDescent="0.35">
      <c r="A2965" s="4">
        <v>42591</v>
      </c>
      <c r="B2965" t="s">
        <v>30</v>
      </c>
      <c r="C2965">
        <v>501</v>
      </c>
      <c r="D2965">
        <v>3</v>
      </c>
      <c r="E2965">
        <v>1</v>
      </c>
      <c r="F2965" t="s">
        <v>42</v>
      </c>
      <c r="G2965" t="s">
        <v>32</v>
      </c>
      <c r="H2965" t="s">
        <v>33</v>
      </c>
      <c r="I2965" t="s">
        <v>59</v>
      </c>
      <c r="O2965" s="5"/>
      <c r="P2965" s="5"/>
    </row>
    <row r="2966" spans="1:16" x14ac:dyDescent="0.35">
      <c r="A2966" s="4">
        <v>42591</v>
      </c>
      <c r="B2966" t="s">
        <v>30</v>
      </c>
      <c r="C2966">
        <v>501</v>
      </c>
      <c r="D2966">
        <v>3</v>
      </c>
      <c r="E2966">
        <v>2</v>
      </c>
      <c r="F2966" t="s">
        <v>42</v>
      </c>
      <c r="G2966" t="s">
        <v>32</v>
      </c>
      <c r="H2966" t="s">
        <v>33</v>
      </c>
      <c r="I2966" t="s">
        <v>59</v>
      </c>
      <c r="O2966" s="5"/>
      <c r="P2966" s="5"/>
    </row>
    <row r="2967" spans="1:16" x14ac:dyDescent="0.35">
      <c r="A2967" s="4">
        <v>42591</v>
      </c>
      <c r="B2967" t="s">
        <v>30</v>
      </c>
      <c r="C2967">
        <v>501</v>
      </c>
      <c r="D2967">
        <v>5</v>
      </c>
      <c r="E2967">
        <v>1</v>
      </c>
      <c r="F2967" t="s">
        <v>42</v>
      </c>
      <c r="G2967" t="s">
        <v>32</v>
      </c>
      <c r="H2967" t="s">
        <v>33</v>
      </c>
      <c r="I2967" t="s">
        <v>59</v>
      </c>
      <c r="O2967" s="5"/>
      <c r="P2967" s="5"/>
    </row>
    <row r="2968" spans="1:16" x14ac:dyDescent="0.35">
      <c r="A2968" s="4">
        <v>42591</v>
      </c>
      <c r="B2968" t="s">
        <v>30</v>
      </c>
      <c r="C2968">
        <v>501</v>
      </c>
      <c r="D2968">
        <v>5</v>
      </c>
      <c r="E2968">
        <v>2</v>
      </c>
      <c r="F2968" t="s">
        <v>42</v>
      </c>
      <c r="G2968" t="s">
        <v>32</v>
      </c>
      <c r="H2968" t="s">
        <v>33</v>
      </c>
      <c r="I2968" t="s">
        <v>59</v>
      </c>
      <c r="O2968" s="5"/>
      <c r="P2968" s="5"/>
    </row>
    <row r="2969" spans="1:16" x14ac:dyDescent="0.35">
      <c r="A2969" s="4">
        <v>42591</v>
      </c>
      <c r="B2969" t="s">
        <v>30</v>
      </c>
      <c r="C2969">
        <v>501</v>
      </c>
      <c r="D2969">
        <v>6</v>
      </c>
      <c r="E2969">
        <v>1</v>
      </c>
      <c r="F2969" t="s">
        <v>42</v>
      </c>
      <c r="G2969" t="s">
        <v>32</v>
      </c>
      <c r="H2969" t="s">
        <v>33</v>
      </c>
      <c r="I2969" t="s">
        <v>59</v>
      </c>
      <c r="O2969" s="5"/>
      <c r="P2969" s="5"/>
    </row>
    <row r="2970" spans="1:16" x14ac:dyDescent="0.35">
      <c r="A2970" s="4">
        <v>42591</v>
      </c>
      <c r="B2970" t="s">
        <v>30</v>
      </c>
      <c r="C2970">
        <v>501</v>
      </c>
      <c r="D2970">
        <v>7</v>
      </c>
      <c r="E2970">
        <v>1</v>
      </c>
      <c r="F2970" t="s">
        <v>42</v>
      </c>
      <c r="G2970" t="s">
        <v>32</v>
      </c>
      <c r="H2970" t="s">
        <v>33</v>
      </c>
      <c r="I2970" t="s">
        <v>59</v>
      </c>
      <c r="O2970" s="5"/>
      <c r="P2970" s="5"/>
    </row>
    <row r="2971" spans="1:16" x14ac:dyDescent="0.35">
      <c r="A2971" s="4">
        <v>42591</v>
      </c>
      <c r="B2971" t="s">
        <v>30</v>
      </c>
      <c r="C2971">
        <v>501</v>
      </c>
      <c r="D2971">
        <v>7</v>
      </c>
      <c r="E2971">
        <v>2</v>
      </c>
      <c r="F2971" t="s">
        <v>42</v>
      </c>
      <c r="G2971" t="s">
        <v>32</v>
      </c>
      <c r="H2971" t="s">
        <v>33</v>
      </c>
      <c r="I2971" t="s">
        <v>59</v>
      </c>
      <c r="O2971" s="5"/>
      <c r="P2971" s="5"/>
    </row>
    <row r="2972" spans="1:16" x14ac:dyDescent="0.35">
      <c r="A2972" s="4">
        <v>42591</v>
      </c>
      <c r="B2972" t="s">
        <v>30</v>
      </c>
      <c r="C2972">
        <v>501</v>
      </c>
      <c r="D2972">
        <v>8</v>
      </c>
      <c r="E2972">
        <v>1</v>
      </c>
      <c r="F2972" t="s">
        <v>42</v>
      </c>
      <c r="G2972" t="s">
        <v>32</v>
      </c>
      <c r="H2972" t="s">
        <v>33</v>
      </c>
      <c r="I2972" t="s">
        <v>59</v>
      </c>
      <c r="O2972" s="5"/>
      <c r="P2972" s="5"/>
    </row>
    <row r="2973" spans="1:16" x14ac:dyDescent="0.35">
      <c r="A2973" s="4">
        <v>42591</v>
      </c>
      <c r="B2973" t="s">
        <v>30</v>
      </c>
      <c r="C2973">
        <v>503</v>
      </c>
      <c r="D2973">
        <v>1</v>
      </c>
      <c r="E2973">
        <v>1</v>
      </c>
      <c r="F2973" t="s">
        <v>42</v>
      </c>
      <c r="G2973" t="s">
        <v>32</v>
      </c>
      <c r="H2973" t="s">
        <v>33</v>
      </c>
      <c r="I2973" t="s">
        <v>59</v>
      </c>
      <c r="O2973" s="5"/>
      <c r="P2973" s="5"/>
    </row>
    <row r="2974" spans="1:16" x14ac:dyDescent="0.35">
      <c r="A2974" s="4">
        <v>42591</v>
      </c>
      <c r="B2974" t="s">
        <v>30</v>
      </c>
      <c r="C2974">
        <v>503</v>
      </c>
      <c r="D2974">
        <v>1</v>
      </c>
      <c r="E2974">
        <v>2</v>
      </c>
      <c r="F2974" t="s">
        <v>42</v>
      </c>
      <c r="G2974" t="s">
        <v>32</v>
      </c>
      <c r="H2974" t="s">
        <v>33</v>
      </c>
      <c r="I2974" t="s">
        <v>59</v>
      </c>
      <c r="O2974" s="5"/>
      <c r="P2974" s="5"/>
    </row>
    <row r="2975" spans="1:16" x14ac:dyDescent="0.35">
      <c r="A2975" s="4">
        <v>42591</v>
      </c>
      <c r="B2975" t="s">
        <v>30</v>
      </c>
      <c r="C2975">
        <v>503</v>
      </c>
      <c r="D2975">
        <v>2</v>
      </c>
      <c r="E2975">
        <v>1</v>
      </c>
      <c r="F2975" t="s">
        <v>42</v>
      </c>
      <c r="G2975" t="s">
        <v>32</v>
      </c>
      <c r="H2975" t="s">
        <v>33</v>
      </c>
      <c r="I2975" t="s">
        <v>59</v>
      </c>
      <c r="O2975" s="5"/>
      <c r="P2975" s="5"/>
    </row>
    <row r="2976" spans="1:16" x14ac:dyDescent="0.35">
      <c r="A2976" s="4">
        <v>42591</v>
      </c>
      <c r="B2976" t="s">
        <v>30</v>
      </c>
      <c r="C2976">
        <v>503</v>
      </c>
      <c r="D2976">
        <v>2</v>
      </c>
      <c r="E2976">
        <v>2</v>
      </c>
      <c r="F2976" t="s">
        <v>42</v>
      </c>
      <c r="G2976" t="s">
        <v>32</v>
      </c>
      <c r="H2976" t="s">
        <v>33</v>
      </c>
      <c r="I2976" t="s">
        <v>59</v>
      </c>
      <c r="O2976" s="5"/>
      <c r="P2976" s="5"/>
    </row>
    <row r="2977" spans="1:16" x14ac:dyDescent="0.35">
      <c r="A2977" s="4">
        <v>42591</v>
      </c>
      <c r="B2977" t="s">
        <v>30</v>
      </c>
      <c r="C2977">
        <v>503</v>
      </c>
      <c r="D2977">
        <v>3</v>
      </c>
      <c r="E2977">
        <v>1</v>
      </c>
      <c r="F2977" t="s">
        <v>42</v>
      </c>
      <c r="G2977" t="s">
        <v>32</v>
      </c>
      <c r="H2977" t="s">
        <v>33</v>
      </c>
      <c r="I2977" t="s">
        <v>59</v>
      </c>
      <c r="O2977" s="5"/>
      <c r="P2977" s="5"/>
    </row>
    <row r="2978" spans="1:16" x14ac:dyDescent="0.35">
      <c r="A2978" s="4">
        <v>42591</v>
      </c>
      <c r="B2978" t="s">
        <v>30</v>
      </c>
      <c r="C2978">
        <v>503</v>
      </c>
      <c r="D2978">
        <v>3</v>
      </c>
      <c r="E2978">
        <v>2</v>
      </c>
      <c r="F2978" t="s">
        <v>42</v>
      </c>
      <c r="G2978" t="s">
        <v>32</v>
      </c>
      <c r="H2978" t="s">
        <v>33</v>
      </c>
      <c r="I2978" t="s">
        <v>59</v>
      </c>
      <c r="O2978" s="5"/>
      <c r="P2978" s="5"/>
    </row>
    <row r="2979" spans="1:16" x14ac:dyDescent="0.35">
      <c r="A2979" s="4">
        <v>42591</v>
      </c>
      <c r="B2979" t="s">
        <v>30</v>
      </c>
      <c r="C2979">
        <v>503</v>
      </c>
      <c r="D2979">
        <v>4</v>
      </c>
      <c r="E2979">
        <v>1</v>
      </c>
      <c r="F2979" t="s">
        <v>42</v>
      </c>
      <c r="G2979" t="s">
        <v>32</v>
      </c>
      <c r="H2979" t="s">
        <v>33</v>
      </c>
      <c r="I2979" t="s">
        <v>59</v>
      </c>
      <c r="O2979" s="5"/>
      <c r="P2979" s="5"/>
    </row>
    <row r="2980" spans="1:16" x14ac:dyDescent="0.35">
      <c r="A2980" s="4">
        <v>42591</v>
      </c>
      <c r="B2980" t="s">
        <v>30</v>
      </c>
      <c r="C2980">
        <v>503</v>
      </c>
      <c r="D2980">
        <v>7</v>
      </c>
      <c r="E2980">
        <v>1</v>
      </c>
      <c r="F2980" t="s">
        <v>42</v>
      </c>
      <c r="G2980" t="s">
        <v>32</v>
      </c>
      <c r="H2980" t="s">
        <v>33</v>
      </c>
      <c r="I2980" t="s">
        <v>59</v>
      </c>
      <c r="O2980" s="5"/>
      <c r="P2980" s="5"/>
    </row>
    <row r="2981" spans="1:16" x14ac:dyDescent="0.35">
      <c r="A2981" s="4">
        <v>42591</v>
      </c>
      <c r="B2981" t="s">
        <v>30</v>
      </c>
      <c r="C2981">
        <v>503</v>
      </c>
      <c r="D2981">
        <v>8</v>
      </c>
      <c r="E2981">
        <v>2</v>
      </c>
      <c r="F2981" t="s">
        <v>42</v>
      </c>
      <c r="G2981" t="s">
        <v>32</v>
      </c>
      <c r="H2981" t="s">
        <v>33</v>
      </c>
      <c r="I2981" t="s">
        <v>59</v>
      </c>
      <c r="O2981" s="5"/>
      <c r="P2981" s="5"/>
    </row>
    <row r="2982" spans="1:16" x14ac:dyDescent="0.35">
      <c r="A2982" s="4">
        <v>42591</v>
      </c>
      <c r="B2982" t="s">
        <v>30</v>
      </c>
      <c r="C2982">
        <v>503</v>
      </c>
      <c r="D2982">
        <v>9</v>
      </c>
      <c r="E2982">
        <v>1</v>
      </c>
      <c r="F2982" t="s">
        <v>42</v>
      </c>
      <c r="G2982" t="s">
        <v>32</v>
      </c>
      <c r="H2982" t="s">
        <v>33</v>
      </c>
      <c r="I2982" t="s">
        <v>59</v>
      </c>
      <c r="O2982" s="5"/>
      <c r="P2982" s="5"/>
    </row>
    <row r="2983" spans="1:16" x14ac:dyDescent="0.35">
      <c r="A2983" s="4">
        <v>42591</v>
      </c>
      <c r="B2983" t="s">
        <v>30</v>
      </c>
      <c r="C2983">
        <v>503</v>
      </c>
      <c r="D2983">
        <v>10</v>
      </c>
      <c r="E2983">
        <v>1</v>
      </c>
      <c r="F2983" t="s">
        <v>42</v>
      </c>
      <c r="G2983" t="s">
        <v>32</v>
      </c>
      <c r="H2983" t="s">
        <v>33</v>
      </c>
      <c r="I2983" t="s">
        <v>59</v>
      </c>
      <c r="O2983" s="5"/>
      <c r="P2983" s="5"/>
    </row>
    <row r="2984" spans="1:16" x14ac:dyDescent="0.35">
      <c r="A2984" s="4">
        <v>42591</v>
      </c>
      <c r="B2984" t="s">
        <v>30</v>
      </c>
      <c r="C2984">
        <v>303</v>
      </c>
      <c r="D2984">
        <v>2</v>
      </c>
      <c r="E2984">
        <v>1</v>
      </c>
      <c r="F2984" t="s">
        <v>42</v>
      </c>
      <c r="G2984" t="s">
        <v>32</v>
      </c>
      <c r="H2984" t="s">
        <v>33</v>
      </c>
      <c r="I2984" t="s">
        <v>59</v>
      </c>
      <c r="O2984" s="5"/>
      <c r="P2984" s="5"/>
    </row>
    <row r="2985" spans="1:16" x14ac:dyDescent="0.35">
      <c r="A2985" s="4">
        <v>42591</v>
      </c>
      <c r="B2985" t="s">
        <v>30</v>
      </c>
      <c r="C2985">
        <v>303</v>
      </c>
      <c r="D2985">
        <v>3</v>
      </c>
      <c r="E2985">
        <v>1</v>
      </c>
      <c r="F2985" t="s">
        <v>42</v>
      </c>
      <c r="G2985" t="s">
        <v>32</v>
      </c>
      <c r="H2985" t="s">
        <v>33</v>
      </c>
      <c r="I2985" t="s">
        <v>59</v>
      </c>
      <c r="O2985" s="5"/>
      <c r="P2985" s="5"/>
    </row>
    <row r="2986" spans="1:16" x14ac:dyDescent="0.35">
      <c r="A2986" s="4">
        <v>42591</v>
      </c>
      <c r="B2986" t="s">
        <v>30</v>
      </c>
      <c r="C2986">
        <v>303</v>
      </c>
      <c r="D2986">
        <v>5</v>
      </c>
      <c r="E2986">
        <v>1</v>
      </c>
      <c r="F2986" t="s">
        <v>42</v>
      </c>
      <c r="G2986" t="s">
        <v>32</v>
      </c>
      <c r="H2986" t="s">
        <v>33</v>
      </c>
      <c r="I2986" t="s">
        <v>59</v>
      </c>
      <c r="O2986" s="5"/>
      <c r="P2986" s="5"/>
    </row>
    <row r="2987" spans="1:16" x14ac:dyDescent="0.35">
      <c r="A2987" s="4">
        <v>42591</v>
      </c>
      <c r="B2987" t="s">
        <v>30</v>
      </c>
      <c r="C2987">
        <v>303</v>
      </c>
      <c r="D2987">
        <v>5</v>
      </c>
      <c r="E2987">
        <v>2</v>
      </c>
      <c r="F2987" t="s">
        <v>42</v>
      </c>
      <c r="G2987" t="s">
        <v>32</v>
      </c>
      <c r="H2987" t="s">
        <v>33</v>
      </c>
      <c r="I2987" t="s">
        <v>59</v>
      </c>
      <c r="O2987" s="5"/>
      <c r="P2987" s="5"/>
    </row>
    <row r="2988" spans="1:16" x14ac:dyDescent="0.35">
      <c r="A2988" s="4">
        <v>42591</v>
      </c>
      <c r="B2988" t="s">
        <v>30</v>
      </c>
      <c r="C2988">
        <v>303</v>
      </c>
      <c r="D2988">
        <v>8</v>
      </c>
      <c r="E2988">
        <v>1</v>
      </c>
      <c r="F2988" t="s">
        <v>42</v>
      </c>
      <c r="G2988" t="s">
        <v>32</v>
      </c>
      <c r="H2988" t="s">
        <v>33</v>
      </c>
      <c r="I2988" t="s">
        <v>59</v>
      </c>
      <c r="O2988" s="5"/>
      <c r="P2988" s="5"/>
    </row>
    <row r="2989" spans="1:16" x14ac:dyDescent="0.35">
      <c r="A2989" s="4">
        <v>42591</v>
      </c>
      <c r="B2989" t="s">
        <v>30</v>
      </c>
      <c r="C2989">
        <v>303</v>
      </c>
      <c r="D2989">
        <v>8</v>
      </c>
      <c r="E2989">
        <v>2</v>
      </c>
      <c r="F2989" t="s">
        <v>42</v>
      </c>
      <c r="G2989" t="s">
        <v>32</v>
      </c>
      <c r="H2989" t="s">
        <v>33</v>
      </c>
      <c r="I2989" t="s">
        <v>59</v>
      </c>
      <c r="O2989" s="5"/>
      <c r="P2989" s="5"/>
    </row>
    <row r="2990" spans="1:16" x14ac:dyDescent="0.35">
      <c r="A2990" s="4">
        <v>42591</v>
      </c>
      <c r="B2990" t="s">
        <v>30</v>
      </c>
      <c r="C2990">
        <v>303</v>
      </c>
      <c r="D2990">
        <v>10</v>
      </c>
      <c r="E2990">
        <v>1</v>
      </c>
      <c r="F2990" t="s">
        <v>42</v>
      </c>
      <c r="G2990" t="s">
        <v>32</v>
      </c>
      <c r="H2990" t="s">
        <v>33</v>
      </c>
      <c r="I2990" t="s">
        <v>59</v>
      </c>
      <c r="O2990" s="5"/>
      <c r="P2990" s="5"/>
    </row>
    <row r="2991" spans="1:16" x14ac:dyDescent="0.35">
      <c r="A2991" s="4">
        <v>42591</v>
      </c>
      <c r="B2991" t="s">
        <v>30</v>
      </c>
      <c r="C2991">
        <v>401</v>
      </c>
      <c r="D2991">
        <v>1</v>
      </c>
      <c r="E2991">
        <v>1</v>
      </c>
      <c r="F2991" t="s">
        <v>42</v>
      </c>
      <c r="G2991" t="s">
        <v>32</v>
      </c>
      <c r="H2991" t="s">
        <v>33</v>
      </c>
      <c r="I2991" t="s">
        <v>59</v>
      </c>
      <c r="O2991" s="5"/>
      <c r="P2991" s="5"/>
    </row>
    <row r="2992" spans="1:16" x14ac:dyDescent="0.35">
      <c r="A2992" s="4">
        <v>42591</v>
      </c>
      <c r="B2992" t="s">
        <v>30</v>
      </c>
      <c r="C2992">
        <v>401</v>
      </c>
      <c r="D2992">
        <v>3</v>
      </c>
      <c r="E2992">
        <v>1</v>
      </c>
      <c r="F2992" t="s">
        <v>42</v>
      </c>
      <c r="G2992" t="s">
        <v>32</v>
      </c>
      <c r="H2992" t="s">
        <v>33</v>
      </c>
      <c r="I2992" t="s">
        <v>59</v>
      </c>
      <c r="O2992" s="5"/>
      <c r="P2992" s="5"/>
    </row>
    <row r="2993" spans="1:16" x14ac:dyDescent="0.35">
      <c r="A2993" s="4">
        <v>42591</v>
      </c>
      <c r="B2993" t="s">
        <v>30</v>
      </c>
      <c r="C2993">
        <v>401</v>
      </c>
      <c r="D2993">
        <v>4</v>
      </c>
      <c r="E2993">
        <v>1</v>
      </c>
      <c r="F2993" t="s">
        <v>42</v>
      </c>
      <c r="G2993" t="s">
        <v>32</v>
      </c>
      <c r="H2993" t="s">
        <v>33</v>
      </c>
      <c r="I2993" t="s">
        <v>59</v>
      </c>
      <c r="O2993" s="5"/>
      <c r="P2993" s="5"/>
    </row>
    <row r="2994" spans="1:16" x14ac:dyDescent="0.35">
      <c r="A2994" s="4">
        <v>42591</v>
      </c>
      <c r="B2994" t="s">
        <v>30</v>
      </c>
      <c r="C2994">
        <v>401</v>
      </c>
      <c r="D2994">
        <v>4</v>
      </c>
      <c r="E2994">
        <v>2</v>
      </c>
      <c r="F2994" t="s">
        <v>42</v>
      </c>
      <c r="G2994" t="s">
        <v>32</v>
      </c>
      <c r="H2994" t="s">
        <v>33</v>
      </c>
      <c r="I2994" t="s">
        <v>59</v>
      </c>
      <c r="O2994" s="5"/>
      <c r="P2994" s="5"/>
    </row>
    <row r="2995" spans="1:16" x14ac:dyDescent="0.35">
      <c r="A2995" s="4">
        <v>42591</v>
      </c>
      <c r="B2995" t="s">
        <v>30</v>
      </c>
      <c r="C2995">
        <v>401</v>
      </c>
      <c r="D2995">
        <v>9</v>
      </c>
      <c r="E2995">
        <v>1</v>
      </c>
      <c r="F2995" t="s">
        <v>42</v>
      </c>
      <c r="G2995" t="s">
        <v>32</v>
      </c>
      <c r="H2995" t="s">
        <v>33</v>
      </c>
      <c r="I2995" t="s">
        <v>59</v>
      </c>
      <c r="O2995" s="5"/>
      <c r="P2995" s="5"/>
    </row>
    <row r="2996" spans="1:16" x14ac:dyDescent="0.35">
      <c r="A2996" s="4">
        <v>42591</v>
      </c>
      <c r="B2996" t="s">
        <v>30</v>
      </c>
      <c r="C2996">
        <v>703</v>
      </c>
      <c r="D2996">
        <v>2</v>
      </c>
      <c r="E2996">
        <v>2</v>
      </c>
      <c r="F2996" t="s">
        <v>315</v>
      </c>
      <c r="G2996" t="s">
        <v>32</v>
      </c>
      <c r="H2996" t="s">
        <v>33</v>
      </c>
      <c r="I2996" t="s">
        <v>59</v>
      </c>
      <c r="O2996" s="5"/>
      <c r="P2996" s="5"/>
    </row>
    <row r="2997" spans="1:16" x14ac:dyDescent="0.35">
      <c r="A2997" s="4">
        <v>42591</v>
      </c>
      <c r="B2997" t="s">
        <v>30</v>
      </c>
      <c r="C2997">
        <v>703</v>
      </c>
      <c r="D2997">
        <v>4</v>
      </c>
      <c r="E2997">
        <v>1</v>
      </c>
      <c r="F2997" t="s">
        <v>315</v>
      </c>
      <c r="G2997" t="s">
        <v>32</v>
      </c>
      <c r="H2997" t="s">
        <v>33</v>
      </c>
      <c r="I2997" t="s">
        <v>59</v>
      </c>
      <c r="O2997" s="5"/>
      <c r="P2997" s="5"/>
    </row>
    <row r="2998" spans="1:16" x14ac:dyDescent="0.35">
      <c r="A2998" s="4">
        <v>42591</v>
      </c>
      <c r="B2998" t="s">
        <v>30</v>
      </c>
      <c r="C2998">
        <v>703</v>
      </c>
      <c r="D2998">
        <v>4</v>
      </c>
      <c r="E2998">
        <v>2</v>
      </c>
      <c r="F2998" t="s">
        <v>315</v>
      </c>
      <c r="G2998" t="s">
        <v>32</v>
      </c>
      <c r="H2998" t="s">
        <v>33</v>
      </c>
      <c r="I2998" t="s">
        <v>59</v>
      </c>
      <c r="O2998" s="5"/>
      <c r="P2998" s="5"/>
    </row>
    <row r="2999" spans="1:16" x14ac:dyDescent="0.35">
      <c r="A2999" s="4">
        <v>42591</v>
      </c>
      <c r="B2999" t="s">
        <v>30</v>
      </c>
      <c r="C2999">
        <v>703</v>
      </c>
      <c r="D2999">
        <v>5</v>
      </c>
      <c r="E2999">
        <v>1</v>
      </c>
      <c r="F2999" t="s">
        <v>315</v>
      </c>
      <c r="G2999" t="s">
        <v>32</v>
      </c>
      <c r="H2999" t="s">
        <v>33</v>
      </c>
      <c r="I2999" t="s">
        <v>59</v>
      </c>
      <c r="O2999" s="5"/>
      <c r="P2999" s="5"/>
    </row>
    <row r="3000" spans="1:16" x14ac:dyDescent="0.35">
      <c r="A3000" s="4">
        <v>42591</v>
      </c>
      <c r="B3000" t="s">
        <v>30</v>
      </c>
      <c r="C3000">
        <v>703</v>
      </c>
      <c r="D3000">
        <v>5</v>
      </c>
      <c r="E3000">
        <v>2</v>
      </c>
      <c r="F3000" t="s">
        <v>315</v>
      </c>
      <c r="G3000" t="s">
        <v>32</v>
      </c>
      <c r="H3000" t="s">
        <v>33</v>
      </c>
      <c r="I3000" t="s">
        <v>59</v>
      </c>
      <c r="O3000" s="5"/>
      <c r="P3000" s="5"/>
    </row>
    <row r="3001" spans="1:16" x14ac:dyDescent="0.35">
      <c r="A3001" s="4">
        <v>42591</v>
      </c>
      <c r="B3001" t="s">
        <v>30</v>
      </c>
      <c r="C3001">
        <v>703</v>
      </c>
      <c r="D3001">
        <v>6</v>
      </c>
      <c r="E3001">
        <v>1</v>
      </c>
      <c r="F3001" t="s">
        <v>315</v>
      </c>
      <c r="G3001" t="s">
        <v>32</v>
      </c>
      <c r="H3001" t="s">
        <v>33</v>
      </c>
      <c r="I3001" t="s">
        <v>59</v>
      </c>
      <c r="O3001" s="5"/>
      <c r="P3001" s="5"/>
    </row>
    <row r="3002" spans="1:16" x14ac:dyDescent="0.35">
      <c r="A3002" s="4">
        <v>42591</v>
      </c>
      <c r="B3002" t="s">
        <v>30</v>
      </c>
      <c r="C3002">
        <v>703</v>
      </c>
      <c r="D3002">
        <v>7</v>
      </c>
      <c r="E3002">
        <v>2</v>
      </c>
      <c r="F3002" t="s">
        <v>315</v>
      </c>
      <c r="G3002" t="s">
        <v>32</v>
      </c>
      <c r="H3002" t="s">
        <v>33</v>
      </c>
      <c r="I3002" t="s">
        <v>59</v>
      </c>
      <c r="O3002" s="5"/>
      <c r="P3002" s="5"/>
    </row>
    <row r="3003" spans="1:16" x14ac:dyDescent="0.35">
      <c r="A3003" s="4">
        <v>42591</v>
      </c>
      <c r="B3003" t="s">
        <v>30</v>
      </c>
      <c r="C3003">
        <v>703</v>
      </c>
      <c r="D3003">
        <v>8</v>
      </c>
      <c r="E3003">
        <v>1</v>
      </c>
      <c r="F3003" t="s">
        <v>315</v>
      </c>
      <c r="G3003" t="s">
        <v>32</v>
      </c>
      <c r="H3003" t="s">
        <v>33</v>
      </c>
      <c r="I3003" t="s">
        <v>59</v>
      </c>
      <c r="O3003" s="5"/>
      <c r="P3003" s="5"/>
    </row>
    <row r="3004" spans="1:16" x14ac:dyDescent="0.35">
      <c r="A3004" s="4">
        <v>42591</v>
      </c>
      <c r="B3004" t="s">
        <v>30</v>
      </c>
      <c r="C3004">
        <v>703</v>
      </c>
      <c r="D3004">
        <v>10</v>
      </c>
      <c r="E3004">
        <v>1</v>
      </c>
      <c r="F3004" t="s">
        <v>315</v>
      </c>
      <c r="G3004" t="s">
        <v>32</v>
      </c>
      <c r="H3004" t="s">
        <v>33</v>
      </c>
      <c r="I3004" t="s">
        <v>59</v>
      </c>
      <c r="O3004" s="5"/>
      <c r="P3004" s="5"/>
    </row>
    <row r="3005" spans="1:16" x14ac:dyDescent="0.35">
      <c r="A3005" s="4">
        <v>42591</v>
      </c>
      <c r="B3005" t="s">
        <v>30</v>
      </c>
      <c r="C3005">
        <v>703</v>
      </c>
      <c r="D3005">
        <v>10</v>
      </c>
      <c r="E3005">
        <v>2</v>
      </c>
      <c r="F3005" t="s">
        <v>315</v>
      </c>
      <c r="G3005" t="s">
        <v>32</v>
      </c>
      <c r="H3005" t="s">
        <v>33</v>
      </c>
      <c r="I3005" t="s">
        <v>59</v>
      </c>
      <c r="O3005" s="5"/>
      <c r="P3005" s="5"/>
    </row>
    <row r="3006" spans="1:16" x14ac:dyDescent="0.35">
      <c r="A3006" s="4">
        <v>42591</v>
      </c>
      <c r="B3006" t="s">
        <v>30</v>
      </c>
      <c r="C3006">
        <v>701</v>
      </c>
      <c r="D3006">
        <v>2</v>
      </c>
      <c r="E3006">
        <v>1</v>
      </c>
      <c r="F3006" t="s">
        <v>315</v>
      </c>
      <c r="G3006" t="s">
        <v>32</v>
      </c>
      <c r="H3006" t="s">
        <v>33</v>
      </c>
      <c r="I3006" t="s">
        <v>59</v>
      </c>
      <c r="O3006" s="5"/>
      <c r="P3006" s="5"/>
    </row>
    <row r="3007" spans="1:16" x14ac:dyDescent="0.35">
      <c r="A3007" s="4">
        <v>42591</v>
      </c>
      <c r="B3007" t="s">
        <v>30</v>
      </c>
      <c r="C3007">
        <v>701</v>
      </c>
      <c r="D3007">
        <v>2</v>
      </c>
      <c r="E3007">
        <v>2</v>
      </c>
      <c r="F3007" t="s">
        <v>315</v>
      </c>
      <c r="G3007" t="s">
        <v>32</v>
      </c>
      <c r="H3007" t="s">
        <v>33</v>
      </c>
      <c r="I3007" t="s">
        <v>59</v>
      </c>
      <c r="O3007" s="5"/>
      <c r="P3007" s="5"/>
    </row>
    <row r="3008" spans="1:16" x14ac:dyDescent="0.35">
      <c r="A3008" s="4">
        <v>42591</v>
      </c>
      <c r="B3008" t="s">
        <v>30</v>
      </c>
      <c r="C3008">
        <v>701</v>
      </c>
      <c r="D3008">
        <v>3</v>
      </c>
      <c r="E3008">
        <v>1</v>
      </c>
      <c r="F3008" t="s">
        <v>315</v>
      </c>
      <c r="G3008" t="s">
        <v>32</v>
      </c>
      <c r="H3008" t="s">
        <v>33</v>
      </c>
      <c r="I3008" t="s">
        <v>59</v>
      </c>
      <c r="O3008" s="5"/>
      <c r="P3008" s="5"/>
    </row>
    <row r="3009" spans="1:29" x14ac:dyDescent="0.35">
      <c r="A3009" s="4">
        <v>42591</v>
      </c>
      <c r="B3009" t="s">
        <v>30</v>
      </c>
      <c r="C3009">
        <v>701</v>
      </c>
      <c r="D3009">
        <v>4</v>
      </c>
      <c r="E3009">
        <v>2</v>
      </c>
      <c r="F3009" t="s">
        <v>315</v>
      </c>
      <c r="G3009" t="s">
        <v>32</v>
      </c>
      <c r="H3009" t="s">
        <v>33</v>
      </c>
      <c r="I3009" t="s">
        <v>59</v>
      </c>
      <c r="O3009" s="5"/>
      <c r="P3009" s="5"/>
    </row>
    <row r="3010" spans="1:29" x14ac:dyDescent="0.35">
      <c r="A3010" s="4">
        <v>42591</v>
      </c>
      <c r="B3010" t="s">
        <v>30</v>
      </c>
      <c r="C3010">
        <v>701</v>
      </c>
      <c r="D3010">
        <v>7</v>
      </c>
      <c r="E3010">
        <v>1</v>
      </c>
      <c r="F3010" t="s">
        <v>315</v>
      </c>
      <c r="G3010" t="s">
        <v>32</v>
      </c>
      <c r="H3010" t="s">
        <v>33</v>
      </c>
      <c r="I3010" t="s">
        <v>59</v>
      </c>
      <c r="O3010" s="5"/>
      <c r="P3010" s="5"/>
    </row>
    <row r="3011" spans="1:29" x14ac:dyDescent="0.35">
      <c r="A3011" s="4">
        <v>42591</v>
      </c>
      <c r="B3011" t="s">
        <v>30</v>
      </c>
      <c r="C3011">
        <v>701</v>
      </c>
      <c r="D3011">
        <v>7</v>
      </c>
      <c r="E3011">
        <v>2</v>
      </c>
      <c r="F3011" t="s">
        <v>315</v>
      </c>
      <c r="G3011" t="s">
        <v>32</v>
      </c>
      <c r="H3011" t="s">
        <v>33</v>
      </c>
      <c r="I3011" t="s">
        <v>59</v>
      </c>
      <c r="O3011" s="5"/>
      <c r="P3011" s="5"/>
    </row>
    <row r="3012" spans="1:29" x14ac:dyDescent="0.35">
      <c r="A3012" s="4">
        <v>42591</v>
      </c>
      <c r="B3012" t="s">
        <v>30</v>
      </c>
      <c r="C3012">
        <v>701</v>
      </c>
      <c r="D3012">
        <v>10</v>
      </c>
      <c r="E3012">
        <v>1</v>
      </c>
      <c r="F3012" t="s">
        <v>315</v>
      </c>
      <c r="G3012" t="s">
        <v>32</v>
      </c>
      <c r="H3012" t="s">
        <v>33</v>
      </c>
      <c r="I3012" t="s">
        <v>59</v>
      </c>
      <c r="O3012" s="5"/>
      <c r="P3012" s="5"/>
    </row>
    <row r="3013" spans="1:29" x14ac:dyDescent="0.35">
      <c r="A3013" s="4">
        <v>42591</v>
      </c>
      <c r="B3013" t="s">
        <v>30</v>
      </c>
      <c r="C3013">
        <v>801</v>
      </c>
      <c r="D3013">
        <v>8</v>
      </c>
      <c r="E3013">
        <v>1</v>
      </c>
      <c r="F3013" t="s">
        <v>315</v>
      </c>
      <c r="G3013" t="s">
        <v>32</v>
      </c>
      <c r="H3013" t="s">
        <v>33</v>
      </c>
      <c r="I3013" t="s">
        <v>59</v>
      </c>
      <c r="O3013" s="5"/>
      <c r="P3013" s="5"/>
    </row>
    <row r="3014" spans="1:29" x14ac:dyDescent="0.35">
      <c r="A3014" s="4">
        <v>42591</v>
      </c>
      <c r="B3014" t="s">
        <v>30</v>
      </c>
      <c r="C3014">
        <v>801</v>
      </c>
      <c r="D3014">
        <v>9</v>
      </c>
      <c r="E3014">
        <v>1</v>
      </c>
      <c r="F3014" t="s">
        <v>315</v>
      </c>
      <c r="G3014" t="s">
        <v>32</v>
      </c>
      <c r="H3014" t="s">
        <v>33</v>
      </c>
      <c r="I3014" t="s">
        <v>59</v>
      </c>
      <c r="O3014" s="5"/>
      <c r="P3014" s="5"/>
    </row>
    <row r="3015" spans="1:29" x14ac:dyDescent="0.35">
      <c r="A3015" s="4">
        <v>42591</v>
      </c>
      <c r="B3015" t="s">
        <v>30</v>
      </c>
      <c r="C3015">
        <v>803</v>
      </c>
      <c r="D3015">
        <v>8</v>
      </c>
      <c r="E3015">
        <v>1</v>
      </c>
      <c r="F3015" t="s">
        <v>315</v>
      </c>
      <c r="G3015" t="s">
        <v>32</v>
      </c>
      <c r="H3015" t="s">
        <v>33</v>
      </c>
      <c r="I3015" t="s">
        <v>59</v>
      </c>
      <c r="O3015" s="5"/>
      <c r="P3015" s="5"/>
    </row>
    <row r="3016" spans="1:29" x14ac:dyDescent="0.35">
      <c r="A3016" s="4">
        <v>42591</v>
      </c>
      <c r="B3016" t="s">
        <v>30</v>
      </c>
      <c r="C3016">
        <v>803</v>
      </c>
      <c r="D3016">
        <v>8</v>
      </c>
      <c r="E3016">
        <v>2</v>
      </c>
      <c r="F3016" t="s">
        <v>315</v>
      </c>
      <c r="G3016" t="s">
        <v>32</v>
      </c>
      <c r="H3016" t="s">
        <v>33</v>
      </c>
      <c r="I3016" t="s">
        <v>59</v>
      </c>
      <c r="O3016" s="5"/>
      <c r="P3016" s="5"/>
    </row>
    <row r="3017" spans="1:29" x14ac:dyDescent="0.35">
      <c r="A3017" s="4">
        <v>42591</v>
      </c>
      <c r="B3017" t="s">
        <v>30</v>
      </c>
      <c r="C3017">
        <v>803</v>
      </c>
      <c r="D3017">
        <v>7</v>
      </c>
      <c r="E3017">
        <v>1</v>
      </c>
      <c r="F3017" t="s">
        <v>315</v>
      </c>
      <c r="G3017" t="s">
        <v>32</v>
      </c>
      <c r="H3017" t="s">
        <v>33</v>
      </c>
      <c r="I3017" t="s">
        <v>59</v>
      </c>
      <c r="O3017" s="5"/>
      <c r="P3017" s="5"/>
    </row>
    <row r="3018" spans="1:29" x14ac:dyDescent="0.35">
      <c r="A3018" s="4">
        <v>42591</v>
      </c>
      <c r="B3018" t="s">
        <v>30</v>
      </c>
      <c r="C3018">
        <v>803</v>
      </c>
      <c r="D3018">
        <v>6</v>
      </c>
      <c r="E3018">
        <v>1</v>
      </c>
      <c r="F3018" t="s">
        <v>315</v>
      </c>
      <c r="G3018" t="s">
        <v>32</v>
      </c>
      <c r="H3018" t="s">
        <v>33</v>
      </c>
      <c r="I3018" t="s">
        <v>59</v>
      </c>
      <c r="O3018" s="5"/>
      <c r="P3018" s="5"/>
    </row>
    <row r="3019" spans="1:29" x14ac:dyDescent="0.35">
      <c r="A3019" s="4">
        <v>42591</v>
      </c>
      <c r="B3019" t="s">
        <v>30</v>
      </c>
      <c r="C3019">
        <v>803</v>
      </c>
      <c r="D3019">
        <v>5</v>
      </c>
      <c r="E3019">
        <v>1</v>
      </c>
      <c r="F3019" t="s">
        <v>315</v>
      </c>
      <c r="G3019" t="s">
        <v>32</v>
      </c>
      <c r="H3019" t="s">
        <v>33</v>
      </c>
      <c r="I3019" t="s">
        <v>59</v>
      </c>
      <c r="O3019" s="5"/>
      <c r="P3019" s="5"/>
    </row>
    <row r="3020" spans="1:29" x14ac:dyDescent="0.35">
      <c r="A3020" s="4">
        <v>42591</v>
      </c>
      <c r="B3020" t="s">
        <v>30</v>
      </c>
      <c r="C3020">
        <v>803</v>
      </c>
      <c r="D3020">
        <v>2</v>
      </c>
      <c r="E3020">
        <v>2</v>
      </c>
      <c r="F3020" t="s">
        <v>315</v>
      </c>
      <c r="G3020" t="s">
        <v>32</v>
      </c>
      <c r="H3020" t="s">
        <v>33</v>
      </c>
      <c r="I3020" t="s">
        <v>59</v>
      </c>
      <c r="O3020" s="5"/>
      <c r="P3020" s="5"/>
    </row>
    <row r="3021" spans="1:29" x14ac:dyDescent="0.35">
      <c r="A3021" s="4">
        <v>42591</v>
      </c>
      <c r="B3021" t="s">
        <v>30</v>
      </c>
      <c r="C3021">
        <v>803</v>
      </c>
      <c r="D3021">
        <v>1</v>
      </c>
      <c r="E3021">
        <v>1</v>
      </c>
      <c r="F3021" t="s">
        <v>315</v>
      </c>
      <c r="G3021" t="s">
        <v>32</v>
      </c>
      <c r="H3021" t="s">
        <v>33</v>
      </c>
      <c r="I3021" t="s">
        <v>59</v>
      </c>
      <c r="O3021" s="5"/>
      <c r="P3021" s="5"/>
    </row>
    <row r="3022" spans="1:29" x14ac:dyDescent="0.35">
      <c r="A3022" s="4">
        <v>42591</v>
      </c>
      <c r="B3022" t="s">
        <v>30</v>
      </c>
      <c r="C3022">
        <v>701</v>
      </c>
      <c r="D3022">
        <v>9</v>
      </c>
      <c r="E3022">
        <v>1</v>
      </c>
      <c r="F3022" t="s">
        <v>315</v>
      </c>
      <c r="G3022" t="s">
        <v>32</v>
      </c>
      <c r="H3022" t="s">
        <v>33</v>
      </c>
      <c r="I3022" t="s">
        <v>94</v>
      </c>
      <c r="J3022" t="s">
        <v>35</v>
      </c>
      <c r="K3022" t="s">
        <v>113</v>
      </c>
      <c r="L3022" t="s">
        <v>37</v>
      </c>
      <c r="M3022">
        <v>0</v>
      </c>
      <c r="N3022">
        <v>1</v>
      </c>
      <c r="O3022" s="5" t="s">
        <v>607</v>
      </c>
      <c r="P3022" s="5"/>
      <c r="Q3022">
        <f>31-13</f>
        <v>18</v>
      </c>
      <c r="R3022" t="s">
        <v>38</v>
      </c>
      <c r="T3022">
        <v>28</v>
      </c>
      <c r="W3022">
        <v>12.7</v>
      </c>
      <c r="X3022">
        <v>25.9</v>
      </c>
      <c r="Z3022" t="s">
        <v>102</v>
      </c>
      <c r="AA3022" t="s">
        <v>201</v>
      </c>
      <c r="AB3022" t="s">
        <v>47</v>
      </c>
      <c r="AC3022" t="s">
        <v>41</v>
      </c>
    </row>
    <row r="3023" spans="1:29" x14ac:dyDescent="0.35">
      <c r="A3023" s="4">
        <v>42591</v>
      </c>
      <c r="B3023" t="s">
        <v>30</v>
      </c>
      <c r="C3023">
        <v>401</v>
      </c>
      <c r="D3023">
        <v>7</v>
      </c>
      <c r="E3023">
        <v>1</v>
      </c>
      <c r="F3023" t="s">
        <v>42</v>
      </c>
      <c r="G3023" t="s">
        <v>32</v>
      </c>
      <c r="H3023" t="s">
        <v>33</v>
      </c>
      <c r="I3023" t="s">
        <v>94</v>
      </c>
      <c r="J3023" t="s">
        <v>35</v>
      </c>
      <c r="K3023" t="s">
        <v>36</v>
      </c>
      <c r="L3023" t="s">
        <v>45</v>
      </c>
      <c r="M3023">
        <v>0</v>
      </c>
      <c r="N3023">
        <v>1</v>
      </c>
      <c r="O3023" s="5" t="s">
        <v>608</v>
      </c>
      <c r="P3023" s="5"/>
      <c r="Q3023">
        <f>35-13</f>
        <v>22</v>
      </c>
      <c r="R3023" t="s">
        <v>77</v>
      </c>
      <c r="S3023" t="s">
        <v>39</v>
      </c>
      <c r="T3023">
        <v>28</v>
      </c>
      <c r="W3023">
        <v>13</v>
      </c>
      <c r="X3023">
        <v>25.5</v>
      </c>
      <c r="Z3023" t="s">
        <v>102</v>
      </c>
      <c r="AB3023" t="s">
        <v>47</v>
      </c>
      <c r="AC3023" t="s">
        <v>41</v>
      </c>
    </row>
    <row r="3024" spans="1:29" x14ac:dyDescent="0.35">
      <c r="A3024" s="4">
        <v>42591</v>
      </c>
      <c r="B3024" t="s">
        <v>30</v>
      </c>
      <c r="C3024">
        <v>303</v>
      </c>
      <c r="D3024">
        <v>3</v>
      </c>
      <c r="E3024">
        <v>2</v>
      </c>
      <c r="F3024" t="s">
        <v>42</v>
      </c>
      <c r="G3024" t="s">
        <v>32</v>
      </c>
      <c r="H3024" t="s">
        <v>33</v>
      </c>
      <c r="I3024" t="s">
        <v>94</v>
      </c>
      <c r="J3024" t="s">
        <v>44</v>
      </c>
      <c r="K3024" t="s">
        <v>36</v>
      </c>
      <c r="L3024" t="s">
        <v>45</v>
      </c>
      <c r="M3024">
        <v>0</v>
      </c>
      <c r="N3024">
        <v>0</v>
      </c>
      <c r="O3024" s="5" t="s">
        <v>135</v>
      </c>
      <c r="P3024" s="5"/>
      <c r="Q3024">
        <f>33-13</f>
        <v>20</v>
      </c>
      <c r="R3024" t="s">
        <v>46</v>
      </c>
      <c r="S3024" t="s">
        <v>39</v>
      </c>
      <c r="T3024">
        <v>28</v>
      </c>
      <c r="W3024">
        <v>12.6</v>
      </c>
      <c r="X3024">
        <v>25.8</v>
      </c>
      <c r="Z3024" t="s">
        <v>102</v>
      </c>
      <c r="AB3024" t="s">
        <v>47</v>
      </c>
      <c r="AC3024" t="s">
        <v>41</v>
      </c>
    </row>
    <row r="3025" spans="1:30" x14ac:dyDescent="0.35">
      <c r="A3025" s="4">
        <v>42591</v>
      </c>
      <c r="B3025" t="s">
        <v>30</v>
      </c>
      <c r="C3025">
        <v>803</v>
      </c>
      <c r="D3025">
        <v>3</v>
      </c>
      <c r="E3025">
        <v>1</v>
      </c>
      <c r="F3025" t="s">
        <v>315</v>
      </c>
      <c r="G3025" t="s">
        <v>32</v>
      </c>
      <c r="H3025" t="s">
        <v>33</v>
      </c>
      <c r="I3025" t="s">
        <v>94</v>
      </c>
      <c r="J3025" t="s">
        <v>44</v>
      </c>
      <c r="K3025" t="s">
        <v>36</v>
      </c>
      <c r="L3025" t="s">
        <v>45</v>
      </c>
      <c r="M3025">
        <v>0</v>
      </c>
      <c r="N3025">
        <v>0</v>
      </c>
      <c r="O3025" s="5"/>
      <c r="P3025" s="5" t="s">
        <v>609</v>
      </c>
      <c r="Q3025">
        <f>38-17.5</f>
        <v>20.5</v>
      </c>
      <c r="R3025" t="s">
        <v>145</v>
      </c>
      <c r="S3025" t="s">
        <v>102</v>
      </c>
      <c r="T3025">
        <v>28.5</v>
      </c>
      <c r="W3025">
        <v>13.1</v>
      </c>
      <c r="X3025">
        <v>26.1</v>
      </c>
      <c r="Z3025" t="s">
        <v>102</v>
      </c>
      <c r="AA3025" t="s">
        <v>201</v>
      </c>
      <c r="AB3025" t="s">
        <v>47</v>
      </c>
      <c r="AC3025" t="s">
        <v>41</v>
      </c>
    </row>
    <row r="3026" spans="1:30" x14ac:dyDescent="0.35">
      <c r="A3026" s="4">
        <v>42591</v>
      </c>
      <c r="B3026" t="s">
        <v>30</v>
      </c>
      <c r="C3026">
        <v>803</v>
      </c>
      <c r="D3026">
        <v>3</v>
      </c>
      <c r="E3026">
        <v>2</v>
      </c>
      <c r="F3026" t="s">
        <v>315</v>
      </c>
      <c r="G3026" t="s">
        <v>32</v>
      </c>
      <c r="H3026" t="s">
        <v>33</v>
      </c>
      <c r="I3026" t="s">
        <v>94</v>
      </c>
      <c r="J3026" t="s">
        <v>44</v>
      </c>
      <c r="K3026" t="s">
        <v>36</v>
      </c>
      <c r="L3026" t="s">
        <v>45</v>
      </c>
      <c r="M3026">
        <v>0</v>
      </c>
      <c r="N3026">
        <v>0</v>
      </c>
      <c r="O3026" s="5"/>
      <c r="P3026" s="5"/>
      <c r="Q3026">
        <f>52-18</f>
        <v>34</v>
      </c>
      <c r="R3026" t="s">
        <v>145</v>
      </c>
      <c r="S3026" t="s">
        <v>102</v>
      </c>
      <c r="T3026">
        <v>30</v>
      </c>
      <c r="W3026">
        <v>14</v>
      </c>
      <c r="X3026">
        <v>27.7</v>
      </c>
      <c r="Z3026" t="s">
        <v>39</v>
      </c>
      <c r="AB3026" t="s">
        <v>47</v>
      </c>
      <c r="AC3026" t="s">
        <v>41</v>
      </c>
      <c r="AD3026" t="s">
        <v>610</v>
      </c>
    </row>
    <row r="3027" spans="1:30" x14ac:dyDescent="0.35">
      <c r="A3027" s="4">
        <v>42592</v>
      </c>
      <c r="B3027" t="s">
        <v>30</v>
      </c>
      <c r="C3027">
        <v>703</v>
      </c>
      <c r="D3027">
        <v>6</v>
      </c>
      <c r="E3027">
        <v>1</v>
      </c>
      <c r="F3027" t="s">
        <v>315</v>
      </c>
      <c r="G3027" t="s">
        <v>32</v>
      </c>
      <c r="H3027" t="s">
        <v>33</v>
      </c>
      <c r="I3027" t="s">
        <v>43</v>
      </c>
      <c r="J3027" t="s">
        <v>44</v>
      </c>
      <c r="K3027" t="s">
        <v>88</v>
      </c>
      <c r="L3027" t="s">
        <v>45</v>
      </c>
      <c r="M3027">
        <v>0</v>
      </c>
      <c r="N3027">
        <v>0</v>
      </c>
      <c r="O3027" s="5" t="s">
        <v>545</v>
      </c>
      <c r="P3027" s="5" t="s">
        <v>546</v>
      </c>
      <c r="Q3027">
        <f>32-17</f>
        <v>15</v>
      </c>
      <c r="R3027" t="s">
        <v>46</v>
      </c>
      <c r="S3027" t="s">
        <v>39</v>
      </c>
      <c r="T3027">
        <v>18</v>
      </c>
      <c r="U3027">
        <v>82</v>
      </c>
      <c r="V3027">
        <v>18</v>
      </c>
      <c r="W3027">
        <v>13</v>
      </c>
      <c r="X3027">
        <v>27.5</v>
      </c>
      <c r="Z3027" t="s">
        <v>39</v>
      </c>
      <c r="AB3027" t="s">
        <v>60</v>
      </c>
      <c r="AC3027" t="s">
        <v>41</v>
      </c>
    </row>
    <row r="3028" spans="1:30" x14ac:dyDescent="0.35">
      <c r="A3028" s="4">
        <v>42592</v>
      </c>
      <c r="B3028" t="s">
        <v>30</v>
      </c>
      <c r="C3028">
        <v>701</v>
      </c>
      <c r="D3028">
        <v>6</v>
      </c>
      <c r="E3028">
        <v>1</v>
      </c>
      <c r="F3028" t="s">
        <v>315</v>
      </c>
      <c r="G3028" t="s">
        <v>32</v>
      </c>
      <c r="H3028" t="s">
        <v>33</v>
      </c>
      <c r="I3028" t="s">
        <v>43</v>
      </c>
      <c r="J3028" t="s">
        <v>44</v>
      </c>
      <c r="K3028" t="s">
        <v>113</v>
      </c>
      <c r="L3028" t="s">
        <v>37</v>
      </c>
      <c r="M3028">
        <v>0</v>
      </c>
      <c r="N3028">
        <v>0</v>
      </c>
      <c r="O3028" s="5" t="s">
        <v>547</v>
      </c>
      <c r="P3028" s="5" t="s">
        <v>548</v>
      </c>
      <c r="Q3028">
        <f>34-15</f>
        <v>19</v>
      </c>
      <c r="R3028" t="s">
        <v>64</v>
      </c>
      <c r="T3028">
        <v>19</v>
      </c>
      <c r="U3028">
        <v>86</v>
      </c>
      <c r="V3028">
        <v>16</v>
      </c>
      <c r="W3028">
        <v>12.8</v>
      </c>
      <c r="X3028">
        <v>27.7</v>
      </c>
      <c r="Z3028" t="s">
        <v>102</v>
      </c>
      <c r="AA3028" t="s">
        <v>201</v>
      </c>
      <c r="AB3028" t="s">
        <v>60</v>
      </c>
      <c r="AC3028" t="s">
        <v>41</v>
      </c>
      <c r="AD3028" t="s">
        <v>611</v>
      </c>
    </row>
    <row r="3029" spans="1:30" x14ac:dyDescent="0.35">
      <c r="A3029" s="4">
        <v>42592</v>
      </c>
      <c r="B3029" t="s">
        <v>30</v>
      </c>
      <c r="C3029">
        <v>803</v>
      </c>
      <c r="D3029">
        <v>3</v>
      </c>
      <c r="E3029">
        <v>1</v>
      </c>
      <c r="F3029" t="s">
        <v>315</v>
      </c>
      <c r="G3029" t="s">
        <v>32</v>
      </c>
      <c r="H3029" t="s">
        <v>33</v>
      </c>
      <c r="I3029" t="s">
        <v>43</v>
      </c>
      <c r="J3029" t="s">
        <v>44</v>
      </c>
      <c r="K3029" t="s">
        <v>88</v>
      </c>
      <c r="L3029" t="s">
        <v>45</v>
      </c>
      <c r="M3029">
        <v>0</v>
      </c>
      <c r="N3029">
        <v>0</v>
      </c>
      <c r="O3029" s="5" t="s">
        <v>549</v>
      </c>
      <c r="P3029" s="5" t="s">
        <v>550</v>
      </c>
      <c r="Q3029">
        <f>28-16</f>
        <v>12</v>
      </c>
      <c r="R3029" t="s">
        <v>46</v>
      </c>
      <c r="S3029" t="s">
        <v>39</v>
      </c>
      <c r="Z3029" t="s">
        <v>102</v>
      </c>
      <c r="AA3029" t="s">
        <v>201</v>
      </c>
      <c r="AB3029" t="s">
        <v>60</v>
      </c>
      <c r="AC3029" t="s">
        <v>41</v>
      </c>
      <c r="AD3029" t="s">
        <v>370</v>
      </c>
    </row>
    <row r="3030" spans="1:30" x14ac:dyDescent="0.35">
      <c r="A3030" s="4">
        <v>42592</v>
      </c>
      <c r="B3030" t="s">
        <v>30</v>
      </c>
      <c r="C3030">
        <v>703</v>
      </c>
      <c r="D3030">
        <v>6</v>
      </c>
      <c r="E3030">
        <v>2</v>
      </c>
      <c r="F3030" t="s">
        <v>315</v>
      </c>
      <c r="G3030" t="s">
        <v>32</v>
      </c>
      <c r="H3030" t="s">
        <v>33</v>
      </c>
      <c r="I3030" t="s">
        <v>43</v>
      </c>
      <c r="J3030" t="s">
        <v>35</v>
      </c>
      <c r="K3030" t="s">
        <v>88</v>
      </c>
      <c r="L3030" t="s">
        <v>45</v>
      </c>
      <c r="M3030">
        <v>0</v>
      </c>
      <c r="N3030">
        <v>1</v>
      </c>
      <c r="O3030" s="5" t="s">
        <v>612</v>
      </c>
      <c r="P3030" s="5" t="s">
        <v>613</v>
      </c>
      <c r="Q3030">
        <f>32-17</f>
        <v>15</v>
      </c>
      <c r="R3030" t="s">
        <v>46</v>
      </c>
      <c r="S3030" t="s">
        <v>39</v>
      </c>
      <c r="T3030">
        <v>19</v>
      </c>
      <c r="U3030">
        <v>82</v>
      </c>
      <c r="V3030">
        <v>16</v>
      </c>
      <c r="W3030">
        <v>12.8</v>
      </c>
      <c r="X3030">
        <v>27.6</v>
      </c>
      <c r="Z3030" t="s">
        <v>39</v>
      </c>
      <c r="AB3030" t="s">
        <v>60</v>
      </c>
      <c r="AC3030" t="s">
        <v>41</v>
      </c>
    </row>
    <row r="3031" spans="1:30" x14ac:dyDescent="0.35">
      <c r="A3031" s="4">
        <v>42592</v>
      </c>
      <c r="B3031" t="s">
        <v>30</v>
      </c>
      <c r="C3031">
        <v>701</v>
      </c>
      <c r="D3031">
        <v>5</v>
      </c>
      <c r="E3031">
        <v>1</v>
      </c>
      <c r="F3031" t="s">
        <v>315</v>
      </c>
      <c r="G3031" t="s">
        <v>32</v>
      </c>
      <c r="H3031" t="s">
        <v>33</v>
      </c>
      <c r="I3031" t="s">
        <v>43</v>
      </c>
      <c r="J3031" t="s">
        <v>35</v>
      </c>
      <c r="K3031" t="s">
        <v>113</v>
      </c>
      <c r="L3031" t="s">
        <v>37</v>
      </c>
      <c r="M3031">
        <v>0</v>
      </c>
      <c r="N3031">
        <v>1</v>
      </c>
      <c r="O3031" s="5" t="s">
        <v>614</v>
      </c>
      <c r="P3031" s="5" t="s">
        <v>615</v>
      </c>
      <c r="Q3031">
        <f>29-13</f>
        <v>16</v>
      </c>
      <c r="R3031" t="s">
        <v>64</v>
      </c>
      <c r="T3031">
        <v>18</v>
      </c>
      <c r="U3031">
        <v>81</v>
      </c>
      <c r="V3031">
        <v>16</v>
      </c>
      <c r="W3031">
        <v>12.9</v>
      </c>
      <c r="X3031">
        <v>26.2</v>
      </c>
      <c r="Z3031" t="s">
        <v>39</v>
      </c>
      <c r="AB3031" t="s">
        <v>60</v>
      </c>
      <c r="AC3031" t="s">
        <v>41</v>
      </c>
      <c r="AD3031" t="s">
        <v>616</v>
      </c>
    </row>
    <row r="3032" spans="1:30" x14ac:dyDescent="0.35">
      <c r="A3032" s="4">
        <v>42592</v>
      </c>
      <c r="B3032" t="s">
        <v>30</v>
      </c>
      <c r="C3032">
        <v>701</v>
      </c>
      <c r="D3032">
        <v>10</v>
      </c>
      <c r="E3032">
        <v>1</v>
      </c>
      <c r="F3032" t="s">
        <v>315</v>
      </c>
      <c r="G3032" t="s">
        <v>32</v>
      </c>
      <c r="H3032" t="s">
        <v>33</v>
      </c>
      <c r="I3032" t="s">
        <v>43</v>
      </c>
      <c r="J3032" t="s">
        <v>35</v>
      </c>
      <c r="K3032" t="s">
        <v>88</v>
      </c>
      <c r="L3032" t="s">
        <v>37</v>
      </c>
      <c r="M3032">
        <v>0</v>
      </c>
      <c r="N3032">
        <v>1</v>
      </c>
      <c r="O3032" s="5" t="s">
        <v>617</v>
      </c>
      <c r="P3032" s="5" t="s">
        <v>618</v>
      </c>
      <c r="Q3032">
        <f>27-14</f>
        <v>13</v>
      </c>
      <c r="R3032" t="s">
        <v>64</v>
      </c>
      <c r="T3032">
        <v>21</v>
      </c>
      <c r="U3032">
        <v>87</v>
      </c>
      <c r="V3032">
        <v>16</v>
      </c>
      <c r="W3032">
        <v>12.7</v>
      </c>
      <c r="X3032">
        <v>26.6</v>
      </c>
      <c r="Z3032" t="s">
        <v>39</v>
      </c>
      <c r="AB3032" t="s">
        <v>60</v>
      </c>
      <c r="AC3032" t="s">
        <v>41</v>
      </c>
    </row>
    <row r="3033" spans="1:30" x14ac:dyDescent="0.35">
      <c r="A3033" s="4">
        <v>42592</v>
      </c>
      <c r="B3033" t="s">
        <v>30</v>
      </c>
      <c r="C3033">
        <v>803</v>
      </c>
      <c r="D3033">
        <v>10</v>
      </c>
      <c r="E3033">
        <v>1</v>
      </c>
      <c r="F3033" t="s">
        <v>315</v>
      </c>
      <c r="G3033" t="s">
        <v>32</v>
      </c>
      <c r="H3033" t="s">
        <v>33</v>
      </c>
      <c r="I3033" t="s">
        <v>43</v>
      </c>
      <c r="J3033" t="s">
        <v>35</v>
      </c>
      <c r="K3033" t="s">
        <v>88</v>
      </c>
      <c r="L3033" t="s">
        <v>37</v>
      </c>
      <c r="M3033">
        <v>0</v>
      </c>
      <c r="N3033">
        <v>1</v>
      </c>
      <c r="O3033" s="5" t="s">
        <v>619</v>
      </c>
      <c r="P3033" s="5" t="s">
        <v>620</v>
      </c>
      <c r="Q3033">
        <f>24-14</f>
        <v>10</v>
      </c>
      <c r="R3033" t="s">
        <v>64</v>
      </c>
      <c r="T3033">
        <v>18</v>
      </c>
      <c r="U3033">
        <v>100</v>
      </c>
      <c r="V3033">
        <v>14</v>
      </c>
      <c r="W3033">
        <v>12.5</v>
      </c>
      <c r="X3033">
        <v>24.1</v>
      </c>
      <c r="Z3033" t="s">
        <v>102</v>
      </c>
      <c r="AA3033" t="s">
        <v>201</v>
      </c>
      <c r="AB3033" t="s">
        <v>60</v>
      </c>
      <c r="AC3033" t="s">
        <v>41</v>
      </c>
    </row>
    <row r="3034" spans="1:30" x14ac:dyDescent="0.35">
      <c r="A3034" s="4">
        <v>42592</v>
      </c>
      <c r="B3034" t="s">
        <v>30</v>
      </c>
      <c r="C3034">
        <v>803</v>
      </c>
      <c r="D3034">
        <v>9</v>
      </c>
      <c r="E3034">
        <v>1</v>
      </c>
      <c r="F3034" t="s">
        <v>315</v>
      </c>
      <c r="G3034" t="s">
        <v>32</v>
      </c>
      <c r="H3034" t="s">
        <v>33</v>
      </c>
      <c r="I3034" t="s">
        <v>43</v>
      </c>
      <c r="J3034" t="s">
        <v>35</v>
      </c>
      <c r="K3034" t="s">
        <v>113</v>
      </c>
      <c r="L3034" t="s">
        <v>37</v>
      </c>
      <c r="M3034">
        <v>0</v>
      </c>
      <c r="N3034">
        <v>1</v>
      </c>
      <c r="O3034" s="5" t="s">
        <v>621</v>
      </c>
      <c r="P3034" s="5" t="s">
        <v>622</v>
      </c>
      <c r="Q3034">
        <f>35-18</f>
        <v>17</v>
      </c>
      <c r="R3034" t="s">
        <v>64</v>
      </c>
      <c r="T3034">
        <v>18.5</v>
      </c>
      <c r="U3034">
        <v>84</v>
      </c>
      <c r="V3034">
        <v>16</v>
      </c>
      <c r="W3034">
        <v>12.5</v>
      </c>
      <c r="X3034">
        <v>26.6</v>
      </c>
      <c r="Z3034" t="s">
        <v>39</v>
      </c>
      <c r="AB3034" t="s">
        <v>60</v>
      </c>
      <c r="AC3034" t="s">
        <v>41</v>
      </c>
      <c r="AD3034" t="s">
        <v>623</v>
      </c>
    </row>
    <row r="3035" spans="1:30" x14ac:dyDescent="0.35">
      <c r="A3035" s="4">
        <v>42592</v>
      </c>
      <c r="B3035" t="s">
        <v>30</v>
      </c>
      <c r="C3035">
        <v>401</v>
      </c>
      <c r="D3035">
        <v>9</v>
      </c>
      <c r="E3035">
        <v>1</v>
      </c>
      <c r="F3035" t="s">
        <v>42</v>
      </c>
      <c r="G3035" t="s">
        <v>32</v>
      </c>
      <c r="H3035" t="s">
        <v>33</v>
      </c>
      <c r="I3035" t="s">
        <v>43</v>
      </c>
      <c r="J3035" t="s">
        <v>35</v>
      </c>
      <c r="K3035" t="s">
        <v>113</v>
      </c>
      <c r="L3035" t="s">
        <v>45</v>
      </c>
      <c r="M3035">
        <v>0</v>
      </c>
      <c r="N3035">
        <v>1</v>
      </c>
      <c r="O3035" s="5" t="s">
        <v>624</v>
      </c>
      <c r="P3035" s="5" t="s">
        <v>625</v>
      </c>
      <c r="Q3035">
        <f>27.5-13</f>
        <v>14.5</v>
      </c>
      <c r="R3035" t="s">
        <v>46</v>
      </c>
      <c r="S3035" t="s">
        <v>39</v>
      </c>
      <c r="T3035">
        <v>19</v>
      </c>
      <c r="U3035">
        <v>87</v>
      </c>
      <c r="V3035">
        <v>16</v>
      </c>
      <c r="W3035">
        <v>13</v>
      </c>
      <c r="X3035">
        <v>26</v>
      </c>
      <c r="Z3035" t="s">
        <v>102</v>
      </c>
      <c r="AB3035" t="s">
        <v>47</v>
      </c>
      <c r="AC3035" t="s">
        <v>41</v>
      </c>
    </row>
    <row r="3036" spans="1:30" x14ac:dyDescent="0.35">
      <c r="A3036" s="4">
        <v>42592</v>
      </c>
      <c r="B3036" t="s">
        <v>30</v>
      </c>
      <c r="C3036">
        <v>401</v>
      </c>
      <c r="D3036">
        <v>4</v>
      </c>
      <c r="E3036">
        <v>1</v>
      </c>
      <c r="F3036" t="s">
        <v>42</v>
      </c>
      <c r="G3036" t="s">
        <v>32</v>
      </c>
      <c r="H3036" t="s">
        <v>33</v>
      </c>
      <c r="I3036" t="s">
        <v>43</v>
      </c>
      <c r="J3036" t="s">
        <v>35</v>
      </c>
      <c r="K3036" t="s">
        <v>113</v>
      </c>
      <c r="L3036" t="s">
        <v>45</v>
      </c>
      <c r="M3036">
        <v>0</v>
      </c>
      <c r="N3036">
        <v>1</v>
      </c>
      <c r="O3036" s="5" t="s">
        <v>626</v>
      </c>
      <c r="P3036" s="5" t="s">
        <v>627</v>
      </c>
      <c r="Q3036">
        <f>34-13.5</f>
        <v>20.5</v>
      </c>
      <c r="R3036" t="s">
        <v>46</v>
      </c>
      <c r="S3036" t="s">
        <v>39</v>
      </c>
      <c r="T3036">
        <v>19</v>
      </c>
      <c r="U3036">
        <v>93.5</v>
      </c>
      <c r="V3036">
        <v>18</v>
      </c>
      <c r="W3036">
        <v>13.5</v>
      </c>
      <c r="X3036">
        <v>28.2</v>
      </c>
      <c r="Z3036" t="s">
        <v>102</v>
      </c>
      <c r="AB3036" t="s">
        <v>47</v>
      </c>
      <c r="AC3036" t="s">
        <v>41</v>
      </c>
    </row>
    <row r="3037" spans="1:30" x14ac:dyDescent="0.35">
      <c r="A3037" s="4">
        <v>42592</v>
      </c>
      <c r="B3037" t="s">
        <v>30</v>
      </c>
      <c r="C3037">
        <v>303</v>
      </c>
      <c r="D3037">
        <v>4</v>
      </c>
      <c r="E3037">
        <v>1</v>
      </c>
      <c r="F3037" t="s">
        <v>42</v>
      </c>
      <c r="G3037" t="s">
        <v>32</v>
      </c>
      <c r="H3037" t="s">
        <v>33</v>
      </c>
      <c r="I3037" t="s">
        <v>43</v>
      </c>
      <c r="J3037" t="s">
        <v>44</v>
      </c>
      <c r="K3037" t="s">
        <v>113</v>
      </c>
      <c r="L3037" t="s">
        <v>45</v>
      </c>
      <c r="M3037">
        <v>0</v>
      </c>
      <c r="N3037">
        <v>0</v>
      </c>
      <c r="O3037" s="5" t="s">
        <v>628</v>
      </c>
      <c r="P3037" s="5" t="s">
        <v>629</v>
      </c>
      <c r="Q3037">
        <f>27.5-13</f>
        <v>14.5</v>
      </c>
      <c r="R3037" t="s">
        <v>46</v>
      </c>
      <c r="T3037">
        <v>18</v>
      </c>
      <c r="U3037">
        <v>81.5</v>
      </c>
      <c r="V3037">
        <v>16</v>
      </c>
      <c r="W3037">
        <v>13.1</v>
      </c>
      <c r="X3037">
        <v>26.8</v>
      </c>
      <c r="Z3037" t="s">
        <v>39</v>
      </c>
      <c r="AB3037" t="s">
        <v>47</v>
      </c>
      <c r="AC3037" t="s">
        <v>41</v>
      </c>
    </row>
    <row r="3038" spans="1:30" x14ac:dyDescent="0.35">
      <c r="A3038" s="4">
        <v>42592</v>
      </c>
      <c r="B3038" t="s">
        <v>30</v>
      </c>
      <c r="C3038">
        <v>501</v>
      </c>
      <c r="D3038">
        <v>3</v>
      </c>
      <c r="E3038">
        <v>2</v>
      </c>
      <c r="F3038" t="s">
        <v>42</v>
      </c>
      <c r="G3038" t="s">
        <v>32</v>
      </c>
      <c r="H3038" t="s">
        <v>33</v>
      </c>
      <c r="I3038" t="s">
        <v>43</v>
      </c>
      <c r="J3038" t="s">
        <v>44</v>
      </c>
      <c r="K3038" t="s">
        <v>113</v>
      </c>
      <c r="L3038" t="s">
        <v>37</v>
      </c>
      <c r="M3038">
        <v>0</v>
      </c>
      <c r="N3038">
        <v>0</v>
      </c>
      <c r="O3038" s="5" t="s">
        <v>555</v>
      </c>
      <c r="P3038" s="5" t="s">
        <v>556</v>
      </c>
      <c r="R3038" t="s">
        <v>64</v>
      </c>
      <c r="T3038">
        <v>20</v>
      </c>
      <c r="U3038">
        <v>82</v>
      </c>
      <c r="V3038">
        <v>16</v>
      </c>
      <c r="W3038">
        <v>13.5</v>
      </c>
      <c r="X3038">
        <v>27.2</v>
      </c>
      <c r="Z3038" t="s">
        <v>102</v>
      </c>
      <c r="AB3038" t="s">
        <v>47</v>
      </c>
      <c r="AC3038" t="s">
        <v>41</v>
      </c>
    </row>
    <row r="3039" spans="1:30" x14ac:dyDescent="0.35">
      <c r="A3039" s="4">
        <v>42592</v>
      </c>
      <c r="B3039" t="s">
        <v>30</v>
      </c>
      <c r="C3039">
        <v>701</v>
      </c>
      <c r="D3039">
        <v>5</v>
      </c>
      <c r="E3039">
        <v>2</v>
      </c>
      <c r="F3039" t="s">
        <v>315</v>
      </c>
      <c r="G3039" t="s">
        <v>32</v>
      </c>
      <c r="H3039" t="s">
        <v>33</v>
      </c>
      <c r="I3039" t="s">
        <v>43</v>
      </c>
      <c r="J3039" t="s">
        <v>44</v>
      </c>
      <c r="K3039" t="s">
        <v>36</v>
      </c>
      <c r="L3039" t="s">
        <v>45</v>
      </c>
      <c r="M3039">
        <v>0</v>
      </c>
      <c r="N3039">
        <v>0</v>
      </c>
      <c r="O3039" s="5" t="s">
        <v>630</v>
      </c>
      <c r="P3039" s="5" t="s">
        <v>631</v>
      </c>
      <c r="Q3039">
        <f>31-13</f>
        <v>18</v>
      </c>
      <c r="R3039" t="s">
        <v>46</v>
      </c>
      <c r="S3039" t="s">
        <v>39</v>
      </c>
      <c r="T3039">
        <v>18</v>
      </c>
      <c r="U3039">
        <v>83</v>
      </c>
      <c r="V3039">
        <v>18</v>
      </c>
      <c r="W3039">
        <v>12.9</v>
      </c>
      <c r="X3039">
        <v>28.4</v>
      </c>
      <c r="Y3039" t="s">
        <v>632</v>
      </c>
      <c r="Z3039" t="s">
        <v>102</v>
      </c>
      <c r="AA3039" t="s">
        <v>201</v>
      </c>
      <c r="AB3039" t="s">
        <v>60</v>
      </c>
      <c r="AC3039" t="s">
        <v>41</v>
      </c>
    </row>
    <row r="3040" spans="1:30" x14ac:dyDescent="0.35">
      <c r="A3040" s="4">
        <v>42592</v>
      </c>
      <c r="B3040" t="s">
        <v>30</v>
      </c>
      <c r="C3040">
        <v>701</v>
      </c>
      <c r="D3040">
        <v>4</v>
      </c>
      <c r="E3040">
        <v>1</v>
      </c>
      <c r="F3040" t="s">
        <v>315</v>
      </c>
      <c r="G3040" t="s">
        <v>32</v>
      </c>
      <c r="H3040" t="s">
        <v>33</v>
      </c>
      <c r="I3040" t="s">
        <v>43</v>
      </c>
      <c r="J3040" t="s">
        <v>44</v>
      </c>
      <c r="K3040" t="s">
        <v>113</v>
      </c>
      <c r="L3040" t="s">
        <v>37</v>
      </c>
      <c r="M3040">
        <v>0</v>
      </c>
      <c r="N3040">
        <v>0</v>
      </c>
      <c r="O3040" s="5" t="s">
        <v>562</v>
      </c>
      <c r="P3040" s="5" t="s">
        <v>563</v>
      </c>
      <c r="Q3040">
        <f>29-13</f>
        <v>16</v>
      </c>
      <c r="R3040" t="s">
        <v>64</v>
      </c>
      <c r="T3040">
        <v>19</v>
      </c>
      <c r="U3040">
        <v>91</v>
      </c>
      <c r="V3040">
        <v>16</v>
      </c>
      <c r="W3040">
        <v>12.9</v>
      </c>
      <c r="X3040">
        <v>27.5</v>
      </c>
      <c r="Z3040" t="s">
        <v>102</v>
      </c>
      <c r="AA3040" t="s">
        <v>201</v>
      </c>
      <c r="AB3040" t="s">
        <v>60</v>
      </c>
      <c r="AC3040" t="s">
        <v>41</v>
      </c>
    </row>
    <row r="3041" spans="1:30" x14ac:dyDescent="0.35">
      <c r="A3041" s="4">
        <v>42592</v>
      </c>
      <c r="B3041" t="s">
        <v>30</v>
      </c>
      <c r="C3041">
        <v>701</v>
      </c>
      <c r="D3041">
        <v>2</v>
      </c>
      <c r="E3041">
        <v>1</v>
      </c>
      <c r="F3041" t="s">
        <v>315</v>
      </c>
      <c r="G3041" t="s">
        <v>32</v>
      </c>
      <c r="H3041" t="s">
        <v>33</v>
      </c>
      <c r="I3041" t="s">
        <v>43</v>
      </c>
      <c r="J3041" t="s">
        <v>44</v>
      </c>
      <c r="K3041" t="s">
        <v>113</v>
      </c>
      <c r="L3041" t="s">
        <v>37</v>
      </c>
      <c r="M3041">
        <v>0</v>
      </c>
      <c r="N3041">
        <v>0</v>
      </c>
      <c r="O3041" s="5" t="s">
        <v>565</v>
      </c>
      <c r="P3041" s="5" t="s">
        <v>566</v>
      </c>
      <c r="Q3041">
        <f>36-19</f>
        <v>17</v>
      </c>
      <c r="R3041" t="s">
        <v>64</v>
      </c>
      <c r="T3041">
        <v>20</v>
      </c>
      <c r="U3041">
        <v>86</v>
      </c>
      <c r="V3041">
        <v>16</v>
      </c>
      <c r="W3041">
        <v>12.9</v>
      </c>
      <c r="X3041">
        <v>27</v>
      </c>
      <c r="Z3041" t="s">
        <v>102</v>
      </c>
      <c r="AA3041" t="s">
        <v>201</v>
      </c>
      <c r="AB3041" t="s">
        <v>60</v>
      </c>
      <c r="AC3041" t="s">
        <v>41</v>
      </c>
    </row>
    <row r="3042" spans="1:30" x14ac:dyDescent="0.35">
      <c r="A3042" s="4">
        <v>42592</v>
      </c>
      <c r="B3042" t="s">
        <v>30</v>
      </c>
      <c r="C3042">
        <v>703</v>
      </c>
      <c r="D3042">
        <v>9</v>
      </c>
      <c r="E3042">
        <v>1</v>
      </c>
      <c r="F3042" t="s">
        <v>315</v>
      </c>
      <c r="G3042" t="s">
        <v>32</v>
      </c>
      <c r="H3042" t="s">
        <v>33</v>
      </c>
      <c r="I3042" t="s">
        <v>43</v>
      </c>
      <c r="J3042" t="s">
        <v>44</v>
      </c>
      <c r="K3042" t="s">
        <v>88</v>
      </c>
      <c r="L3042" t="s">
        <v>45</v>
      </c>
      <c r="M3042">
        <v>0</v>
      </c>
      <c r="N3042">
        <v>0</v>
      </c>
      <c r="O3042" s="5" t="s">
        <v>568</v>
      </c>
      <c r="P3042" s="5" t="s">
        <v>569</v>
      </c>
      <c r="Q3042">
        <f>29-15</f>
        <v>14</v>
      </c>
      <c r="R3042" t="s">
        <v>46</v>
      </c>
      <c r="S3042" t="s">
        <v>39</v>
      </c>
      <c r="T3042">
        <v>19</v>
      </c>
      <c r="U3042">
        <v>76</v>
      </c>
      <c r="V3042">
        <v>16</v>
      </c>
      <c r="W3042">
        <v>12.8</v>
      </c>
      <c r="X3042">
        <v>27.3</v>
      </c>
      <c r="Z3042" t="s">
        <v>102</v>
      </c>
      <c r="AA3042" t="s">
        <v>201</v>
      </c>
      <c r="AB3042" t="s">
        <v>60</v>
      </c>
      <c r="AC3042" t="s">
        <v>41</v>
      </c>
    </row>
    <row r="3043" spans="1:30" x14ac:dyDescent="0.35">
      <c r="A3043" s="4">
        <v>42592</v>
      </c>
      <c r="B3043" t="s">
        <v>30</v>
      </c>
      <c r="C3043">
        <v>701</v>
      </c>
      <c r="D3043">
        <v>9</v>
      </c>
      <c r="E3043">
        <v>2</v>
      </c>
      <c r="F3043" t="s">
        <v>315</v>
      </c>
      <c r="G3043" t="s">
        <v>32</v>
      </c>
      <c r="H3043" t="s">
        <v>33</v>
      </c>
      <c r="I3043" t="s">
        <v>43</v>
      </c>
      <c r="J3043" t="s">
        <v>44</v>
      </c>
      <c r="K3043" t="s">
        <v>88</v>
      </c>
      <c r="L3043" t="s">
        <v>45</v>
      </c>
      <c r="M3043">
        <v>0</v>
      </c>
      <c r="N3043">
        <v>0</v>
      </c>
      <c r="O3043" s="5" t="s">
        <v>572</v>
      </c>
      <c r="P3043" s="5" t="s">
        <v>573</v>
      </c>
      <c r="Q3043">
        <f>29-14</f>
        <v>15</v>
      </c>
      <c r="R3043" t="s">
        <v>46</v>
      </c>
      <c r="S3043" t="s">
        <v>39</v>
      </c>
      <c r="T3043">
        <v>19</v>
      </c>
      <c r="U3043">
        <v>70</v>
      </c>
      <c r="V3043">
        <v>16</v>
      </c>
      <c r="W3043">
        <v>12.9</v>
      </c>
      <c r="X3043">
        <v>25.9</v>
      </c>
      <c r="Z3043" t="s">
        <v>102</v>
      </c>
      <c r="AB3043" t="s">
        <v>60</v>
      </c>
      <c r="AC3043" t="s">
        <v>41</v>
      </c>
      <c r="AD3043" t="s">
        <v>520</v>
      </c>
    </row>
    <row r="3044" spans="1:30" x14ac:dyDescent="0.35">
      <c r="A3044" s="4">
        <v>42592</v>
      </c>
      <c r="B3044" t="s">
        <v>30</v>
      </c>
      <c r="C3044">
        <v>703</v>
      </c>
      <c r="D3044">
        <v>3</v>
      </c>
      <c r="E3044">
        <v>1</v>
      </c>
      <c r="F3044" t="s">
        <v>315</v>
      </c>
      <c r="G3044" t="s">
        <v>32</v>
      </c>
      <c r="H3044" t="s">
        <v>33</v>
      </c>
      <c r="I3044" t="s">
        <v>43</v>
      </c>
      <c r="J3044" t="s">
        <v>44</v>
      </c>
      <c r="K3044" t="s">
        <v>113</v>
      </c>
      <c r="L3044" t="s">
        <v>45</v>
      </c>
      <c r="M3044">
        <v>0</v>
      </c>
      <c r="N3044">
        <v>0</v>
      </c>
      <c r="O3044" s="5" t="s">
        <v>633</v>
      </c>
      <c r="P3044" s="5" t="s">
        <v>634</v>
      </c>
      <c r="Q3044">
        <f>33-18.5</f>
        <v>14.5</v>
      </c>
      <c r="R3044" t="s">
        <v>46</v>
      </c>
      <c r="S3044" t="s">
        <v>39</v>
      </c>
      <c r="T3044">
        <v>18</v>
      </c>
      <c r="U3044">
        <v>79</v>
      </c>
      <c r="V3044">
        <v>15</v>
      </c>
      <c r="W3044">
        <v>12.9</v>
      </c>
      <c r="X3044">
        <v>27.5</v>
      </c>
      <c r="Z3044" t="s">
        <v>102</v>
      </c>
      <c r="AA3044" t="s">
        <v>201</v>
      </c>
      <c r="AB3044" t="s">
        <v>60</v>
      </c>
      <c r="AC3044" t="s">
        <v>41</v>
      </c>
    </row>
    <row r="3045" spans="1:30" x14ac:dyDescent="0.35">
      <c r="A3045" s="4">
        <v>42592</v>
      </c>
      <c r="B3045" t="s">
        <v>30</v>
      </c>
      <c r="C3045">
        <v>703</v>
      </c>
      <c r="D3045">
        <v>1</v>
      </c>
      <c r="E3045">
        <v>1</v>
      </c>
      <c r="F3045" t="s">
        <v>315</v>
      </c>
      <c r="G3045" t="s">
        <v>32</v>
      </c>
      <c r="H3045" t="s">
        <v>33</v>
      </c>
      <c r="I3045" t="s">
        <v>43</v>
      </c>
      <c r="J3045" t="s">
        <v>44</v>
      </c>
      <c r="K3045" t="s">
        <v>88</v>
      </c>
      <c r="L3045" t="s">
        <v>45</v>
      </c>
      <c r="M3045">
        <v>0</v>
      </c>
      <c r="N3045">
        <v>0</v>
      </c>
      <c r="O3045" s="5" t="s">
        <v>635</v>
      </c>
      <c r="P3045" s="5" t="s">
        <v>636</v>
      </c>
      <c r="Q3045">
        <f>29.5-16.5</f>
        <v>13</v>
      </c>
      <c r="R3045" t="s">
        <v>46</v>
      </c>
      <c r="S3045" t="s">
        <v>39</v>
      </c>
      <c r="T3045">
        <v>18</v>
      </c>
      <c r="U3045">
        <v>80</v>
      </c>
      <c r="V3045">
        <v>15</v>
      </c>
      <c r="W3045">
        <v>12.6</v>
      </c>
      <c r="X3045">
        <v>27.2</v>
      </c>
      <c r="Z3045" t="s">
        <v>102</v>
      </c>
      <c r="AA3045" t="s">
        <v>201</v>
      </c>
      <c r="AB3045" t="s">
        <v>60</v>
      </c>
      <c r="AC3045" t="s">
        <v>41</v>
      </c>
    </row>
    <row r="3046" spans="1:30" x14ac:dyDescent="0.35">
      <c r="A3046" s="4">
        <v>42592</v>
      </c>
      <c r="B3046" t="s">
        <v>30</v>
      </c>
      <c r="C3046">
        <v>703</v>
      </c>
      <c r="D3046">
        <v>7</v>
      </c>
      <c r="E3046">
        <v>1</v>
      </c>
      <c r="F3046" t="s">
        <v>315</v>
      </c>
      <c r="G3046" t="s">
        <v>32</v>
      </c>
      <c r="H3046" t="s">
        <v>33</v>
      </c>
      <c r="I3046" t="s">
        <v>43</v>
      </c>
      <c r="J3046" t="s">
        <v>44</v>
      </c>
      <c r="K3046" t="s">
        <v>88</v>
      </c>
      <c r="L3046" t="s">
        <v>45</v>
      </c>
      <c r="M3046">
        <v>0</v>
      </c>
      <c r="N3046">
        <v>0</v>
      </c>
      <c r="O3046" s="5" t="s">
        <v>574</v>
      </c>
      <c r="P3046" s="5" t="s">
        <v>575</v>
      </c>
      <c r="Q3046">
        <f>30-16</f>
        <v>14</v>
      </c>
      <c r="R3046" t="s">
        <v>46</v>
      </c>
      <c r="S3046" t="s">
        <v>39</v>
      </c>
      <c r="T3046">
        <v>19</v>
      </c>
      <c r="U3046">
        <v>75</v>
      </c>
      <c r="V3046">
        <v>16</v>
      </c>
      <c r="W3046">
        <v>12.8</v>
      </c>
      <c r="X3046">
        <v>27.2</v>
      </c>
      <c r="Z3046" t="s">
        <v>102</v>
      </c>
      <c r="AA3046" t="s">
        <v>201</v>
      </c>
      <c r="AB3046" t="s">
        <v>60</v>
      </c>
      <c r="AC3046" t="s">
        <v>41</v>
      </c>
    </row>
    <row r="3047" spans="1:30" x14ac:dyDescent="0.35">
      <c r="A3047" s="4">
        <v>42592</v>
      </c>
      <c r="B3047" t="s">
        <v>30</v>
      </c>
      <c r="C3047">
        <v>503</v>
      </c>
      <c r="D3047">
        <v>10</v>
      </c>
      <c r="E3047">
        <v>2</v>
      </c>
      <c r="F3047" t="s">
        <v>42</v>
      </c>
      <c r="G3047" t="s">
        <v>32</v>
      </c>
      <c r="H3047" t="s">
        <v>33</v>
      </c>
      <c r="I3047" t="s">
        <v>43</v>
      </c>
      <c r="J3047" t="s">
        <v>44</v>
      </c>
      <c r="K3047" t="s">
        <v>113</v>
      </c>
      <c r="L3047" t="s">
        <v>45</v>
      </c>
      <c r="M3047">
        <v>0</v>
      </c>
      <c r="N3047">
        <v>0</v>
      </c>
      <c r="O3047" s="5" t="s">
        <v>637</v>
      </c>
      <c r="P3047" s="5" t="s">
        <v>638</v>
      </c>
      <c r="Q3047">
        <f>32.5-16</f>
        <v>16.5</v>
      </c>
      <c r="R3047" t="s">
        <v>46</v>
      </c>
      <c r="T3047">
        <v>19</v>
      </c>
      <c r="U3047">
        <v>84</v>
      </c>
      <c r="V3047">
        <v>15</v>
      </c>
      <c r="W3047">
        <v>13.1</v>
      </c>
      <c r="X3047">
        <v>25.4</v>
      </c>
      <c r="Z3047" t="s">
        <v>39</v>
      </c>
      <c r="AB3047" t="s">
        <v>47</v>
      </c>
      <c r="AC3047" t="s">
        <v>41</v>
      </c>
    </row>
    <row r="3048" spans="1:30" x14ac:dyDescent="0.35">
      <c r="A3048" s="4">
        <v>42592</v>
      </c>
      <c r="B3048" t="s">
        <v>30</v>
      </c>
      <c r="C3048">
        <v>503</v>
      </c>
      <c r="D3048">
        <v>9</v>
      </c>
      <c r="E3048">
        <v>2</v>
      </c>
      <c r="F3048" t="s">
        <v>42</v>
      </c>
      <c r="G3048" t="s">
        <v>32</v>
      </c>
      <c r="H3048" t="s">
        <v>33</v>
      </c>
      <c r="I3048" t="s">
        <v>43</v>
      </c>
      <c r="J3048" t="s">
        <v>44</v>
      </c>
      <c r="K3048" t="s">
        <v>36</v>
      </c>
      <c r="L3048" t="s">
        <v>37</v>
      </c>
      <c r="M3048">
        <v>0</v>
      </c>
      <c r="N3048">
        <v>0</v>
      </c>
      <c r="O3048" s="5" t="s">
        <v>639</v>
      </c>
      <c r="P3048" s="5" t="s">
        <v>640</v>
      </c>
      <c r="Q3048">
        <f>32-14</f>
        <v>18</v>
      </c>
      <c r="T3048">
        <v>19</v>
      </c>
      <c r="U3048">
        <v>78</v>
      </c>
      <c r="V3048">
        <v>18</v>
      </c>
      <c r="W3048">
        <v>12.7</v>
      </c>
      <c r="X3048">
        <v>29.2</v>
      </c>
      <c r="Z3048" t="s">
        <v>102</v>
      </c>
      <c r="AB3048" t="s">
        <v>47</v>
      </c>
      <c r="AC3048" t="s">
        <v>41</v>
      </c>
    </row>
    <row r="3049" spans="1:30" x14ac:dyDescent="0.35">
      <c r="A3049" s="4">
        <v>42592</v>
      </c>
      <c r="B3049" t="s">
        <v>30</v>
      </c>
      <c r="C3049">
        <v>701</v>
      </c>
      <c r="D3049">
        <v>1</v>
      </c>
      <c r="E3049">
        <v>1</v>
      </c>
      <c r="F3049" t="s">
        <v>315</v>
      </c>
      <c r="G3049" t="s">
        <v>32</v>
      </c>
      <c r="H3049" t="s">
        <v>33</v>
      </c>
      <c r="I3049" t="s">
        <v>43</v>
      </c>
      <c r="J3049" t="s">
        <v>44</v>
      </c>
      <c r="K3049" t="s">
        <v>36</v>
      </c>
      <c r="L3049" t="s">
        <v>45</v>
      </c>
      <c r="M3049">
        <v>0</v>
      </c>
      <c r="N3049">
        <v>0</v>
      </c>
      <c r="O3049" s="5" t="s">
        <v>576</v>
      </c>
      <c r="P3049" s="5" t="s">
        <v>577</v>
      </c>
      <c r="Q3049">
        <f>36-17</f>
        <v>19</v>
      </c>
      <c r="R3049" t="s">
        <v>46</v>
      </c>
      <c r="T3049">
        <v>18</v>
      </c>
      <c r="U3049">
        <v>87</v>
      </c>
      <c r="V3049">
        <v>15</v>
      </c>
      <c r="W3049">
        <v>13.1</v>
      </c>
      <c r="X3049">
        <v>28</v>
      </c>
      <c r="Z3049" t="s">
        <v>102</v>
      </c>
      <c r="AA3049" t="s">
        <v>201</v>
      </c>
      <c r="AB3049" t="s">
        <v>60</v>
      </c>
      <c r="AC3049" t="s">
        <v>41</v>
      </c>
    </row>
    <row r="3050" spans="1:30" x14ac:dyDescent="0.35">
      <c r="A3050" s="4">
        <v>42592</v>
      </c>
      <c r="B3050" t="s">
        <v>30</v>
      </c>
      <c r="C3050">
        <v>701</v>
      </c>
      <c r="D3050">
        <v>3</v>
      </c>
      <c r="E3050">
        <v>2</v>
      </c>
      <c r="F3050" t="s">
        <v>315</v>
      </c>
      <c r="G3050" t="s">
        <v>32</v>
      </c>
      <c r="H3050" t="s">
        <v>33</v>
      </c>
      <c r="I3050" t="s">
        <v>43</v>
      </c>
      <c r="J3050" t="s">
        <v>44</v>
      </c>
      <c r="K3050" t="s">
        <v>113</v>
      </c>
      <c r="L3050" t="s">
        <v>37</v>
      </c>
      <c r="M3050">
        <v>0</v>
      </c>
      <c r="N3050">
        <v>0</v>
      </c>
      <c r="O3050" s="5" t="s">
        <v>578</v>
      </c>
      <c r="P3050" s="5" t="s">
        <v>579</v>
      </c>
      <c r="Q3050">
        <f>29-13</f>
        <v>16</v>
      </c>
      <c r="R3050" t="s">
        <v>64</v>
      </c>
      <c r="T3050">
        <v>20</v>
      </c>
      <c r="U3050">
        <v>87</v>
      </c>
      <c r="V3050">
        <v>17</v>
      </c>
      <c r="W3050">
        <v>12.9</v>
      </c>
      <c r="X3050">
        <v>28.1</v>
      </c>
      <c r="Z3050" t="s">
        <v>102</v>
      </c>
      <c r="AA3050" t="s">
        <v>201</v>
      </c>
      <c r="AB3050" t="s">
        <v>60</v>
      </c>
      <c r="AC3050" t="s">
        <v>41</v>
      </c>
    </row>
    <row r="3051" spans="1:30" x14ac:dyDescent="0.35">
      <c r="A3051" s="4">
        <v>42592</v>
      </c>
      <c r="B3051" t="s">
        <v>30</v>
      </c>
      <c r="C3051">
        <v>801</v>
      </c>
      <c r="D3051">
        <v>6</v>
      </c>
      <c r="E3051">
        <v>2</v>
      </c>
      <c r="F3051" t="s">
        <v>315</v>
      </c>
      <c r="G3051" t="s">
        <v>32</v>
      </c>
      <c r="H3051" t="s">
        <v>33</v>
      </c>
      <c r="I3051" t="s">
        <v>43</v>
      </c>
      <c r="J3051" t="s">
        <v>44</v>
      </c>
      <c r="K3051" t="s">
        <v>36</v>
      </c>
      <c r="L3051" t="s">
        <v>45</v>
      </c>
      <c r="M3051">
        <v>0</v>
      </c>
      <c r="N3051">
        <v>0</v>
      </c>
      <c r="O3051" s="5" t="s">
        <v>580</v>
      </c>
      <c r="P3051" s="5" t="s">
        <v>581</v>
      </c>
      <c r="Q3051">
        <f>38-18</f>
        <v>20</v>
      </c>
      <c r="R3051" t="s">
        <v>161</v>
      </c>
      <c r="S3051" t="s">
        <v>102</v>
      </c>
      <c r="T3051">
        <v>18</v>
      </c>
      <c r="U3051">
        <v>101</v>
      </c>
      <c r="V3051">
        <v>16</v>
      </c>
      <c r="W3051">
        <v>12.8</v>
      </c>
      <c r="X3051">
        <v>28.3</v>
      </c>
      <c r="Z3051" t="s">
        <v>102</v>
      </c>
      <c r="AB3051" t="s">
        <v>60</v>
      </c>
      <c r="AC3051" t="s">
        <v>41</v>
      </c>
    </row>
    <row r="3052" spans="1:30" x14ac:dyDescent="0.35">
      <c r="A3052" s="4">
        <v>42592</v>
      </c>
      <c r="B3052" t="s">
        <v>30</v>
      </c>
      <c r="C3052">
        <v>703</v>
      </c>
      <c r="D3052">
        <v>10</v>
      </c>
      <c r="E3052">
        <v>2</v>
      </c>
      <c r="F3052" t="s">
        <v>315</v>
      </c>
      <c r="G3052" t="s">
        <v>32</v>
      </c>
      <c r="H3052" t="s">
        <v>33</v>
      </c>
      <c r="I3052" t="s">
        <v>43</v>
      </c>
      <c r="J3052" t="s">
        <v>44</v>
      </c>
      <c r="K3052" t="s">
        <v>36</v>
      </c>
      <c r="L3052" t="s">
        <v>37</v>
      </c>
      <c r="M3052">
        <v>0</v>
      </c>
      <c r="N3052">
        <v>0</v>
      </c>
      <c r="O3052" s="5" t="s">
        <v>582</v>
      </c>
      <c r="P3052" s="5" t="s">
        <v>583</v>
      </c>
      <c r="Q3052">
        <f>36-16</f>
        <v>20</v>
      </c>
      <c r="R3052" t="s">
        <v>64</v>
      </c>
      <c r="T3052">
        <v>20</v>
      </c>
      <c r="U3052">
        <v>94</v>
      </c>
      <c r="V3052">
        <v>16</v>
      </c>
      <c r="W3052">
        <v>13</v>
      </c>
      <c r="X3052">
        <v>26.9</v>
      </c>
      <c r="Z3052" t="s">
        <v>102</v>
      </c>
      <c r="AA3052" t="s">
        <v>201</v>
      </c>
      <c r="AB3052" t="s">
        <v>60</v>
      </c>
      <c r="AC3052" t="s">
        <v>41</v>
      </c>
    </row>
    <row r="3053" spans="1:30" x14ac:dyDescent="0.35">
      <c r="A3053" s="4">
        <v>42592</v>
      </c>
      <c r="B3053" t="s">
        <v>30</v>
      </c>
      <c r="C3053">
        <v>503</v>
      </c>
      <c r="D3053">
        <v>7</v>
      </c>
      <c r="E3053">
        <v>2</v>
      </c>
      <c r="F3053" t="s">
        <v>42</v>
      </c>
      <c r="G3053" t="s">
        <v>32</v>
      </c>
      <c r="H3053" t="s">
        <v>33</v>
      </c>
      <c r="I3053" t="s">
        <v>43</v>
      </c>
      <c r="J3053" t="s">
        <v>44</v>
      </c>
      <c r="K3053" t="s">
        <v>88</v>
      </c>
      <c r="L3053" t="s">
        <v>37</v>
      </c>
      <c r="M3053">
        <v>0</v>
      </c>
      <c r="N3053">
        <v>0</v>
      </c>
      <c r="O3053" s="5" t="s">
        <v>587</v>
      </c>
      <c r="P3053" s="5" t="s">
        <v>585</v>
      </c>
      <c r="Q3053">
        <f>27.5-14</f>
        <v>13.5</v>
      </c>
      <c r="R3053" t="s">
        <v>64</v>
      </c>
      <c r="T3053">
        <v>19</v>
      </c>
      <c r="U3053">
        <v>75</v>
      </c>
      <c r="V3053">
        <v>16.5</v>
      </c>
      <c r="W3053">
        <v>12.4</v>
      </c>
      <c r="X3053">
        <v>29</v>
      </c>
      <c r="Y3053" t="s">
        <v>641</v>
      </c>
      <c r="Z3053" t="s">
        <v>102</v>
      </c>
      <c r="AB3053" t="s">
        <v>47</v>
      </c>
      <c r="AC3053" t="s">
        <v>41</v>
      </c>
    </row>
    <row r="3054" spans="1:30" x14ac:dyDescent="0.35">
      <c r="A3054" s="4">
        <v>42592</v>
      </c>
      <c r="B3054" t="s">
        <v>30</v>
      </c>
      <c r="C3054">
        <v>901</v>
      </c>
      <c r="D3054">
        <v>6</v>
      </c>
      <c r="E3054">
        <v>1</v>
      </c>
      <c r="F3054" t="s">
        <v>315</v>
      </c>
      <c r="G3054" t="s">
        <v>32</v>
      </c>
      <c r="H3054" t="s">
        <v>33</v>
      </c>
      <c r="I3054" t="s">
        <v>43</v>
      </c>
      <c r="J3054" t="s">
        <v>44</v>
      </c>
      <c r="O3054" s="5" t="s">
        <v>99</v>
      </c>
      <c r="P3054" s="5" t="s">
        <v>171</v>
      </c>
      <c r="Z3054" t="s">
        <v>102</v>
      </c>
      <c r="AB3054" t="s">
        <v>60</v>
      </c>
      <c r="AC3054" t="s">
        <v>41</v>
      </c>
      <c r="AD3054" t="s">
        <v>642</v>
      </c>
    </row>
    <row r="3055" spans="1:30" x14ac:dyDescent="0.35">
      <c r="A3055" s="4">
        <v>42592</v>
      </c>
      <c r="B3055" t="s">
        <v>30</v>
      </c>
      <c r="C3055">
        <v>503</v>
      </c>
      <c r="D3055">
        <v>2</v>
      </c>
      <c r="E3055">
        <v>2</v>
      </c>
      <c r="F3055" t="s">
        <v>42</v>
      </c>
      <c r="G3055" t="s">
        <v>32</v>
      </c>
      <c r="H3055" t="s">
        <v>33</v>
      </c>
      <c r="I3055" t="s">
        <v>34</v>
      </c>
      <c r="J3055" t="s">
        <v>44</v>
      </c>
      <c r="K3055" t="s">
        <v>36</v>
      </c>
      <c r="L3055" t="s">
        <v>45</v>
      </c>
      <c r="M3055">
        <v>0</v>
      </c>
      <c r="N3055">
        <v>0</v>
      </c>
      <c r="O3055" s="5" t="s">
        <v>590</v>
      </c>
      <c r="P3055" s="5"/>
      <c r="Q3055">
        <v>90</v>
      </c>
      <c r="R3055" t="s">
        <v>46</v>
      </c>
      <c r="S3055" t="s">
        <v>39</v>
      </c>
      <c r="T3055">
        <v>31</v>
      </c>
      <c r="W3055">
        <v>12.5</v>
      </c>
      <c r="X3055">
        <v>42.2</v>
      </c>
      <c r="Z3055" t="s">
        <v>39</v>
      </c>
      <c r="AB3055" t="s">
        <v>47</v>
      </c>
      <c r="AC3055" t="s">
        <v>41</v>
      </c>
    </row>
    <row r="3056" spans="1:30" x14ac:dyDescent="0.35">
      <c r="A3056" s="4">
        <v>42592</v>
      </c>
      <c r="B3056" t="s">
        <v>30</v>
      </c>
      <c r="C3056">
        <v>803</v>
      </c>
      <c r="D3056">
        <v>2</v>
      </c>
      <c r="E3056">
        <v>1</v>
      </c>
      <c r="F3056" t="s">
        <v>315</v>
      </c>
      <c r="G3056" t="s">
        <v>32</v>
      </c>
      <c r="H3056" t="s">
        <v>33</v>
      </c>
      <c r="I3056" t="s">
        <v>34</v>
      </c>
      <c r="J3056" t="s">
        <v>44</v>
      </c>
      <c r="O3056" s="5" t="s">
        <v>643</v>
      </c>
      <c r="P3056" s="5"/>
      <c r="AB3056" t="s">
        <v>60</v>
      </c>
      <c r="AC3056" t="s">
        <v>41</v>
      </c>
      <c r="AD3056" t="s">
        <v>370</v>
      </c>
    </row>
    <row r="3057" spans="1:30" x14ac:dyDescent="0.35">
      <c r="A3057" s="4">
        <v>42592</v>
      </c>
      <c r="B3057" t="s">
        <v>30</v>
      </c>
      <c r="C3057">
        <v>801</v>
      </c>
      <c r="D3057">
        <v>10</v>
      </c>
      <c r="E3057">
        <v>2</v>
      </c>
      <c r="F3057" t="s">
        <v>315</v>
      </c>
      <c r="G3057" t="s">
        <v>32</v>
      </c>
      <c r="H3057" t="s">
        <v>33</v>
      </c>
      <c r="I3057" t="s">
        <v>34</v>
      </c>
      <c r="J3057" t="s">
        <v>44</v>
      </c>
      <c r="K3057" t="s">
        <v>36</v>
      </c>
      <c r="L3057" t="s">
        <v>37</v>
      </c>
      <c r="M3057">
        <v>0</v>
      </c>
      <c r="N3057">
        <v>0</v>
      </c>
      <c r="O3057" s="5" t="s">
        <v>644</v>
      </c>
      <c r="P3057" s="5"/>
      <c r="Q3057">
        <f>136-46</f>
        <v>90</v>
      </c>
      <c r="R3057" t="s">
        <v>64</v>
      </c>
      <c r="T3057">
        <v>30</v>
      </c>
      <c r="W3057">
        <v>21.5</v>
      </c>
      <c r="X3057">
        <v>41</v>
      </c>
      <c r="Z3057" t="s">
        <v>102</v>
      </c>
      <c r="AA3057" t="s">
        <v>201</v>
      </c>
      <c r="AB3057" t="s">
        <v>60</v>
      </c>
      <c r="AC3057" t="s">
        <v>41</v>
      </c>
      <c r="AD3057" t="s">
        <v>645</v>
      </c>
    </row>
    <row r="3058" spans="1:30" x14ac:dyDescent="0.35">
      <c r="A3058" s="4">
        <v>42592</v>
      </c>
      <c r="B3058" t="s">
        <v>30</v>
      </c>
      <c r="C3058">
        <v>501</v>
      </c>
      <c r="D3058">
        <v>2</v>
      </c>
      <c r="E3058">
        <v>2</v>
      </c>
      <c r="F3058" t="s">
        <v>42</v>
      </c>
      <c r="G3058" t="s">
        <v>32</v>
      </c>
      <c r="H3058" t="s">
        <v>33</v>
      </c>
      <c r="I3058" t="s">
        <v>34</v>
      </c>
      <c r="J3058" t="s">
        <v>44</v>
      </c>
      <c r="K3058" t="s">
        <v>88</v>
      </c>
      <c r="L3058" t="s">
        <v>45</v>
      </c>
      <c r="M3058">
        <v>0</v>
      </c>
      <c r="N3058">
        <v>0</v>
      </c>
      <c r="O3058" s="5" t="s">
        <v>646</v>
      </c>
      <c r="P3058" s="5"/>
      <c r="Q3058">
        <f>155-90</f>
        <v>65</v>
      </c>
      <c r="R3058" t="s">
        <v>46</v>
      </c>
      <c r="S3058" t="s">
        <v>39</v>
      </c>
      <c r="T3058">
        <v>28</v>
      </c>
      <c r="W3058">
        <v>20.9</v>
      </c>
      <c r="X3058">
        <v>41.5</v>
      </c>
      <c r="Z3058" t="s">
        <v>39</v>
      </c>
      <c r="AB3058" t="s">
        <v>47</v>
      </c>
      <c r="AC3058" t="s">
        <v>41</v>
      </c>
    </row>
    <row r="3059" spans="1:30" x14ac:dyDescent="0.35">
      <c r="A3059" s="4">
        <v>42592</v>
      </c>
      <c r="B3059" t="s">
        <v>30</v>
      </c>
      <c r="C3059">
        <v>701</v>
      </c>
      <c r="D3059">
        <v>10</v>
      </c>
      <c r="E3059">
        <v>2</v>
      </c>
      <c r="F3059" t="s">
        <v>315</v>
      </c>
      <c r="G3059" t="s">
        <v>32</v>
      </c>
      <c r="H3059" t="s">
        <v>33</v>
      </c>
      <c r="I3059" t="s">
        <v>34</v>
      </c>
      <c r="J3059" t="s">
        <v>44</v>
      </c>
      <c r="K3059" t="s">
        <v>36</v>
      </c>
      <c r="L3059" t="s">
        <v>45</v>
      </c>
      <c r="M3059">
        <v>0</v>
      </c>
      <c r="N3059">
        <v>0</v>
      </c>
      <c r="O3059" s="5"/>
      <c r="P3059" s="5" t="s">
        <v>93</v>
      </c>
      <c r="Q3059">
        <f>142-50</f>
        <v>92</v>
      </c>
      <c r="R3059" t="s">
        <v>74</v>
      </c>
      <c r="S3059" t="s">
        <v>102</v>
      </c>
      <c r="T3059">
        <v>29</v>
      </c>
      <c r="W3059">
        <v>22.2</v>
      </c>
      <c r="X3059">
        <v>42.8</v>
      </c>
      <c r="Y3059" t="s">
        <v>647</v>
      </c>
      <c r="Z3059" t="s">
        <v>102</v>
      </c>
      <c r="AA3059" t="s">
        <v>201</v>
      </c>
      <c r="AB3059" t="s">
        <v>60</v>
      </c>
      <c r="AC3059" t="s">
        <v>41</v>
      </c>
      <c r="AD3059" t="s">
        <v>648</v>
      </c>
    </row>
    <row r="3060" spans="1:30" x14ac:dyDescent="0.35">
      <c r="A3060" s="4">
        <v>42592</v>
      </c>
      <c r="B3060" t="s">
        <v>30</v>
      </c>
      <c r="C3060">
        <v>801</v>
      </c>
      <c r="D3060">
        <v>7</v>
      </c>
      <c r="E3060">
        <v>2</v>
      </c>
      <c r="F3060" t="s">
        <v>315</v>
      </c>
      <c r="G3060" t="s">
        <v>32</v>
      </c>
      <c r="H3060" t="s">
        <v>33</v>
      </c>
      <c r="I3060" t="s">
        <v>34</v>
      </c>
      <c r="J3060" t="s">
        <v>44</v>
      </c>
      <c r="K3060" t="s">
        <v>36</v>
      </c>
      <c r="L3060" t="s">
        <v>37</v>
      </c>
      <c r="M3060">
        <v>0</v>
      </c>
      <c r="N3060">
        <v>0</v>
      </c>
      <c r="O3060" s="5"/>
      <c r="P3060" s="5" t="s">
        <v>591</v>
      </c>
      <c r="Q3060">
        <f>142-46</f>
        <v>96</v>
      </c>
      <c r="R3060" t="s">
        <v>64</v>
      </c>
      <c r="T3060">
        <v>33</v>
      </c>
      <c r="W3060">
        <v>22</v>
      </c>
      <c r="X3060">
        <v>41.8</v>
      </c>
      <c r="Z3060" t="s">
        <v>102</v>
      </c>
      <c r="AA3060" t="s">
        <v>201</v>
      </c>
      <c r="AB3060" t="s">
        <v>60</v>
      </c>
      <c r="AC3060" t="s">
        <v>41</v>
      </c>
      <c r="AD3060" t="s">
        <v>513</v>
      </c>
    </row>
    <row r="3061" spans="1:30" x14ac:dyDescent="0.35">
      <c r="A3061" s="4">
        <v>42592</v>
      </c>
      <c r="B3061" t="s">
        <v>30</v>
      </c>
      <c r="C3061">
        <v>503</v>
      </c>
      <c r="D3061">
        <v>9</v>
      </c>
      <c r="E3061">
        <v>1</v>
      </c>
      <c r="F3061" t="s">
        <v>42</v>
      </c>
      <c r="G3061" t="s">
        <v>32</v>
      </c>
      <c r="H3061" t="s">
        <v>33</v>
      </c>
      <c r="I3061" t="s">
        <v>34</v>
      </c>
      <c r="J3061" t="s">
        <v>122</v>
      </c>
      <c r="O3061" s="5"/>
      <c r="P3061" s="5"/>
    </row>
    <row r="3062" spans="1:30" x14ac:dyDescent="0.35">
      <c r="A3062" s="4">
        <v>42592</v>
      </c>
      <c r="B3062" t="s">
        <v>30</v>
      </c>
      <c r="C3062">
        <v>803</v>
      </c>
      <c r="D3062">
        <v>6</v>
      </c>
      <c r="E3062">
        <v>1</v>
      </c>
      <c r="F3062" t="s">
        <v>315</v>
      </c>
      <c r="G3062" t="s">
        <v>32</v>
      </c>
      <c r="H3062" t="s">
        <v>33</v>
      </c>
      <c r="I3062" t="s">
        <v>58</v>
      </c>
      <c r="J3062" t="s">
        <v>35</v>
      </c>
      <c r="K3062" t="s">
        <v>113</v>
      </c>
      <c r="L3062" t="s">
        <v>37</v>
      </c>
      <c r="M3062">
        <v>0</v>
      </c>
      <c r="N3062">
        <v>1</v>
      </c>
      <c r="O3062" s="5" t="s">
        <v>649</v>
      </c>
      <c r="P3062" s="5"/>
      <c r="Q3062">
        <f>34-16</f>
        <v>18</v>
      </c>
      <c r="R3062" t="s">
        <v>38</v>
      </c>
      <c r="T3062">
        <v>17</v>
      </c>
      <c r="W3062">
        <v>12.5</v>
      </c>
      <c r="X3062">
        <v>26.6</v>
      </c>
      <c r="Z3062" t="s">
        <v>102</v>
      </c>
      <c r="AA3062" t="s">
        <v>201</v>
      </c>
      <c r="AB3062" t="s">
        <v>60</v>
      </c>
      <c r="AC3062" t="s">
        <v>41</v>
      </c>
    </row>
    <row r="3063" spans="1:30" x14ac:dyDescent="0.35">
      <c r="A3063" s="4">
        <v>42592</v>
      </c>
      <c r="B3063" t="s">
        <v>30</v>
      </c>
      <c r="C3063">
        <v>703</v>
      </c>
      <c r="D3063">
        <v>8</v>
      </c>
      <c r="E3063">
        <v>2</v>
      </c>
      <c r="F3063" t="s">
        <v>315</v>
      </c>
      <c r="G3063" t="s">
        <v>32</v>
      </c>
      <c r="H3063" t="s">
        <v>33</v>
      </c>
      <c r="I3063" t="s">
        <v>58</v>
      </c>
      <c r="J3063" t="s">
        <v>35</v>
      </c>
      <c r="K3063" t="s">
        <v>113</v>
      </c>
      <c r="L3063" t="s">
        <v>45</v>
      </c>
      <c r="M3063">
        <v>0</v>
      </c>
      <c r="N3063">
        <v>1</v>
      </c>
      <c r="O3063" s="5" t="s">
        <v>650</v>
      </c>
      <c r="P3063" s="5"/>
      <c r="Q3063">
        <f>30-13</f>
        <v>17</v>
      </c>
      <c r="R3063" t="s">
        <v>46</v>
      </c>
      <c r="S3063" t="s">
        <v>39</v>
      </c>
      <c r="T3063">
        <v>18.5</v>
      </c>
      <c r="W3063">
        <v>12.6</v>
      </c>
      <c r="X3063">
        <v>26.6</v>
      </c>
      <c r="Z3063" t="s">
        <v>102</v>
      </c>
      <c r="AA3063" t="s">
        <v>651</v>
      </c>
      <c r="AB3063" t="s">
        <v>60</v>
      </c>
      <c r="AC3063" t="s">
        <v>41</v>
      </c>
    </row>
    <row r="3064" spans="1:30" x14ac:dyDescent="0.35">
      <c r="A3064" s="4">
        <v>42592</v>
      </c>
      <c r="B3064" t="s">
        <v>30</v>
      </c>
      <c r="C3064">
        <v>401</v>
      </c>
      <c r="D3064">
        <v>6</v>
      </c>
      <c r="E3064">
        <v>1</v>
      </c>
      <c r="F3064" t="s">
        <v>42</v>
      </c>
      <c r="G3064" t="s">
        <v>32</v>
      </c>
      <c r="H3064" t="s">
        <v>33</v>
      </c>
      <c r="I3064" t="s">
        <v>58</v>
      </c>
      <c r="J3064" t="s">
        <v>35</v>
      </c>
      <c r="K3064" t="s">
        <v>36</v>
      </c>
      <c r="L3064" t="s">
        <v>37</v>
      </c>
      <c r="M3064">
        <v>0</v>
      </c>
      <c r="N3064">
        <v>0</v>
      </c>
      <c r="O3064" s="5" t="s">
        <v>652</v>
      </c>
      <c r="P3064" s="5"/>
      <c r="Q3064">
        <f>39-14</f>
        <v>25</v>
      </c>
      <c r="R3064" t="s">
        <v>38</v>
      </c>
      <c r="T3064">
        <v>18</v>
      </c>
      <c r="W3064">
        <v>13.3</v>
      </c>
      <c r="X3064">
        <v>29.7</v>
      </c>
      <c r="Z3064" t="s">
        <v>102</v>
      </c>
      <c r="AB3064" t="s">
        <v>47</v>
      </c>
      <c r="AC3064" t="s">
        <v>41</v>
      </c>
    </row>
    <row r="3065" spans="1:30" x14ac:dyDescent="0.35">
      <c r="A3065" s="4">
        <v>42592</v>
      </c>
      <c r="B3065" t="s">
        <v>30</v>
      </c>
      <c r="C3065">
        <v>303</v>
      </c>
      <c r="D3065">
        <v>1</v>
      </c>
      <c r="E3065">
        <v>1</v>
      </c>
      <c r="F3065" t="s">
        <v>42</v>
      </c>
      <c r="G3065" t="s">
        <v>32</v>
      </c>
      <c r="H3065" t="s">
        <v>33</v>
      </c>
      <c r="I3065" t="s">
        <v>58</v>
      </c>
      <c r="J3065" t="s">
        <v>44</v>
      </c>
      <c r="K3065" t="s">
        <v>36</v>
      </c>
      <c r="L3065" t="s">
        <v>45</v>
      </c>
      <c r="M3065">
        <v>0</v>
      </c>
      <c r="N3065">
        <v>0</v>
      </c>
      <c r="O3065" s="5" t="s">
        <v>596</v>
      </c>
      <c r="P3065" s="5"/>
      <c r="Q3065">
        <f>37-13.5</f>
        <v>23.5</v>
      </c>
      <c r="R3065" t="s">
        <v>46</v>
      </c>
      <c r="S3065" t="s">
        <v>39</v>
      </c>
      <c r="T3065">
        <v>18</v>
      </c>
      <c r="W3065">
        <v>13</v>
      </c>
      <c r="X3065">
        <v>24.1</v>
      </c>
      <c r="Z3065" t="s">
        <v>102</v>
      </c>
      <c r="AB3065" t="s">
        <v>47</v>
      </c>
      <c r="AC3065" t="s">
        <v>41</v>
      </c>
    </row>
    <row r="3066" spans="1:30" x14ac:dyDescent="0.35">
      <c r="A3066" s="4">
        <v>42592</v>
      </c>
      <c r="B3066" t="s">
        <v>30</v>
      </c>
      <c r="C3066">
        <v>303</v>
      </c>
      <c r="D3066">
        <v>2</v>
      </c>
      <c r="E3066">
        <v>1</v>
      </c>
      <c r="F3066" t="s">
        <v>42</v>
      </c>
      <c r="G3066" t="s">
        <v>32</v>
      </c>
      <c r="H3066" t="s">
        <v>33</v>
      </c>
      <c r="I3066" t="s">
        <v>58</v>
      </c>
      <c r="J3066" t="s">
        <v>44</v>
      </c>
      <c r="K3066" t="s">
        <v>36</v>
      </c>
      <c r="L3066" t="s">
        <v>37</v>
      </c>
      <c r="M3066">
        <v>0</v>
      </c>
      <c r="N3066">
        <v>0</v>
      </c>
      <c r="O3066" s="5" t="s">
        <v>653</v>
      </c>
      <c r="P3066" s="5"/>
      <c r="Q3066">
        <f>44-16</f>
        <v>28</v>
      </c>
      <c r="R3066" t="s">
        <v>64</v>
      </c>
      <c r="T3066">
        <v>18</v>
      </c>
      <c r="W3066">
        <v>13</v>
      </c>
      <c r="X3066">
        <v>29.5</v>
      </c>
      <c r="Z3066" t="s">
        <v>102</v>
      </c>
      <c r="AB3066" t="s">
        <v>47</v>
      </c>
      <c r="AC3066" t="s">
        <v>41</v>
      </c>
    </row>
    <row r="3067" spans="1:30" x14ac:dyDescent="0.35">
      <c r="A3067" s="4">
        <v>42592</v>
      </c>
      <c r="B3067" t="s">
        <v>30</v>
      </c>
      <c r="C3067">
        <v>303</v>
      </c>
      <c r="D3067">
        <v>5</v>
      </c>
      <c r="E3067">
        <v>1</v>
      </c>
      <c r="F3067" t="s">
        <v>42</v>
      </c>
      <c r="G3067" t="s">
        <v>32</v>
      </c>
      <c r="H3067" t="s">
        <v>33</v>
      </c>
      <c r="I3067" t="s">
        <v>58</v>
      </c>
      <c r="J3067" t="s">
        <v>44</v>
      </c>
      <c r="K3067" t="s">
        <v>36</v>
      </c>
      <c r="L3067" t="s">
        <v>45</v>
      </c>
      <c r="M3067">
        <v>0</v>
      </c>
      <c r="N3067">
        <v>0</v>
      </c>
      <c r="O3067" s="5" t="s">
        <v>598</v>
      </c>
      <c r="P3067" s="5"/>
      <c r="Q3067">
        <f>40-12.5</f>
        <v>27.5</v>
      </c>
      <c r="R3067" t="s">
        <v>79</v>
      </c>
      <c r="S3067" t="s">
        <v>39</v>
      </c>
      <c r="T3067">
        <v>17</v>
      </c>
      <c r="W3067">
        <v>13.6</v>
      </c>
      <c r="X3067">
        <v>27</v>
      </c>
      <c r="Z3067" t="s">
        <v>102</v>
      </c>
      <c r="AB3067" t="s">
        <v>47</v>
      </c>
      <c r="AC3067" t="s">
        <v>41</v>
      </c>
    </row>
    <row r="3068" spans="1:30" x14ac:dyDescent="0.35">
      <c r="A3068" s="4">
        <v>42592</v>
      </c>
      <c r="B3068" t="s">
        <v>30</v>
      </c>
      <c r="C3068">
        <v>801</v>
      </c>
      <c r="D3068">
        <v>5</v>
      </c>
      <c r="E3068">
        <v>1</v>
      </c>
      <c r="F3068" t="s">
        <v>315</v>
      </c>
      <c r="G3068" t="s">
        <v>32</v>
      </c>
      <c r="H3068" t="s">
        <v>33</v>
      </c>
      <c r="I3068" t="s">
        <v>58</v>
      </c>
      <c r="J3068" t="s">
        <v>44</v>
      </c>
      <c r="K3068" t="s">
        <v>36</v>
      </c>
      <c r="L3068" t="s">
        <v>45</v>
      </c>
      <c r="M3068">
        <v>0</v>
      </c>
      <c r="N3068">
        <v>0</v>
      </c>
      <c r="O3068" s="5" t="s">
        <v>599</v>
      </c>
      <c r="P3068" s="5"/>
      <c r="Q3068">
        <f>49.5-16</f>
        <v>33.5</v>
      </c>
      <c r="R3068" t="s">
        <v>145</v>
      </c>
      <c r="S3068" t="s">
        <v>102</v>
      </c>
      <c r="T3068">
        <v>18.5</v>
      </c>
      <c r="W3068">
        <v>13</v>
      </c>
      <c r="X3068">
        <v>27.8</v>
      </c>
      <c r="Z3068" t="s">
        <v>102</v>
      </c>
      <c r="AA3068" t="s">
        <v>201</v>
      </c>
      <c r="AB3068" t="s">
        <v>60</v>
      </c>
      <c r="AC3068" t="s">
        <v>41</v>
      </c>
      <c r="AD3068" t="s">
        <v>654</v>
      </c>
    </row>
    <row r="3069" spans="1:30" x14ac:dyDescent="0.35">
      <c r="A3069" s="4">
        <v>42592</v>
      </c>
      <c r="B3069" t="s">
        <v>30</v>
      </c>
      <c r="C3069">
        <v>703</v>
      </c>
      <c r="D3069">
        <v>5</v>
      </c>
      <c r="E3069">
        <v>2</v>
      </c>
      <c r="F3069" t="s">
        <v>315</v>
      </c>
      <c r="G3069" t="s">
        <v>32</v>
      </c>
      <c r="H3069" t="s">
        <v>33</v>
      </c>
      <c r="I3069" t="s">
        <v>58</v>
      </c>
      <c r="J3069" t="s">
        <v>44</v>
      </c>
      <c r="K3069" t="s">
        <v>113</v>
      </c>
      <c r="L3069" t="s">
        <v>37</v>
      </c>
      <c r="M3069">
        <v>0</v>
      </c>
      <c r="N3069">
        <v>0</v>
      </c>
      <c r="O3069" s="5" t="s">
        <v>655</v>
      </c>
      <c r="P3069" s="5"/>
      <c r="Q3069">
        <f>33-15.5</f>
        <v>17.5</v>
      </c>
      <c r="R3069" t="s">
        <v>38</v>
      </c>
      <c r="T3069">
        <v>16</v>
      </c>
      <c r="Z3069" t="s">
        <v>102</v>
      </c>
      <c r="AA3069" t="s">
        <v>201</v>
      </c>
      <c r="AB3069" t="s">
        <v>60</v>
      </c>
      <c r="AC3069" t="s">
        <v>41</v>
      </c>
    </row>
    <row r="3070" spans="1:30" x14ac:dyDescent="0.35">
      <c r="A3070" s="4">
        <v>42592</v>
      </c>
      <c r="B3070" t="s">
        <v>30</v>
      </c>
      <c r="C3070">
        <v>401</v>
      </c>
      <c r="D3070">
        <v>6</v>
      </c>
      <c r="E3070">
        <v>2</v>
      </c>
      <c r="F3070" t="s">
        <v>42</v>
      </c>
      <c r="G3070" t="s">
        <v>32</v>
      </c>
      <c r="H3070" t="s">
        <v>33</v>
      </c>
      <c r="I3070" t="s">
        <v>58</v>
      </c>
      <c r="J3070" t="s">
        <v>44</v>
      </c>
      <c r="K3070" t="s">
        <v>36</v>
      </c>
      <c r="L3070" t="s">
        <v>37</v>
      </c>
      <c r="M3070">
        <v>0</v>
      </c>
      <c r="N3070">
        <v>0</v>
      </c>
      <c r="O3070" s="5" t="s">
        <v>656</v>
      </c>
      <c r="P3070" s="5"/>
      <c r="Q3070">
        <f>38-16.5</f>
        <v>21.5</v>
      </c>
      <c r="R3070" t="s">
        <v>64</v>
      </c>
      <c r="T3070">
        <v>17</v>
      </c>
      <c r="X3070">
        <v>26.4</v>
      </c>
      <c r="Z3070" t="s">
        <v>102</v>
      </c>
      <c r="AB3070" t="s">
        <v>47</v>
      </c>
      <c r="AC3070" t="s">
        <v>41</v>
      </c>
    </row>
    <row r="3071" spans="1:30" x14ac:dyDescent="0.35">
      <c r="A3071" s="4">
        <v>42592</v>
      </c>
      <c r="B3071" t="s">
        <v>30</v>
      </c>
      <c r="C3071">
        <v>401</v>
      </c>
      <c r="D3071">
        <v>1</v>
      </c>
      <c r="E3071">
        <v>1</v>
      </c>
      <c r="F3071" t="s">
        <v>42</v>
      </c>
      <c r="G3071" t="s">
        <v>32</v>
      </c>
      <c r="H3071" t="s">
        <v>33</v>
      </c>
      <c r="I3071" t="s">
        <v>58</v>
      </c>
      <c r="J3071" t="s">
        <v>44</v>
      </c>
      <c r="K3071" t="s">
        <v>36</v>
      </c>
      <c r="L3071" t="s">
        <v>45</v>
      </c>
      <c r="M3071">
        <v>0</v>
      </c>
      <c r="N3071">
        <v>0</v>
      </c>
      <c r="O3071" s="5" t="s">
        <v>657</v>
      </c>
      <c r="P3071" s="5"/>
      <c r="Q3071">
        <f>43-13</f>
        <v>30</v>
      </c>
      <c r="R3071" t="s">
        <v>79</v>
      </c>
      <c r="S3071" t="s">
        <v>39</v>
      </c>
      <c r="T3071">
        <v>17</v>
      </c>
      <c r="X3071">
        <v>27</v>
      </c>
      <c r="Z3071" t="s">
        <v>102</v>
      </c>
      <c r="AB3071" t="s">
        <v>47</v>
      </c>
      <c r="AC3071" t="s">
        <v>41</v>
      </c>
    </row>
    <row r="3072" spans="1:30" x14ac:dyDescent="0.35">
      <c r="A3072" s="4">
        <v>42592</v>
      </c>
      <c r="B3072" t="s">
        <v>30</v>
      </c>
      <c r="C3072">
        <v>501</v>
      </c>
      <c r="D3072">
        <v>10</v>
      </c>
      <c r="E3072">
        <v>2</v>
      </c>
      <c r="F3072" t="s">
        <v>42</v>
      </c>
      <c r="G3072" t="s">
        <v>32</v>
      </c>
      <c r="H3072" t="s">
        <v>33</v>
      </c>
      <c r="I3072" t="s">
        <v>58</v>
      </c>
      <c r="J3072" t="s">
        <v>44</v>
      </c>
      <c r="K3072" t="s">
        <v>36</v>
      </c>
      <c r="L3072" t="s">
        <v>45</v>
      </c>
      <c r="M3072">
        <v>0</v>
      </c>
      <c r="N3072">
        <v>0</v>
      </c>
      <c r="O3072" s="5" t="s">
        <v>279</v>
      </c>
      <c r="P3072" s="5"/>
      <c r="Q3072">
        <f>48-14.5</f>
        <v>33.5</v>
      </c>
      <c r="R3072" t="s">
        <v>149</v>
      </c>
      <c r="S3072" t="s">
        <v>102</v>
      </c>
      <c r="T3072">
        <v>19</v>
      </c>
      <c r="W3072">
        <v>13.4</v>
      </c>
      <c r="X3072">
        <v>31.6</v>
      </c>
      <c r="Z3072" t="s">
        <v>102</v>
      </c>
      <c r="AB3072" t="s">
        <v>47</v>
      </c>
      <c r="AC3072" t="s">
        <v>41</v>
      </c>
    </row>
    <row r="3073" spans="1:30" x14ac:dyDescent="0.35">
      <c r="A3073" s="4">
        <v>42592</v>
      </c>
      <c r="B3073" t="s">
        <v>30</v>
      </c>
      <c r="C3073">
        <v>801</v>
      </c>
      <c r="D3073">
        <v>9</v>
      </c>
      <c r="E3073">
        <v>2</v>
      </c>
      <c r="F3073" t="s">
        <v>315</v>
      </c>
      <c r="G3073" t="s">
        <v>32</v>
      </c>
      <c r="H3073" t="s">
        <v>33</v>
      </c>
      <c r="I3073" t="s">
        <v>58</v>
      </c>
      <c r="J3073" t="s">
        <v>122</v>
      </c>
      <c r="O3073" s="5"/>
      <c r="P3073" s="5"/>
    </row>
    <row r="3074" spans="1:30" x14ac:dyDescent="0.35">
      <c r="A3074" s="4">
        <v>42592</v>
      </c>
      <c r="B3074" t="s">
        <v>30</v>
      </c>
      <c r="C3074">
        <v>703</v>
      </c>
      <c r="D3074">
        <v>3</v>
      </c>
      <c r="E3074">
        <v>2</v>
      </c>
      <c r="F3074" t="s">
        <v>315</v>
      </c>
      <c r="G3074" t="s">
        <v>32</v>
      </c>
      <c r="H3074" t="s">
        <v>33</v>
      </c>
      <c r="I3074" t="s">
        <v>55</v>
      </c>
      <c r="J3074" t="s">
        <v>66</v>
      </c>
      <c r="O3074" s="5"/>
      <c r="P3074" s="5"/>
    </row>
    <row r="3075" spans="1:30" x14ac:dyDescent="0.35">
      <c r="A3075" s="4">
        <v>42592</v>
      </c>
      <c r="B3075" t="s">
        <v>30</v>
      </c>
      <c r="C3075">
        <v>801</v>
      </c>
      <c r="D3075">
        <v>2</v>
      </c>
      <c r="E3075">
        <v>1</v>
      </c>
      <c r="F3075" t="s">
        <v>315</v>
      </c>
      <c r="G3075" t="s">
        <v>32</v>
      </c>
      <c r="H3075" t="s">
        <v>33</v>
      </c>
      <c r="I3075" t="s">
        <v>55</v>
      </c>
      <c r="J3075" t="s">
        <v>66</v>
      </c>
      <c r="O3075" s="5"/>
      <c r="P3075" s="5"/>
    </row>
    <row r="3076" spans="1:30" x14ac:dyDescent="0.35">
      <c r="A3076" s="4">
        <v>42592</v>
      </c>
      <c r="B3076" t="s">
        <v>30</v>
      </c>
      <c r="C3076">
        <v>803</v>
      </c>
      <c r="D3076">
        <v>8</v>
      </c>
      <c r="E3076">
        <v>1</v>
      </c>
      <c r="F3076" t="s">
        <v>315</v>
      </c>
      <c r="G3076" t="s">
        <v>32</v>
      </c>
      <c r="H3076" t="s">
        <v>33</v>
      </c>
      <c r="I3076" t="s">
        <v>55</v>
      </c>
      <c r="J3076" t="s">
        <v>66</v>
      </c>
      <c r="O3076" s="5"/>
      <c r="P3076" s="5"/>
    </row>
    <row r="3077" spans="1:30" x14ac:dyDescent="0.35">
      <c r="A3077" s="4">
        <v>42592</v>
      </c>
      <c r="B3077" t="s">
        <v>30</v>
      </c>
      <c r="C3077">
        <v>901</v>
      </c>
      <c r="D3077">
        <v>4</v>
      </c>
      <c r="E3077">
        <v>1</v>
      </c>
      <c r="F3077" t="s">
        <v>315</v>
      </c>
      <c r="G3077" t="s">
        <v>32</v>
      </c>
      <c r="H3077" t="s">
        <v>33</v>
      </c>
      <c r="I3077" t="s">
        <v>55</v>
      </c>
      <c r="J3077" t="s">
        <v>66</v>
      </c>
      <c r="O3077" s="5"/>
      <c r="P3077" s="5"/>
    </row>
    <row r="3078" spans="1:30" x14ac:dyDescent="0.35">
      <c r="A3078" s="4">
        <v>42592</v>
      </c>
      <c r="B3078" t="s">
        <v>30</v>
      </c>
      <c r="C3078">
        <v>501</v>
      </c>
      <c r="D3078">
        <v>5</v>
      </c>
      <c r="E3078">
        <v>1</v>
      </c>
      <c r="F3078" t="s">
        <v>42</v>
      </c>
      <c r="G3078" t="s">
        <v>32</v>
      </c>
      <c r="H3078" t="s">
        <v>33</v>
      </c>
      <c r="I3078" t="s">
        <v>55</v>
      </c>
      <c r="J3078" t="s">
        <v>66</v>
      </c>
      <c r="O3078" s="5"/>
      <c r="P3078" s="5"/>
      <c r="AB3078" t="s">
        <v>47</v>
      </c>
      <c r="AC3078" t="s">
        <v>41</v>
      </c>
      <c r="AD3078" t="s">
        <v>658</v>
      </c>
    </row>
    <row r="3079" spans="1:30" x14ac:dyDescent="0.35">
      <c r="A3079" s="4">
        <v>42592</v>
      </c>
      <c r="B3079" t="s">
        <v>30</v>
      </c>
      <c r="C3079">
        <v>503</v>
      </c>
      <c r="D3079">
        <v>1</v>
      </c>
      <c r="E3079">
        <v>1</v>
      </c>
      <c r="F3079" t="s">
        <v>42</v>
      </c>
      <c r="G3079" t="s">
        <v>32</v>
      </c>
      <c r="H3079" t="s">
        <v>33</v>
      </c>
      <c r="I3079" t="s">
        <v>55</v>
      </c>
      <c r="J3079" t="s">
        <v>66</v>
      </c>
      <c r="O3079" s="5"/>
      <c r="P3079" s="5"/>
    </row>
    <row r="3080" spans="1:30" x14ac:dyDescent="0.35">
      <c r="A3080" s="4">
        <v>42592</v>
      </c>
      <c r="B3080" t="s">
        <v>30</v>
      </c>
      <c r="C3080">
        <v>503</v>
      </c>
      <c r="D3080">
        <v>5</v>
      </c>
      <c r="E3080">
        <v>1</v>
      </c>
      <c r="F3080" t="s">
        <v>42</v>
      </c>
      <c r="G3080" t="s">
        <v>32</v>
      </c>
      <c r="H3080" t="s">
        <v>33</v>
      </c>
      <c r="I3080" t="s">
        <v>55</v>
      </c>
      <c r="J3080" t="s">
        <v>66</v>
      </c>
      <c r="O3080" s="5"/>
      <c r="P3080" s="5"/>
    </row>
    <row r="3081" spans="1:30" x14ac:dyDescent="0.35">
      <c r="A3081" s="4">
        <v>42592</v>
      </c>
      <c r="B3081" t="s">
        <v>30</v>
      </c>
      <c r="C3081">
        <v>503</v>
      </c>
      <c r="D3081">
        <v>8</v>
      </c>
      <c r="E3081">
        <v>2</v>
      </c>
      <c r="F3081" t="s">
        <v>42</v>
      </c>
      <c r="G3081" t="s">
        <v>32</v>
      </c>
      <c r="H3081" t="s">
        <v>33</v>
      </c>
      <c r="I3081" t="s">
        <v>55</v>
      </c>
      <c r="J3081" t="s">
        <v>66</v>
      </c>
      <c r="O3081" s="5"/>
      <c r="P3081" s="5"/>
    </row>
    <row r="3082" spans="1:30" x14ac:dyDescent="0.35">
      <c r="A3082" s="4">
        <v>42592</v>
      </c>
      <c r="B3082" t="s">
        <v>30</v>
      </c>
      <c r="C3082">
        <v>303</v>
      </c>
      <c r="D3082">
        <v>3</v>
      </c>
      <c r="E3082">
        <v>2</v>
      </c>
      <c r="F3082" t="s">
        <v>42</v>
      </c>
      <c r="G3082" t="s">
        <v>32</v>
      </c>
      <c r="H3082" t="s">
        <v>33</v>
      </c>
      <c r="I3082" t="s">
        <v>55</v>
      </c>
      <c r="J3082" t="s">
        <v>66</v>
      </c>
      <c r="O3082" s="5"/>
      <c r="P3082" s="5"/>
    </row>
    <row r="3083" spans="1:30" x14ac:dyDescent="0.35">
      <c r="A3083" s="4">
        <v>42592</v>
      </c>
      <c r="B3083" t="s">
        <v>30</v>
      </c>
      <c r="C3083">
        <v>303</v>
      </c>
      <c r="D3083">
        <v>7</v>
      </c>
      <c r="E3083">
        <v>1</v>
      </c>
      <c r="F3083" t="s">
        <v>42</v>
      </c>
      <c r="G3083" t="s">
        <v>32</v>
      </c>
      <c r="H3083" t="s">
        <v>33</v>
      </c>
      <c r="I3083" t="s">
        <v>55</v>
      </c>
      <c r="J3083" t="s">
        <v>66</v>
      </c>
      <c r="O3083" s="5"/>
      <c r="P3083" s="5"/>
    </row>
    <row r="3084" spans="1:30" x14ac:dyDescent="0.35">
      <c r="A3084" s="4">
        <v>42592</v>
      </c>
      <c r="B3084" t="s">
        <v>30</v>
      </c>
      <c r="C3084">
        <v>401</v>
      </c>
      <c r="D3084">
        <v>7</v>
      </c>
      <c r="E3084">
        <v>2</v>
      </c>
      <c r="F3084" t="s">
        <v>42</v>
      </c>
      <c r="G3084" t="s">
        <v>32</v>
      </c>
      <c r="H3084" t="s">
        <v>33</v>
      </c>
      <c r="I3084" t="s">
        <v>55</v>
      </c>
      <c r="J3084" t="s">
        <v>66</v>
      </c>
      <c r="O3084" s="5"/>
      <c r="P3084" s="5"/>
    </row>
    <row r="3085" spans="1:30" x14ac:dyDescent="0.35">
      <c r="A3085" s="4">
        <v>42592</v>
      </c>
      <c r="B3085" t="s">
        <v>30</v>
      </c>
      <c r="C3085">
        <v>801</v>
      </c>
      <c r="D3085">
        <v>10</v>
      </c>
      <c r="E3085">
        <v>1</v>
      </c>
      <c r="F3085" t="s">
        <v>315</v>
      </c>
      <c r="G3085" t="s">
        <v>32</v>
      </c>
      <c r="H3085" t="s">
        <v>33</v>
      </c>
      <c r="I3085" t="s">
        <v>72</v>
      </c>
      <c r="J3085" t="s">
        <v>123</v>
      </c>
      <c r="O3085" s="5"/>
      <c r="P3085" s="5"/>
    </row>
    <row r="3086" spans="1:30" x14ac:dyDescent="0.35">
      <c r="A3086" s="4">
        <v>42592</v>
      </c>
      <c r="B3086" t="s">
        <v>30</v>
      </c>
      <c r="C3086">
        <v>503</v>
      </c>
      <c r="D3086">
        <v>4</v>
      </c>
      <c r="E3086">
        <v>1</v>
      </c>
      <c r="F3086" t="s">
        <v>42</v>
      </c>
      <c r="G3086" t="s">
        <v>32</v>
      </c>
      <c r="H3086" t="s">
        <v>33</v>
      </c>
      <c r="I3086" t="s">
        <v>72</v>
      </c>
      <c r="J3086" t="s">
        <v>123</v>
      </c>
      <c r="O3086" s="5"/>
      <c r="P3086" s="5"/>
    </row>
    <row r="3087" spans="1:30" x14ac:dyDescent="0.35">
      <c r="A3087" s="4">
        <v>42592</v>
      </c>
      <c r="B3087" t="s">
        <v>30</v>
      </c>
      <c r="C3087">
        <v>703</v>
      </c>
      <c r="D3087">
        <v>1</v>
      </c>
      <c r="E3087">
        <v>2</v>
      </c>
      <c r="F3087" t="s">
        <v>315</v>
      </c>
      <c r="G3087" t="s">
        <v>32</v>
      </c>
      <c r="H3087" t="s">
        <v>33</v>
      </c>
      <c r="I3087" t="s">
        <v>59</v>
      </c>
      <c r="O3087" s="5"/>
      <c r="P3087" s="5"/>
    </row>
    <row r="3088" spans="1:30" x14ac:dyDescent="0.35">
      <c r="A3088" s="4">
        <v>42592</v>
      </c>
      <c r="B3088" t="s">
        <v>30</v>
      </c>
      <c r="C3088">
        <v>703</v>
      </c>
      <c r="D3088">
        <v>2</v>
      </c>
      <c r="E3088">
        <v>1</v>
      </c>
      <c r="F3088" t="s">
        <v>315</v>
      </c>
      <c r="G3088" t="s">
        <v>32</v>
      </c>
      <c r="H3088" t="s">
        <v>33</v>
      </c>
      <c r="I3088" t="s">
        <v>59</v>
      </c>
      <c r="O3088" s="5"/>
      <c r="P3088" s="5"/>
    </row>
    <row r="3089" spans="1:16" x14ac:dyDescent="0.35">
      <c r="A3089" s="4">
        <v>42592</v>
      </c>
      <c r="B3089" t="s">
        <v>30</v>
      </c>
      <c r="C3089">
        <v>703</v>
      </c>
      <c r="D3089">
        <v>2</v>
      </c>
      <c r="E3089">
        <v>2</v>
      </c>
      <c r="F3089" t="s">
        <v>315</v>
      </c>
      <c r="G3089" t="s">
        <v>32</v>
      </c>
      <c r="H3089" t="s">
        <v>33</v>
      </c>
      <c r="I3089" t="s">
        <v>59</v>
      </c>
      <c r="O3089" s="5"/>
      <c r="P3089" s="5"/>
    </row>
    <row r="3090" spans="1:16" x14ac:dyDescent="0.35">
      <c r="A3090" s="4">
        <v>42592</v>
      </c>
      <c r="B3090" t="s">
        <v>30</v>
      </c>
      <c r="C3090">
        <v>703</v>
      </c>
      <c r="D3090">
        <v>4</v>
      </c>
      <c r="E3090">
        <v>1</v>
      </c>
      <c r="F3090" t="s">
        <v>315</v>
      </c>
      <c r="G3090" t="s">
        <v>32</v>
      </c>
      <c r="H3090" t="s">
        <v>33</v>
      </c>
      <c r="I3090" t="s">
        <v>59</v>
      </c>
      <c r="O3090" s="5"/>
      <c r="P3090" s="5"/>
    </row>
    <row r="3091" spans="1:16" x14ac:dyDescent="0.35">
      <c r="A3091" s="4">
        <v>42592</v>
      </c>
      <c r="B3091" t="s">
        <v>30</v>
      </c>
      <c r="C3091">
        <v>703</v>
      </c>
      <c r="D3091">
        <v>4</v>
      </c>
      <c r="E3091">
        <v>2</v>
      </c>
      <c r="F3091" t="s">
        <v>315</v>
      </c>
      <c r="G3091" t="s">
        <v>32</v>
      </c>
      <c r="H3091" t="s">
        <v>33</v>
      </c>
      <c r="I3091" t="s">
        <v>59</v>
      </c>
      <c r="O3091" s="5"/>
      <c r="P3091" s="5"/>
    </row>
    <row r="3092" spans="1:16" x14ac:dyDescent="0.35">
      <c r="A3092" s="4">
        <v>42592</v>
      </c>
      <c r="B3092" t="s">
        <v>30</v>
      </c>
      <c r="C3092">
        <v>703</v>
      </c>
      <c r="D3092">
        <v>7</v>
      </c>
      <c r="E3092">
        <v>2</v>
      </c>
      <c r="F3092" t="s">
        <v>315</v>
      </c>
      <c r="G3092" t="s">
        <v>32</v>
      </c>
      <c r="H3092" t="s">
        <v>33</v>
      </c>
      <c r="I3092" t="s">
        <v>59</v>
      </c>
      <c r="O3092" s="5"/>
      <c r="P3092" s="5"/>
    </row>
    <row r="3093" spans="1:16" x14ac:dyDescent="0.35">
      <c r="A3093" s="4">
        <v>42592</v>
      </c>
      <c r="B3093" t="s">
        <v>30</v>
      </c>
      <c r="C3093">
        <v>703</v>
      </c>
      <c r="D3093">
        <v>8</v>
      </c>
      <c r="E3093">
        <v>1</v>
      </c>
      <c r="F3093" t="s">
        <v>315</v>
      </c>
      <c r="G3093" t="s">
        <v>32</v>
      </c>
      <c r="H3093" t="s">
        <v>33</v>
      </c>
      <c r="I3093" t="s">
        <v>59</v>
      </c>
      <c r="O3093" s="5"/>
      <c r="P3093" s="5"/>
    </row>
    <row r="3094" spans="1:16" x14ac:dyDescent="0.35">
      <c r="A3094" s="4">
        <v>42592</v>
      </c>
      <c r="B3094" t="s">
        <v>30</v>
      </c>
      <c r="C3094">
        <v>703</v>
      </c>
      <c r="D3094">
        <v>9</v>
      </c>
      <c r="E3094">
        <v>2</v>
      </c>
      <c r="F3094" t="s">
        <v>315</v>
      </c>
      <c r="G3094" t="s">
        <v>32</v>
      </c>
      <c r="H3094" t="s">
        <v>33</v>
      </c>
      <c r="I3094" t="s">
        <v>59</v>
      </c>
      <c r="O3094" s="5"/>
      <c r="P3094" s="5"/>
    </row>
    <row r="3095" spans="1:16" x14ac:dyDescent="0.35">
      <c r="A3095" s="4">
        <v>42592</v>
      </c>
      <c r="B3095" t="s">
        <v>30</v>
      </c>
      <c r="C3095">
        <v>703</v>
      </c>
      <c r="D3095">
        <v>10</v>
      </c>
      <c r="E3095">
        <v>1</v>
      </c>
      <c r="F3095" t="s">
        <v>315</v>
      </c>
      <c r="G3095" t="s">
        <v>32</v>
      </c>
      <c r="H3095" t="s">
        <v>33</v>
      </c>
      <c r="I3095" t="s">
        <v>59</v>
      </c>
      <c r="O3095" s="5"/>
      <c r="P3095" s="5"/>
    </row>
    <row r="3096" spans="1:16" x14ac:dyDescent="0.35">
      <c r="A3096" s="4">
        <v>42592</v>
      </c>
      <c r="B3096" t="s">
        <v>30</v>
      </c>
      <c r="C3096">
        <v>701</v>
      </c>
      <c r="D3096">
        <v>2</v>
      </c>
      <c r="E3096">
        <v>2</v>
      </c>
      <c r="F3096" t="s">
        <v>315</v>
      </c>
      <c r="G3096" t="s">
        <v>32</v>
      </c>
      <c r="H3096" t="s">
        <v>33</v>
      </c>
      <c r="I3096" t="s">
        <v>59</v>
      </c>
      <c r="O3096" s="5"/>
      <c r="P3096" s="5"/>
    </row>
    <row r="3097" spans="1:16" x14ac:dyDescent="0.35">
      <c r="A3097" s="4">
        <v>42592</v>
      </c>
      <c r="B3097" t="s">
        <v>30</v>
      </c>
      <c r="C3097">
        <v>701</v>
      </c>
      <c r="D3097">
        <v>3</v>
      </c>
      <c r="E3097">
        <v>1</v>
      </c>
      <c r="F3097" t="s">
        <v>315</v>
      </c>
      <c r="G3097" t="s">
        <v>32</v>
      </c>
      <c r="H3097" t="s">
        <v>33</v>
      </c>
      <c r="I3097" t="s">
        <v>59</v>
      </c>
      <c r="O3097" s="5"/>
      <c r="P3097" s="5"/>
    </row>
    <row r="3098" spans="1:16" x14ac:dyDescent="0.35">
      <c r="A3098" s="4">
        <v>42592</v>
      </c>
      <c r="B3098" t="s">
        <v>30</v>
      </c>
      <c r="C3098">
        <v>701</v>
      </c>
      <c r="D3098">
        <v>4</v>
      </c>
      <c r="E3098">
        <v>2</v>
      </c>
      <c r="F3098" t="s">
        <v>315</v>
      </c>
      <c r="G3098" t="s">
        <v>32</v>
      </c>
      <c r="H3098" t="s">
        <v>33</v>
      </c>
      <c r="I3098" t="s">
        <v>59</v>
      </c>
      <c r="O3098" s="5"/>
      <c r="P3098" s="5"/>
    </row>
    <row r="3099" spans="1:16" x14ac:dyDescent="0.35">
      <c r="A3099" s="4">
        <v>42592</v>
      </c>
      <c r="B3099" t="s">
        <v>30</v>
      </c>
      <c r="C3099">
        <v>701</v>
      </c>
      <c r="D3099">
        <v>6</v>
      </c>
      <c r="E3099">
        <v>2</v>
      </c>
      <c r="F3099" t="s">
        <v>315</v>
      </c>
      <c r="G3099" t="s">
        <v>32</v>
      </c>
      <c r="H3099" t="s">
        <v>33</v>
      </c>
      <c r="I3099" t="s">
        <v>59</v>
      </c>
      <c r="O3099" s="5"/>
      <c r="P3099" s="5"/>
    </row>
    <row r="3100" spans="1:16" x14ac:dyDescent="0.35">
      <c r="A3100" s="4">
        <v>42592</v>
      </c>
      <c r="B3100" t="s">
        <v>30</v>
      </c>
      <c r="C3100">
        <v>701</v>
      </c>
      <c r="D3100">
        <v>9</v>
      </c>
      <c r="E3100">
        <v>1</v>
      </c>
      <c r="F3100" t="s">
        <v>315</v>
      </c>
      <c r="G3100" t="s">
        <v>32</v>
      </c>
      <c r="H3100" t="s">
        <v>33</v>
      </c>
      <c r="I3100" t="s">
        <v>59</v>
      </c>
      <c r="O3100" s="5"/>
      <c r="P3100" s="5"/>
    </row>
    <row r="3101" spans="1:16" x14ac:dyDescent="0.35">
      <c r="A3101" s="4">
        <v>42592</v>
      </c>
      <c r="B3101" t="s">
        <v>30</v>
      </c>
      <c r="C3101">
        <v>801</v>
      </c>
      <c r="D3101">
        <v>2</v>
      </c>
      <c r="E3101">
        <v>2</v>
      </c>
      <c r="F3101" t="s">
        <v>315</v>
      </c>
      <c r="G3101" t="s">
        <v>32</v>
      </c>
      <c r="H3101" t="s">
        <v>33</v>
      </c>
      <c r="I3101" t="s">
        <v>59</v>
      </c>
      <c r="O3101" s="5"/>
      <c r="P3101" s="5"/>
    </row>
    <row r="3102" spans="1:16" x14ac:dyDescent="0.35">
      <c r="A3102" s="4">
        <v>42592</v>
      </c>
      <c r="B3102" t="s">
        <v>30</v>
      </c>
      <c r="C3102">
        <v>801</v>
      </c>
      <c r="D3102">
        <v>3</v>
      </c>
      <c r="E3102">
        <v>1</v>
      </c>
      <c r="F3102" t="s">
        <v>315</v>
      </c>
      <c r="G3102" t="s">
        <v>32</v>
      </c>
      <c r="H3102" t="s">
        <v>33</v>
      </c>
      <c r="I3102" t="s">
        <v>59</v>
      </c>
      <c r="O3102" s="5"/>
      <c r="P3102" s="5"/>
    </row>
    <row r="3103" spans="1:16" x14ac:dyDescent="0.35">
      <c r="A3103" s="4">
        <v>42592</v>
      </c>
      <c r="B3103" t="s">
        <v>30</v>
      </c>
      <c r="C3103">
        <v>801</v>
      </c>
      <c r="D3103">
        <v>3</v>
      </c>
      <c r="E3103">
        <v>2</v>
      </c>
      <c r="F3103" t="s">
        <v>315</v>
      </c>
      <c r="G3103" t="s">
        <v>32</v>
      </c>
      <c r="H3103" t="s">
        <v>33</v>
      </c>
      <c r="I3103" t="s">
        <v>59</v>
      </c>
      <c r="O3103" s="5"/>
      <c r="P3103" s="5"/>
    </row>
    <row r="3104" spans="1:16" x14ac:dyDescent="0.35">
      <c r="A3104" s="4">
        <v>42592</v>
      </c>
      <c r="B3104" t="s">
        <v>30</v>
      </c>
      <c r="C3104">
        <v>801</v>
      </c>
      <c r="D3104">
        <v>8</v>
      </c>
      <c r="E3104">
        <v>1</v>
      </c>
      <c r="F3104" t="s">
        <v>315</v>
      </c>
      <c r="G3104" t="s">
        <v>32</v>
      </c>
      <c r="H3104" t="s">
        <v>33</v>
      </c>
      <c r="I3104" t="s">
        <v>59</v>
      </c>
      <c r="O3104" s="5"/>
      <c r="P3104" s="5"/>
    </row>
    <row r="3105" spans="1:16" x14ac:dyDescent="0.35">
      <c r="A3105" s="4">
        <v>42592</v>
      </c>
      <c r="B3105" t="s">
        <v>30</v>
      </c>
      <c r="C3105">
        <v>803</v>
      </c>
      <c r="D3105">
        <v>8</v>
      </c>
      <c r="E3105">
        <v>2</v>
      </c>
      <c r="F3105" t="s">
        <v>315</v>
      </c>
      <c r="G3105" t="s">
        <v>32</v>
      </c>
      <c r="H3105" t="s">
        <v>33</v>
      </c>
      <c r="I3105" t="s">
        <v>59</v>
      </c>
      <c r="O3105" s="5"/>
      <c r="P3105" s="5"/>
    </row>
    <row r="3106" spans="1:16" x14ac:dyDescent="0.35">
      <c r="A3106" s="4">
        <v>42592</v>
      </c>
      <c r="B3106" t="s">
        <v>30</v>
      </c>
      <c r="C3106">
        <v>803</v>
      </c>
      <c r="D3106">
        <v>5</v>
      </c>
      <c r="E3106">
        <v>2</v>
      </c>
      <c r="F3106" t="s">
        <v>315</v>
      </c>
      <c r="G3106" t="s">
        <v>32</v>
      </c>
      <c r="H3106" t="s">
        <v>33</v>
      </c>
      <c r="I3106" t="s">
        <v>59</v>
      </c>
      <c r="O3106" s="5"/>
      <c r="P3106" s="5"/>
    </row>
    <row r="3107" spans="1:16" x14ac:dyDescent="0.35">
      <c r="A3107" s="4">
        <v>42592</v>
      </c>
      <c r="B3107" t="s">
        <v>30</v>
      </c>
      <c r="C3107">
        <v>803</v>
      </c>
      <c r="D3107">
        <v>4</v>
      </c>
      <c r="E3107">
        <v>1</v>
      </c>
      <c r="F3107" t="s">
        <v>315</v>
      </c>
      <c r="G3107" t="s">
        <v>32</v>
      </c>
      <c r="H3107" t="s">
        <v>33</v>
      </c>
      <c r="I3107" t="s">
        <v>59</v>
      </c>
      <c r="O3107" s="5"/>
      <c r="P3107" s="5"/>
    </row>
    <row r="3108" spans="1:16" x14ac:dyDescent="0.35">
      <c r="A3108" s="4">
        <v>42592</v>
      </c>
      <c r="B3108" t="s">
        <v>30</v>
      </c>
      <c r="C3108">
        <v>803</v>
      </c>
      <c r="D3108">
        <v>2</v>
      </c>
      <c r="E3108">
        <v>2</v>
      </c>
      <c r="F3108" t="s">
        <v>315</v>
      </c>
      <c r="G3108" t="s">
        <v>32</v>
      </c>
      <c r="H3108" t="s">
        <v>33</v>
      </c>
      <c r="I3108" t="s">
        <v>59</v>
      </c>
      <c r="O3108" s="5"/>
      <c r="P3108" s="5"/>
    </row>
    <row r="3109" spans="1:16" x14ac:dyDescent="0.35">
      <c r="A3109" s="4">
        <v>42592</v>
      </c>
      <c r="B3109" t="s">
        <v>30</v>
      </c>
      <c r="C3109">
        <v>803</v>
      </c>
      <c r="D3109">
        <v>1</v>
      </c>
      <c r="E3109">
        <v>1</v>
      </c>
      <c r="F3109" t="s">
        <v>315</v>
      </c>
      <c r="G3109" t="s">
        <v>32</v>
      </c>
      <c r="H3109" t="s">
        <v>33</v>
      </c>
      <c r="I3109" t="s">
        <v>59</v>
      </c>
      <c r="O3109" s="5"/>
      <c r="P3109" s="5"/>
    </row>
    <row r="3110" spans="1:16" x14ac:dyDescent="0.35">
      <c r="A3110" s="4">
        <v>42592</v>
      </c>
      <c r="B3110" t="s">
        <v>30</v>
      </c>
      <c r="C3110">
        <v>501</v>
      </c>
      <c r="D3110">
        <v>1</v>
      </c>
      <c r="E3110">
        <v>1</v>
      </c>
      <c r="F3110" t="s">
        <v>42</v>
      </c>
      <c r="G3110" t="s">
        <v>32</v>
      </c>
      <c r="H3110" t="s">
        <v>33</v>
      </c>
      <c r="I3110" t="s">
        <v>59</v>
      </c>
      <c r="O3110" s="5"/>
      <c r="P3110" s="5"/>
    </row>
    <row r="3111" spans="1:16" x14ac:dyDescent="0.35">
      <c r="A3111" s="4">
        <v>42592</v>
      </c>
      <c r="B3111" t="s">
        <v>30</v>
      </c>
      <c r="C3111">
        <v>501</v>
      </c>
      <c r="D3111">
        <v>2</v>
      </c>
      <c r="E3111">
        <v>1</v>
      </c>
      <c r="F3111" t="s">
        <v>42</v>
      </c>
      <c r="G3111" t="s">
        <v>32</v>
      </c>
      <c r="H3111" t="s">
        <v>33</v>
      </c>
      <c r="I3111" t="s">
        <v>59</v>
      </c>
      <c r="O3111" s="5"/>
      <c r="P3111" s="5"/>
    </row>
    <row r="3112" spans="1:16" x14ac:dyDescent="0.35">
      <c r="A3112" s="4">
        <v>42592</v>
      </c>
      <c r="B3112" t="s">
        <v>30</v>
      </c>
      <c r="C3112">
        <v>501</v>
      </c>
      <c r="D3112">
        <v>3</v>
      </c>
      <c r="E3112">
        <v>1</v>
      </c>
      <c r="F3112" t="s">
        <v>42</v>
      </c>
      <c r="G3112" t="s">
        <v>32</v>
      </c>
      <c r="H3112" t="s">
        <v>33</v>
      </c>
      <c r="I3112" t="s">
        <v>59</v>
      </c>
      <c r="O3112" s="5"/>
      <c r="P3112" s="5"/>
    </row>
    <row r="3113" spans="1:16" x14ac:dyDescent="0.35">
      <c r="A3113" s="4">
        <v>42592</v>
      </c>
      <c r="B3113" t="s">
        <v>30</v>
      </c>
      <c r="C3113">
        <v>501</v>
      </c>
      <c r="D3113">
        <v>4</v>
      </c>
      <c r="E3113">
        <v>1</v>
      </c>
      <c r="F3113" t="s">
        <v>42</v>
      </c>
      <c r="G3113" t="s">
        <v>32</v>
      </c>
      <c r="H3113" t="s">
        <v>33</v>
      </c>
      <c r="I3113" t="s">
        <v>59</v>
      </c>
      <c r="O3113" s="5"/>
      <c r="P3113" s="5"/>
    </row>
    <row r="3114" spans="1:16" x14ac:dyDescent="0.35">
      <c r="A3114" s="4">
        <v>42592</v>
      </c>
      <c r="B3114" t="s">
        <v>30</v>
      </c>
      <c r="C3114">
        <v>501</v>
      </c>
      <c r="D3114">
        <v>5</v>
      </c>
      <c r="E3114">
        <v>2</v>
      </c>
      <c r="F3114" t="s">
        <v>42</v>
      </c>
      <c r="G3114" t="s">
        <v>32</v>
      </c>
      <c r="H3114" t="s">
        <v>33</v>
      </c>
      <c r="I3114" t="s">
        <v>59</v>
      </c>
      <c r="O3114" s="5"/>
      <c r="P3114" s="5"/>
    </row>
    <row r="3115" spans="1:16" x14ac:dyDescent="0.35">
      <c r="A3115" s="4">
        <v>42592</v>
      </c>
      <c r="B3115" t="s">
        <v>30</v>
      </c>
      <c r="C3115">
        <v>501</v>
      </c>
      <c r="D3115">
        <v>6</v>
      </c>
      <c r="E3115">
        <v>1</v>
      </c>
      <c r="F3115" t="s">
        <v>42</v>
      </c>
      <c r="G3115" t="s">
        <v>32</v>
      </c>
      <c r="H3115" t="s">
        <v>33</v>
      </c>
      <c r="I3115" t="s">
        <v>59</v>
      </c>
      <c r="O3115" s="5"/>
      <c r="P3115" s="5"/>
    </row>
    <row r="3116" spans="1:16" x14ac:dyDescent="0.35">
      <c r="A3116" s="4">
        <v>42592</v>
      </c>
      <c r="B3116" t="s">
        <v>30</v>
      </c>
      <c r="C3116">
        <v>501</v>
      </c>
      <c r="D3116">
        <v>7</v>
      </c>
      <c r="E3116">
        <v>1</v>
      </c>
      <c r="F3116" t="s">
        <v>42</v>
      </c>
      <c r="G3116" t="s">
        <v>32</v>
      </c>
      <c r="H3116" t="s">
        <v>33</v>
      </c>
      <c r="I3116" t="s">
        <v>59</v>
      </c>
      <c r="O3116" s="5"/>
      <c r="P3116" s="5"/>
    </row>
    <row r="3117" spans="1:16" x14ac:dyDescent="0.35">
      <c r="A3117" s="4">
        <v>42592</v>
      </c>
      <c r="B3117" t="s">
        <v>30</v>
      </c>
      <c r="C3117">
        <v>501</v>
      </c>
      <c r="D3117">
        <v>10</v>
      </c>
      <c r="E3117">
        <v>1</v>
      </c>
      <c r="F3117" t="s">
        <v>42</v>
      </c>
      <c r="G3117" t="s">
        <v>32</v>
      </c>
      <c r="H3117" t="s">
        <v>33</v>
      </c>
      <c r="I3117" t="s">
        <v>59</v>
      </c>
      <c r="O3117" s="5"/>
      <c r="P3117" s="5"/>
    </row>
    <row r="3118" spans="1:16" x14ac:dyDescent="0.35">
      <c r="A3118" s="4">
        <v>42592</v>
      </c>
      <c r="B3118" t="s">
        <v>30</v>
      </c>
      <c r="C3118">
        <v>503</v>
      </c>
      <c r="D3118">
        <v>1</v>
      </c>
      <c r="E3118">
        <v>2</v>
      </c>
      <c r="F3118" t="s">
        <v>42</v>
      </c>
      <c r="G3118" t="s">
        <v>32</v>
      </c>
      <c r="H3118" t="s">
        <v>33</v>
      </c>
      <c r="I3118" t="s">
        <v>59</v>
      </c>
      <c r="O3118" s="5"/>
      <c r="P3118" s="5"/>
    </row>
    <row r="3119" spans="1:16" x14ac:dyDescent="0.35">
      <c r="A3119" s="4">
        <v>42592</v>
      </c>
      <c r="B3119" t="s">
        <v>30</v>
      </c>
      <c r="C3119">
        <v>503</v>
      </c>
      <c r="D3119">
        <v>3</v>
      </c>
      <c r="E3119">
        <v>1</v>
      </c>
      <c r="F3119" t="s">
        <v>42</v>
      </c>
      <c r="G3119" t="s">
        <v>32</v>
      </c>
      <c r="H3119" t="s">
        <v>33</v>
      </c>
      <c r="I3119" t="s">
        <v>59</v>
      </c>
      <c r="O3119" s="5"/>
      <c r="P3119" s="5"/>
    </row>
    <row r="3120" spans="1:16" x14ac:dyDescent="0.35">
      <c r="A3120" s="4">
        <v>42592</v>
      </c>
      <c r="B3120" t="s">
        <v>30</v>
      </c>
      <c r="C3120">
        <v>503</v>
      </c>
      <c r="D3120">
        <v>3</v>
      </c>
      <c r="E3120">
        <v>2</v>
      </c>
      <c r="F3120" t="s">
        <v>42</v>
      </c>
      <c r="G3120" t="s">
        <v>32</v>
      </c>
      <c r="H3120" t="s">
        <v>33</v>
      </c>
      <c r="I3120" t="s">
        <v>59</v>
      </c>
      <c r="O3120" s="5"/>
      <c r="P3120" s="5"/>
    </row>
    <row r="3121" spans="1:30" x14ac:dyDescent="0.35">
      <c r="A3121" s="4">
        <v>42592</v>
      </c>
      <c r="B3121" t="s">
        <v>30</v>
      </c>
      <c r="C3121">
        <v>503</v>
      </c>
      <c r="D3121">
        <v>6</v>
      </c>
      <c r="E3121">
        <v>1</v>
      </c>
      <c r="F3121" t="s">
        <v>42</v>
      </c>
      <c r="G3121" t="s">
        <v>32</v>
      </c>
      <c r="H3121" t="s">
        <v>33</v>
      </c>
      <c r="I3121" t="s">
        <v>59</v>
      </c>
      <c r="O3121" s="5"/>
      <c r="P3121" s="5"/>
    </row>
    <row r="3122" spans="1:30" x14ac:dyDescent="0.35">
      <c r="A3122" s="4">
        <v>42592</v>
      </c>
      <c r="B3122" t="s">
        <v>30</v>
      </c>
      <c r="C3122">
        <v>503</v>
      </c>
      <c r="D3122">
        <v>6</v>
      </c>
      <c r="E3122">
        <v>2</v>
      </c>
      <c r="F3122" t="s">
        <v>42</v>
      </c>
      <c r="G3122" t="s">
        <v>32</v>
      </c>
      <c r="H3122" t="s">
        <v>33</v>
      </c>
      <c r="I3122" t="s">
        <v>59</v>
      </c>
      <c r="O3122" s="5"/>
      <c r="P3122" s="5"/>
    </row>
    <row r="3123" spans="1:30" x14ac:dyDescent="0.35">
      <c r="A3123" s="4">
        <v>42592</v>
      </c>
      <c r="B3123" t="s">
        <v>30</v>
      </c>
      <c r="C3123">
        <v>503</v>
      </c>
      <c r="D3123">
        <v>7</v>
      </c>
      <c r="E3123">
        <v>1</v>
      </c>
      <c r="F3123" t="s">
        <v>42</v>
      </c>
      <c r="G3123" t="s">
        <v>32</v>
      </c>
      <c r="H3123" t="s">
        <v>33</v>
      </c>
      <c r="I3123" t="s">
        <v>59</v>
      </c>
      <c r="O3123" s="5"/>
      <c r="P3123" s="5"/>
    </row>
    <row r="3124" spans="1:30" x14ac:dyDescent="0.35">
      <c r="A3124" s="4">
        <v>42592</v>
      </c>
      <c r="B3124" t="s">
        <v>30</v>
      </c>
      <c r="C3124">
        <v>503</v>
      </c>
      <c r="D3124">
        <v>8</v>
      </c>
      <c r="E3124">
        <v>1</v>
      </c>
      <c r="F3124" t="s">
        <v>42</v>
      </c>
      <c r="G3124" t="s">
        <v>32</v>
      </c>
      <c r="H3124" t="s">
        <v>33</v>
      </c>
      <c r="I3124" t="s">
        <v>59</v>
      </c>
      <c r="O3124" s="5"/>
      <c r="P3124" s="5"/>
    </row>
    <row r="3125" spans="1:30" x14ac:dyDescent="0.35">
      <c r="A3125" s="4">
        <v>42592</v>
      </c>
      <c r="B3125" t="s">
        <v>30</v>
      </c>
      <c r="C3125">
        <v>503</v>
      </c>
      <c r="D3125">
        <v>10</v>
      </c>
      <c r="E3125">
        <v>1</v>
      </c>
      <c r="F3125" t="s">
        <v>42</v>
      </c>
      <c r="G3125" t="s">
        <v>32</v>
      </c>
      <c r="H3125" t="s">
        <v>33</v>
      </c>
      <c r="I3125" t="s">
        <v>59</v>
      </c>
      <c r="O3125" s="5"/>
      <c r="P3125" s="5"/>
    </row>
    <row r="3126" spans="1:30" x14ac:dyDescent="0.35">
      <c r="A3126" s="4">
        <v>42592</v>
      </c>
      <c r="B3126" t="s">
        <v>30</v>
      </c>
      <c r="C3126">
        <v>303</v>
      </c>
      <c r="D3126">
        <v>2</v>
      </c>
      <c r="E3126">
        <v>2</v>
      </c>
      <c r="F3126" t="s">
        <v>42</v>
      </c>
      <c r="G3126" t="s">
        <v>32</v>
      </c>
      <c r="H3126" t="s">
        <v>33</v>
      </c>
      <c r="I3126" t="s">
        <v>59</v>
      </c>
      <c r="O3126" s="5"/>
      <c r="P3126" s="5"/>
    </row>
    <row r="3127" spans="1:30" x14ac:dyDescent="0.35">
      <c r="A3127" s="4">
        <v>42592</v>
      </c>
      <c r="B3127" t="s">
        <v>30</v>
      </c>
      <c r="C3127">
        <v>303</v>
      </c>
      <c r="D3127">
        <v>3</v>
      </c>
      <c r="E3127">
        <v>1</v>
      </c>
      <c r="F3127" t="s">
        <v>42</v>
      </c>
      <c r="G3127" t="s">
        <v>32</v>
      </c>
      <c r="H3127" t="s">
        <v>33</v>
      </c>
      <c r="I3127" t="s">
        <v>59</v>
      </c>
      <c r="O3127" s="5"/>
      <c r="P3127" s="5"/>
    </row>
    <row r="3128" spans="1:30" x14ac:dyDescent="0.35">
      <c r="A3128" s="4">
        <v>42592</v>
      </c>
      <c r="B3128" t="s">
        <v>30</v>
      </c>
      <c r="C3128">
        <v>303</v>
      </c>
      <c r="D3128">
        <v>5</v>
      </c>
      <c r="E3128">
        <v>2</v>
      </c>
      <c r="F3128" t="s">
        <v>42</v>
      </c>
      <c r="G3128" t="s">
        <v>32</v>
      </c>
      <c r="H3128" t="s">
        <v>33</v>
      </c>
      <c r="I3128" t="s">
        <v>59</v>
      </c>
      <c r="O3128" s="5"/>
      <c r="P3128" s="5"/>
    </row>
    <row r="3129" spans="1:30" x14ac:dyDescent="0.35">
      <c r="A3129" s="4">
        <v>42592</v>
      </c>
      <c r="B3129" t="s">
        <v>30</v>
      </c>
      <c r="C3129">
        <v>303</v>
      </c>
      <c r="D3129">
        <v>6</v>
      </c>
      <c r="E3129">
        <v>1</v>
      </c>
      <c r="F3129" t="s">
        <v>42</v>
      </c>
      <c r="G3129" t="s">
        <v>32</v>
      </c>
      <c r="H3129" t="s">
        <v>33</v>
      </c>
      <c r="I3129" t="s">
        <v>59</v>
      </c>
      <c r="O3129" s="5"/>
      <c r="P3129" s="5"/>
    </row>
    <row r="3130" spans="1:30" x14ac:dyDescent="0.35">
      <c r="A3130" s="4">
        <v>42592</v>
      </c>
      <c r="B3130" t="s">
        <v>30</v>
      </c>
      <c r="C3130">
        <v>303</v>
      </c>
      <c r="D3130">
        <v>6</v>
      </c>
      <c r="E3130">
        <v>2</v>
      </c>
      <c r="F3130" t="s">
        <v>42</v>
      </c>
      <c r="G3130" t="s">
        <v>32</v>
      </c>
      <c r="H3130" t="s">
        <v>33</v>
      </c>
      <c r="I3130" t="s">
        <v>59</v>
      </c>
      <c r="O3130" s="5"/>
      <c r="P3130" s="5"/>
    </row>
    <row r="3131" spans="1:30" x14ac:dyDescent="0.35">
      <c r="A3131" s="4">
        <v>42592</v>
      </c>
      <c r="B3131" t="s">
        <v>30</v>
      </c>
      <c r="C3131">
        <v>303</v>
      </c>
      <c r="D3131">
        <v>9</v>
      </c>
      <c r="E3131">
        <v>1</v>
      </c>
      <c r="F3131" t="s">
        <v>42</v>
      </c>
      <c r="G3131" t="s">
        <v>32</v>
      </c>
      <c r="H3131" t="s">
        <v>33</v>
      </c>
      <c r="I3131" t="s">
        <v>59</v>
      </c>
      <c r="O3131" s="5"/>
      <c r="P3131" s="5"/>
    </row>
    <row r="3132" spans="1:30" x14ac:dyDescent="0.35">
      <c r="A3132" s="4">
        <v>42592</v>
      </c>
      <c r="B3132" t="s">
        <v>30</v>
      </c>
      <c r="C3132">
        <v>401</v>
      </c>
      <c r="D3132">
        <v>7</v>
      </c>
      <c r="E3132">
        <v>1</v>
      </c>
      <c r="F3132" t="s">
        <v>42</v>
      </c>
      <c r="G3132" t="s">
        <v>32</v>
      </c>
      <c r="H3132" t="s">
        <v>33</v>
      </c>
      <c r="I3132" t="s">
        <v>59</v>
      </c>
      <c r="O3132" s="5"/>
      <c r="P3132" s="5"/>
    </row>
    <row r="3133" spans="1:30" x14ac:dyDescent="0.35">
      <c r="A3133" s="4">
        <v>42592</v>
      </c>
      <c r="B3133" t="s">
        <v>30</v>
      </c>
      <c r="C3133">
        <v>401</v>
      </c>
      <c r="D3133">
        <v>8</v>
      </c>
      <c r="E3133">
        <v>1</v>
      </c>
      <c r="F3133" t="s">
        <v>42</v>
      </c>
      <c r="G3133" t="s">
        <v>32</v>
      </c>
      <c r="H3133" t="s">
        <v>33</v>
      </c>
      <c r="I3133" t="s">
        <v>59</v>
      </c>
      <c r="O3133" s="5"/>
      <c r="P3133" s="5"/>
    </row>
    <row r="3134" spans="1:30" x14ac:dyDescent="0.35">
      <c r="A3134" s="4">
        <v>42592</v>
      </c>
      <c r="B3134" t="s">
        <v>30</v>
      </c>
      <c r="C3134">
        <v>401</v>
      </c>
      <c r="D3134">
        <v>8</v>
      </c>
      <c r="E3134">
        <v>2</v>
      </c>
      <c r="F3134" t="s">
        <v>42</v>
      </c>
      <c r="G3134" t="s">
        <v>32</v>
      </c>
      <c r="H3134" t="s">
        <v>33</v>
      </c>
      <c r="I3134" t="s">
        <v>59</v>
      </c>
      <c r="O3134" s="5"/>
      <c r="P3134" s="5"/>
    </row>
    <row r="3135" spans="1:30" x14ac:dyDescent="0.35">
      <c r="A3135" s="4">
        <v>42592</v>
      </c>
      <c r="B3135" t="s">
        <v>30</v>
      </c>
      <c r="C3135">
        <v>803</v>
      </c>
      <c r="D3135">
        <v>5</v>
      </c>
      <c r="E3135">
        <v>1</v>
      </c>
      <c r="F3135" t="s">
        <v>315</v>
      </c>
      <c r="G3135" t="s">
        <v>32</v>
      </c>
      <c r="H3135" t="s">
        <v>33</v>
      </c>
      <c r="I3135" t="s">
        <v>94</v>
      </c>
      <c r="J3135" t="s">
        <v>35</v>
      </c>
      <c r="K3135" t="s">
        <v>36</v>
      </c>
      <c r="L3135" t="s">
        <v>45</v>
      </c>
      <c r="M3135">
        <v>0</v>
      </c>
      <c r="N3135">
        <v>1</v>
      </c>
      <c r="O3135" s="5" t="s">
        <v>659</v>
      </c>
      <c r="P3135" s="5"/>
      <c r="Q3135">
        <f>39-17</f>
        <v>22</v>
      </c>
      <c r="R3135" t="s">
        <v>74</v>
      </c>
      <c r="S3135" t="s">
        <v>102</v>
      </c>
      <c r="T3135">
        <v>28</v>
      </c>
      <c r="W3135">
        <v>12.9</v>
      </c>
      <c r="X3135">
        <v>26.1</v>
      </c>
      <c r="Z3135" t="s">
        <v>102</v>
      </c>
      <c r="AA3135" t="s">
        <v>201</v>
      </c>
      <c r="AB3135" t="s">
        <v>60</v>
      </c>
      <c r="AC3135" t="s">
        <v>41</v>
      </c>
      <c r="AD3135" t="s">
        <v>660</v>
      </c>
    </row>
    <row r="3136" spans="1:30" x14ac:dyDescent="0.35">
      <c r="A3136" s="4">
        <v>42592</v>
      </c>
      <c r="B3136" t="s">
        <v>30</v>
      </c>
      <c r="C3136">
        <v>803</v>
      </c>
      <c r="D3136">
        <v>4</v>
      </c>
      <c r="E3136">
        <v>2</v>
      </c>
      <c r="F3136" t="s">
        <v>315</v>
      </c>
      <c r="G3136" t="s">
        <v>32</v>
      </c>
      <c r="H3136" t="s">
        <v>33</v>
      </c>
      <c r="I3136" t="s">
        <v>94</v>
      </c>
      <c r="J3136" t="s">
        <v>35</v>
      </c>
      <c r="K3136" t="s">
        <v>113</v>
      </c>
      <c r="L3136" t="s">
        <v>37</v>
      </c>
      <c r="M3136">
        <v>0</v>
      </c>
      <c r="N3136">
        <v>1</v>
      </c>
      <c r="O3136" s="5" t="s">
        <v>661</v>
      </c>
      <c r="P3136" s="5"/>
      <c r="Q3136">
        <f>32-15</f>
        <v>17</v>
      </c>
      <c r="R3136" t="s">
        <v>38</v>
      </c>
      <c r="T3136">
        <v>20</v>
      </c>
      <c r="W3136">
        <v>12.8</v>
      </c>
      <c r="X3136">
        <v>25.4</v>
      </c>
      <c r="Z3136" t="s">
        <v>102</v>
      </c>
      <c r="AA3136" t="s">
        <v>201</v>
      </c>
      <c r="AB3136" t="s">
        <v>60</v>
      </c>
      <c r="AC3136" t="s">
        <v>41</v>
      </c>
    </row>
    <row r="3137" spans="1:30" x14ac:dyDescent="0.35">
      <c r="A3137" s="4">
        <v>42592</v>
      </c>
      <c r="B3137" t="s">
        <v>30</v>
      </c>
      <c r="C3137">
        <v>803</v>
      </c>
      <c r="D3137">
        <v>7</v>
      </c>
      <c r="E3137">
        <v>1</v>
      </c>
      <c r="F3137" t="s">
        <v>315</v>
      </c>
      <c r="G3137" t="s">
        <v>32</v>
      </c>
      <c r="H3137" t="s">
        <v>33</v>
      </c>
      <c r="I3137" t="s">
        <v>94</v>
      </c>
      <c r="J3137" t="s">
        <v>35</v>
      </c>
      <c r="K3137" t="s">
        <v>36</v>
      </c>
      <c r="L3137" t="s">
        <v>37</v>
      </c>
      <c r="M3137">
        <v>0</v>
      </c>
      <c r="N3137">
        <v>1</v>
      </c>
      <c r="O3137" s="5" t="s">
        <v>662</v>
      </c>
      <c r="P3137" s="5"/>
      <c r="Q3137">
        <f>41-15</f>
        <v>26</v>
      </c>
      <c r="R3137" t="s">
        <v>38</v>
      </c>
      <c r="T3137">
        <v>30</v>
      </c>
      <c r="W3137">
        <v>12.9</v>
      </c>
      <c r="X3137">
        <v>26.5</v>
      </c>
      <c r="Z3137" t="s">
        <v>102</v>
      </c>
      <c r="AA3137" t="s">
        <v>201</v>
      </c>
      <c r="AB3137" t="s">
        <v>60</v>
      </c>
      <c r="AC3137" t="s">
        <v>41</v>
      </c>
    </row>
    <row r="3138" spans="1:30" x14ac:dyDescent="0.35">
      <c r="A3138" s="4">
        <v>42592</v>
      </c>
      <c r="B3138" t="s">
        <v>30</v>
      </c>
      <c r="C3138">
        <v>703</v>
      </c>
      <c r="D3138">
        <v>5</v>
      </c>
      <c r="E3138">
        <v>1</v>
      </c>
      <c r="F3138" t="s">
        <v>315</v>
      </c>
      <c r="G3138" t="s">
        <v>32</v>
      </c>
      <c r="H3138" t="s">
        <v>33</v>
      </c>
      <c r="I3138" t="s">
        <v>94</v>
      </c>
      <c r="J3138" t="s">
        <v>35</v>
      </c>
      <c r="K3138" t="s">
        <v>36</v>
      </c>
      <c r="L3138" t="s">
        <v>37</v>
      </c>
      <c r="M3138">
        <v>0</v>
      </c>
      <c r="N3138">
        <v>1</v>
      </c>
      <c r="O3138" s="5" t="s">
        <v>663</v>
      </c>
      <c r="P3138" s="5"/>
      <c r="Q3138">
        <f>39-13</f>
        <v>26</v>
      </c>
      <c r="R3138" t="s">
        <v>38</v>
      </c>
      <c r="T3138">
        <v>30</v>
      </c>
      <c r="W3138">
        <v>13.1</v>
      </c>
      <c r="X3138">
        <v>26.5</v>
      </c>
      <c r="Z3138" t="s">
        <v>39</v>
      </c>
      <c r="AB3138" t="s">
        <v>60</v>
      </c>
      <c r="AC3138" t="s">
        <v>41</v>
      </c>
    </row>
    <row r="3139" spans="1:30" x14ac:dyDescent="0.35">
      <c r="A3139" s="4">
        <v>42592</v>
      </c>
      <c r="B3139" t="s">
        <v>30</v>
      </c>
      <c r="C3139">
        <v>801</v>
      </c>
      <c r="D3139">
        <v>4</v>
      </c>
      <c r="E3139">
        <v>1</v>
      </c>
      <c r="F3139" t="s">
        <v>315</v>
      </c>
      <c r="G3139" t="s">
        <v>32</v>
      </c>
      <c r="H3139" t="s">
        <v>33</v>
      </c>
      <c r="I3139" t="s">
        <v>94</v>
      </c>
      <c r="J3139" t="s">
        <v>35</v>
      </c>
      <c r="K3139" t="s">
        <v>36</v>
      </c>
      <c r="L3139" t="s">
        <v>37</v>
      </c>
      <c r="M3139">
        <v>0</v>
      </c>
      <c r="N3139">
        <v>1</v>
      </c>
      <c r="O3139" s="5" t="s">
        <v>664</v>
      </c>
      <c r="P3139" s="5"/>
      <c r="Q3139">
        <f>34.5-13</f>
        <v>21.5</v>
      </c>
      <c r="R3139" t="s">
        <v>38</v>
      </c>
      <c r="T3139">
        <v>30</v>
      </c>
      <c r="W3139">
        <v>12.9</v>
      </c>
      <c r="X3139">
        <v>26.2</v>
      </c>
      <c r="Z3139" t="s">
        <v>102</v>
      </c>
      <c r="AA3139" t="s">
        <v>665</v>
      </c>
      <c r="AB3139" t="s">
        <v>60</v>
      </c>
      <c r="AC3139" t="s">
        <v>41</v>
      </c>
    </row>
    <row r="3140" spans="1:30" x14ac:dyDescent="0.35">
      <c r="A3140" s="4">
        <v>42592</v>
      </c>
      <c r="B3140" t="s">
        <v>30</v>
      </c>
      <c r="C3140">
        <v>801</v>
      </c>
      <c r="D3140">
        <v>6</v>
      </c>
      <c r="E3140">
        <v>1</v>
      </c>
      <c r="F3140" t="s">
        <v>315</v>
      </c>
      <c r="G3140" t="s">
        <v>32</v>
      </c>
      <c r="H3140" t="s">
        <v>33</v>
      </c>
      <c r="I3140" t="s">
        <v>94</v>
      </c>
      <c r="J3140" t="s">
        <v>35</v>
      </c>
      <c r="K3140" t="s">
        <v>36</v>
      </c>
      <c r="L3140" t="s">
        <v>37</v>
      </c>
      <c r="M3140">
        <v>0</v>
      </c>
      <c r="N3140">
        <v>1</v>
      </c>
      <c r="O3140" s="5" t="s">
        <v>666</v>
      </c>
      <c r="P3140" s="5"/>
      <c r="R3140" t="s">
        <v>38</v>
      </c>
      <c r="T3140">
        <v>28.5</v>
      </c>
      <c r="W3140">
        <v>12.9</v>
      </c>
      <c r="X3140">
        <v>28.4</v>
      </c>
      <c r="Z3140" t="s">
        <v>102</v>
      </c>
      <c r="AA3140" t="s">
        <v>667</v>
      </c>
      <c r="AB3140" t="s">
        <v>60</v>
      </c>
      <c r="AC3140" t="s">
        <v>41</v>
      </c>
    </row>
    <row r="3141" spans="1:30" x14ac:dyDescent="0.35">
      <c r="A3141" s="4">
        <v>42592</v>
      </c>
      <c r="B3141" t="s">
        <v>30</v>
      </c>
      <c r="C3141">
        <v>801</v>
      </c>
      <c r="D3141">
        <v>7</v>
      </c>
      <c r="E3141">
        <v>1</v>
      </c>
      <c r="F3141" t="s">
        <v>315</v>
      </c>
      <c r="G3141" t="s">
        <v>32</v>
      </c>
      <c r="H3141" t="s">
        <v>33</v>
      </c>
      <c r="I3141" t="s">
        <v>94</v>
      </c>
      <c r="J3141" t="s">
        <v>35</v>
      </c>
      <c r="K3141" t="s">
        <v>36</v>
      </c>
      <c r="L3141" t="s">
        <v>45</v>
      </c>
      <c r="M3141">
        <v>0</v>
      </c>
      <c r="N3141">
        <v>1</v>
      </c>
      <c r="O3141" s="5" t="s">
        <v>668</v>
      </c>
      <c r="P3141" s="5"/>
      <c r="Q3141">
        <f>35-18</f>
        <v>17</v>
      </c>
      <c r="R3141" t="s">
        <v>46</v>
      </c>
      <c r="S3141" t="s">
        <v>39</v>
      </c>
      <c r="T3141">
        <v>28.5</v>
      </c>
      <c r="W3141">
        <v>12.9</v>
      </c>
      <c r="X3141">
        <v>26</v>
      </c>
      <c r="Y3141" t="s">
        <v>669</v>
      </c>
      <c r="Z3141" t="s">
        <v>102</v>
      </c>
      <c r="AA3141" t="s">
        <v>670</v>
      </c>
      <c r="AB3141" t="s">
        <v>60</v>
      </c>
      <c r="AC3141" t="s">
        <v>41</v>
      </c>
    </row>
    <row r="3142" spans="1:30" x14ac:dyDescent="0.35">
      <c r="A3142" s="4">
        <v>42592</v>
      </c>
      <c r="B3142" t="s">
        <v>30</v>
      </c>
      <c r="C3142">
        <v>401</v>
      </c>
      <c r="D3142">
        <v>10</v>
      </c>
      <c r="E3142">
        <v>1</v>
      </c>
      <c r="F3142" t="s">
        <v>42</v>
      </c>
      <c r="G3142" t="s">
        <v>32</v>
      </c>
      <c r="H3142" t="s">
        <v>33</v>
      </c>
      <c r="I3142" t="s">
        <v>94</v>
      </c>
      <c r="J3142" t="s">
        <v>35</v>
      </c>
      <c r="K3142" t="s">
        <v>36</v>
      </c>
      <c r="M3142">
        <v>0</v>
      </c>
      <c r="N3142">
        <v>1</v>
      </c>
      <c r="O3142" s="5" t="s">
        <v>671</v>
      </c>
      <c r="P3142" s="5"/>
      <c r="Q3142">
        <f>34.5-14</f>
        <v>20.5</v>
      </c>
      <c r="T3142">
        <v>30</v>
      </c>
      <c r="W3142">
        <v>12.9</v>
      </c>
      <c r="X3142">
        <v>26.35</v>
      </c>
      <c r="Z3142" t="s">
        <v>102</v>
      </c>
      <c r="AB3142" t="s">
        <v>47</v>
      </c>
      <c r="AC3142" t="s">
        <v>41</v>
      </c>
    </row>
    <row r="3143" spans="1:30" x14ac:dyDescent="0.35">
      <c r="A3143" s="4">
        <v>42592</v>
      </c>
      <c r="B3143" t="s">
        <v>30</v>
      </c>
      <c r="C3143">
        <v>503</v>
      </c>
      <c r="D3143">
        <v>2</v>
      </c>
      <c r="E3143">
        <v>1</v>
      </c>
      <c r="F3143" t="s">
        <v>42</v>
      </c>
      <c r="G3143" t="s">
        <v>32</v>
      </c>
      <c r="H3143" t="s">
        <v>33</v>
      </c>
      <c r="I3143" t="s">
        <v>94</v>
      </c>
      <c r="J3143" t="s">
        <v>35</v>
      </c>
      <c r="K3143" t="s">
        <v>36</v>
      </c>
      <c r="L3143" t="s">
        <v>45</v>
      </c>
      <c r="M3143">
        <v>0</v>
      </c>
      <c r="N3143">
        <v>1</v>
      </c>
      <c r="O3143" s="5" t="s">
        <v>672</v>
      </c>
      <c r="P3143" s="5"/>
      <c r="Q3143">
        <f>34-12.5</f>
        <v>21.5</v>
      </c>
      <c r="R3143" t="s">
        <v>46</v>
      </c>
      <c r="S3143" t="s">
        <v>39</v>
      </c>
      <c r="T3143">
        <v>30</v>
      </c>
      <c r="W3143">
        <v>13.2</v>
      </c>
      <c r="X3143">
        <v>26.5</v>
      </c>
      <c r="Z3143" t="s">
        <v>39</v>
      </c>
      <c r="AB3143" t="s">
        <v>47</v>
      </c>
      <c r="AC3143" t="s">
        <v>41</v>
      </c>
    </row>
    <row r="3144" spans="1:30" x14ac:dyDescent="0.35">
      <c r="A3144" s="4">
        <v>42592</v>
      </c>
      <c r="B3144" t="s">
        <v>30</v>
      </c>
      <c r="C3144">
        <v>401</v>
      </c>
      <c r="D3144">
        <v>2</v>
      </c>
      <c r="E3144">
        <v>1</v>
      </c>
      <c r="F3144" t="s">
        <v>42</v>
      </c>
      <c r="G3144" t="s">
        <v>32</v>
      </c>
      <c r="H3144" t="s">
        <v>33</v>
      </c>
      <c r="I3144" t="s">
        <v>94</v>
      </c>
      <c r="J3144" t="s">
        <v>44</v>
      </c>
      <c r="K3144" t="s">
        <v>36</v>
      </c>
      <c r="L3144" t="s">
        <v>45</v>
      </c>
      <c r="M3144">
        <v>0</v>
      </c>
      <c r="N3144">
        <v>0</v>
      </c>
      <c r="O3144" s="5" t="s">
        <v>608</v>
      </c>
      <c r="P3144" s="5"/>
      <c r="Q3144">
        <f>35-14.5</f>
        <v>20.5</v>
      </c>
      <c r="R3144" t="s">
        <v>46</v>
      </c>
      <c r="S3144" t="s">
        <v>39</v>
      </c>
      <c r="T3144">
        <v>29</v>
      </c>
      <c r="W3144">
        <v>13.5</v>
      </c>
      <c r="X3144">
        <v>26.4</v>
      </c>
      <c r="Z3144" t="s">
        <v>39</v>
      </c>
      <c r="AB3144" t="s">
        <v>47</v>
      </c>
      <c r="AC3144" t="s">
        <v>41</v>
      </c>
    </row>
    <row r="3145" spans="1:30" x14ac:dyDescent="0.35">
      <c r="A3145" s="4">
        <v>42592</v>
      </c>
      <c r="B3145" t="s">
        <v>30</v>
      </c>
      <c r="C3145">
        <v>803</v>
      </c>
      <c r="D3145">
        <v>9</v>
      </c>
      <c r="E3145">
        <v>2</v>
      </c>
      <c r="F3145" t="s">
        <v>315</v>
      </c>
      <c r="G3145" t="s">
        <v>32</v>
      </c>
      <c r="H3145" t="s">
        <v>33</v>
      </c>
      <c r="I3145" t="s">
        <v>94</v>
      </c>
      <c r="J3145" t="s">
        <v>44</v>
      </c>
      <c r="K3145" t="s">
        <v>36</v>
      </c>
      <c r="L3145" t="s">
        <v>45</v>
      </c>
      <c r="M3145">
        <v>0</v>
      </c>
      <c r="N3145">
        <v>0</v>
      </c>
      <c r="O3145" s="5" t="s">
        <v>673</v>
      </c>
      <c r="P3145" s="5"/>
      <c r="Q3145">
        <f>46-27</f>
        <v>19</v>
      </c>
      <c r="R3145" t="s">
        <v>74</v>
      </c>
      <c r="S3145" t="s">
        <v>102</v>
      </c>
      <c r="T3145">
        <v>29</v>
      </c>
      <c r="W3145">
        <v>12.5</v>
      </c>
      <c r="X3145">
        <v>25.9</v>
      </c>
      <c r="Z3145" t="s">
        <v>102</v>
      </c>
      <c r="AA3145" t="s">
        <v>201</v>
      </c>
      <c r="AB3145" t="s">
        <v>60</v>
      </c>
      <c r="AC3145" t="s">
        <v>41</v>
      </c>
    </row>
    <row r="3146" spans="1:30" x14ac:dyDescent="0.35">
      <c r="A3146" s="4">
        <v>42592</v>
      </c>
      <c r="B3146" t="s">
        <v>30</v>
      </c>
      <c r="C3146">
        <v>801</v>
      </c>
      <c r="D3146">
        <v>9</v>
      </c>
      <c r="E3146">
        <v>1</v>
      </c>
      <c r="F3146" t="s">
        <v>315</v>
      </c>
      <c r="G3146" t="s">
        <v>32</v>
      </c>
      <c r="H3146" t="s">
        <v>33</v>
      </c>
      <c r="I3146" t="s">
        <v>94</v>
      </c>
      <c r="J3146" t="s">
        <v>44</v>
      </c>
      <c r="K3146" t="s">
        <v>36</v>
      </c>
      <c r="L3146" t="s">
        <v>37</v>
      </c>
      <c r="M3146">
        <v>0</v>
      </c>
      <c r="N3146">
        <v>0</v>
      </c>
      <c r="O3146" s="5" t="s">
        <v>674</v>
      </c>
      <c r="P3146" s="5"/>
      <c r="Q3146">
        <f>37-15</f>
        <v>22</v>
      </c>
      <c r="R3146" t="s">
        <v>38</v>
      </c>
      <c r="T3146">
        <v>29</v>
      </c>
      <c r="W3146">
        <v>12.9</v>
      </c>
      <c r="X3146">
        <v>25.7</v>
      </c>
      <c r="Z3146" t="s">
        <v>102</v>
      </c>
      <c r="AA3146" t="s">
        <v>201</v>
      </c>
      <c r="AB3146" t="s">
        <v>60</v>
      </c>
      <c r="AC3146" t="s">
        <v>41</v>
      </c>
    </row>
    <row r="3147" spans="1:30" x14ac:dyDescent="0.35">
      <c r="A3147" s="4">
        <v>42592</v>
      </c>
      <c r="B3147" t="s">
        <v>30</v>
      </c>
      <c r="C3147">
        <v>803</v>
      </c>
      <c r="D3147">
        <v>7</v>
      </c>
      <c r="E3147">
        <v>2</v>
      </c>
      <c r="F3147" t="s">
        <v>315</v>
      </c>
      <c r="G3147" t="s">
        <v>32</v>
      </c>
      <c r="H3147" t="s">
        <v>33</v>
      </c>
      <c r="I3147" t="s">
        <v>94</v>
      </c>
      <c r="J3147" t="s">
        <v>44</v>
      </c>
      <c r="K3147" t="s">
        <v>36</v>
      </c>
      <c r="L3147" t="s">
        <v>45</v>
      </c>
      <c r="M3147">
        <v>0</v>
      </c>
      <c r="N3147">
        <v>0</v>
      </c>
      <c r="O3147" s="5"/>
      <c r="P3147" s="5" t="s">
        <v>675</v>
      </c>
      <c r="Q3147">
        <f>46-14.5</f>
        <v>31.5</v>
      </c>
      <c r="R3147" t="s">
        <v>119</v>
      </c>
      <c r="S3147" t="s">
        <v>39</v>
      </c>
      <c r="Z3147" t="s">
        <v>39</v>
      </c>
      <c r="AB3147" t="s">
        <v>60</v>
      </c>
      <c r="AC3147" t="s">
        <v>41</v>
      </c>
    </row>
    <row r="3148" spans="1:30" x14ac:dyDescent="0.35">
      <c r="A3148" s="4">
        <v>42593</v>
      </c>
      <c r="B3148" t="s">
        <v>30</v>
      </c>
      <c r="C3148">
        <v>701</v>
      </c>
      <c r="D3148">
        <v>3</v>
      </c>
      <c r="E3148">
        <v>1</v>
      </c>
      <c r="F3148" t="s">
        <v>315</v>
      </c>
      <c r="G3148" t="s">
        <v>32</v>
      </c>
      <c r="H3148" t="s">
        <v>33</v>
      </c>
      <c r="I3148" t="s">
        <v>43</v>
      </c>
      <c r="J3148" t="s">
        <v>35</v>
      </c>
      <c r="K3148" t="s">
        <v>113</v>
      </c>
      <c r="L3148" t="s">
        <v>37</v>
      </c>
      <c r="M3148">
        <v>0</v>
      </c>
      <c r="N3148">
        <v>1</v>
      </c>
      <c r="O3148" s="5" t="s">
        <v>676</v>
      </c>
      <c r="P3148" s="5" t="s">
        <v>677</v>
      </c>
      <c r="Q3148">
        <f>28-14</f>
        <v>14</v>
      </c>
      <c r="R3148" t="s">
        <v>64</v>
      </c>
      <c r="T3148">
        <v>18</v>
      </c>
      <c r="U3148">
        <v>83</v>
      </c>
      <c r="V3148">
        <v>16</v>
      </c>
      <c r="W3148">
        <v>12.9</v>
      </c>
      <c r="X3148">
        <v>27.3</v>
      </c>
      <c r="Z3148" t="s">
        <v>39</v>
      </c>
      <c r="AB3148" t="s">
        <v>47</v>
      </c>
      <c r="AC3148" t="s">
        <v>87</v>
      </c>
    </row>
    <row r="3149" spans="1:30" x14ac:dyDescent="0.35">
      <c r="A3149" s="4">
        <v>42593</v>
      </c>
      <c r="B3149" t="s">
        <v>30</v>
      </c>
      <c r="C3149">
        <v>701</v>
      </c>
      <c r="D3149">
        <v>6</v>
      </c>
      <c r="E3149">
        <v>1</v>
      </c>
      <c r="F3149" t="s">
        <v>315</v>
      </c>
      <c r="G3149" t="s">
        <v>32</v>
      </c>
      <c r="H3149" t="s">
        <v>33</v>
      </c>
      <c r="I3149" t="s">
        <v>43</v>
      </c>
      <c r="J3149" t="s">
        <v>35</v>
      </c>
      <c r="K3149" t="s">
        <v>88</v>
      </c>
      <c r="L3149" t="s">
        <v>37</v>
      </c>
      <c r="M3149">
        <v>0</v>
      </c>
      <c r="N3149">
        <v>1</v>
      </c>
      <c r="O3149" s="5" t="s">
        <v>678</v>
      </c>
      <c r="P3149" s="5" t="s">
        <v>679</v>
      </c>
      <c r="Q3149">
        <f>29-14</f>
        <v>15</v>
      </c>
      <c r="R3149" t="s">
        <v>64</v>
      </c>
      <c r="T3149">
        <v>19</v>
      </c>
      <c r="U3149">
        <v>92</v>
      </c>
      <c r="V3149">
        <v>16</v>
      </c>
      <c r="W3149">
        <v>12.8</v>
      </c>
      <c r="X3149">
        <v>27.9</v>
      </c>
      <c r="Z3149" t="s">
        <v>39</v>
      </c>
      <c r="AA3149" t="s">
        <v>680</v>
      </c>
      <c r="AB3149" t="s">
        <v>47</v>
      </c>
      <c r="AC3149" t="s">
        <v>87</v>
      </c>
      <c r="AD3149" t="s">
        <v>681</v>
      </c>
    </row>
    <row r="3150" spans="1:30" x14ac:dyDescent="0.35">
      <c r="A3150" s="4">
        <v>42593</v>
      </c>
      <c r="B3150" t="s">
        <v>30</v>
      </c>
      <c r="C3150">
        <v>701</v>
      </c>
      <c r="D3150">
        <v>9</v>
      </c>
      <c r="E3150">
        <v>1</v>
      </c>
      <c r="F3150" t="s">
        <v>315</v>
      </c>
      <c r="G3150" t="s">
        <v>32</v>
      </c>
      <c r="H3150" t="s">
        <v>33</v>
      </c>
      <c r="I3150" t="s">
        <v>43</v>
      </c>
      <c r="J3150" t="s">
        <v>35</v>
      </c>
      <c r="K3150" t="s">
        <v>88</v>
      </c>
      <c r="L3150" t="s">
        <v>37</v>
      </c>
      <c r="M3150">
        <v>0</v>
      </c>
      <c r="N3150">
        <v>1</v>
      </c>
      <c r="O3150" s="5" t="s">
        <v>682</v>
      </c>
      <c r="P3150" s="5" t="s">
        <v>683</v>
      </c>
      <c r="Q3150">
        <f>32-17</f>
        <v>15</v>
      </c>
      <c r="R3150" t="s">
        <v>64</v>
      </c>
      <c r="T3150">
        <v>20.5</v>
      </c>
      <c r="U3150">
        <v>85</v>
      </c>
      <c r="V3150">
        <v>16</v>
      </c>
      <c r="W3150">
        <v>13</v>
      </c>
      <c r="X3150">
        <v>27.9</v>
      </c>
      <c r="Z3150" t="s">
        <v>39</v>
      </c>
      <c r="AB3150" t="s">
        <v>47</v>
      </c>
      <c r="AC3150" t="s">
        <v>87</v>
      </c>
    </row>
    <row r="3151" spans="1:30" x14ac:dyDescent="0.35">
      <c r="A3151" s="4">
        <v>42593</v>
      </c>
      <c r="B3151" t="s">
        <v>30</v>
      </c>
      <c r="C3151">
        <v>801</v>
      </c>
      <c r="D3151">
        <v>5</v>
      </c>
      <c r="E3151">
        <v>1</v>
      </c>
      <c r="F3151" t="s">
        <v>315</v>
      </c>
      <c r="G3151" t="s">
        <v>32</v>
      </c>
      <c r="H3151" t="s">
        <v>33</v>
      </c>
      <c r="I3151" t="s">
        <v>43</v>
      </c>
      <c r="J3151" t="s">
        <v>35</v>
      </c>
      <c r="K3151" t="s">
        <v>88</v>
      </c>
      <c r="L3151" t="s">
        <v>37</v>
      </c>
      <c r="M3151">
        <v>0</v>
      </c>
      <c r="N3151">
        <v>1</v>
      </c>
      <c r="O3151" s="5" t="s">
        <v>684</v>
      </c>
      <c r="P3151" s="5" t="s">
        <v>685</v>
      </c>
      <c r="Q3151">
        <f>37-19</f>
        <v>18</v>
      </c>
      <c r="R3151" t="s">
        <v>64</v>
      </c>
      <c r="T3151">
        <v>20</v>
      </c>
      <c r="U3151">
        <v>93</v>
      </c>
      <c r="V3151">
        <v>15.5</v>
      </c>
      <c r="W3151">
        <v>12.9</v>
      </c>
      <c r="X3151">
        <v>27.1</v>
      </c>
      <c r="Z3151" t="s">
        <v>39</v>
      </c>
      <c r="AB3151" t="s">
        <v>47</v>
      </c>
      <c r="AC3151" t="s">
        <v>87</v>
      </c>
    </row>
    <row r="3152" spans="1:30" x14ac:dyDescent="0.35">
      <c r="A3152" s="4">
        <v>42593</v>
      </c>
      <c r="B3152" t="s">
        <v>30</v>
      </c>
      <c r="C3152">
        <v>803</v>
      </c>
      <c r="D3152">
        <v>9</v>
      </c>
      <c r="E3152">
        <v>1</v>
      </c>
      <c r="F3152" t="s">
        <v>315</v>
      </c>
      <c r="G3152" t="s">
        <v>32</v>
      </c>
      <c r="H3152" t="s">
        <v>33</v>
      </c>
      <c r="I3152" t="s">
        <v>43</v>
      </c>
      <c r="J3152" t="s">
        <v>35</v>
      </c>
      <c r="K3152" t="s">
        <v>88</v>
      </c>
      <c r="L3152" t="s">
        <v>45</v>
      </c>
      <c r="M3152">
        <v>0</v>
      </c>
      <c r="N3152">
        <v>1</v>
      </c>
      <c r="O3152" s="5" t="s">
        <v>686</v>
      </c>
      <c r="P3152" s="5" t="s">
        <v>687</v>
      </c>
      <c r="Q3152">
        <f>25.5-15</f>
        <v>10.5</v>
      </c>
      <c r="R3152" t="s">
        <v>46</v>
      </c>
      <c r="S3152" t="s">
        <v>39</v>
      </c>
      <c r="Z3152" t="s">
        <v>39</v>
      </c>
      <c r="AB3152" t="s">
        <v>47</v>
      </c>
      <c r="AC3152" t="s">
        <v>87</v>
      </c>
      <c r="AD3152" t="s">
        <v>370</v>
      </c>
    </row>
    <row r="3153" spans="1:30" x14ac:dyDescent="0.35">
      <c r="A3153" s="4">
        <v>42593</v>
      </c>
      <c r="B3153" t="s">
        <v>30</v>
      </c>
      <c r="C3153">
        <v>703</v>
      </c>
      <c r="D3153">
        <v>6</v>
      </c>
      <c r="E3153">
        <v>2</v>
      </c>
      <c r="F3153" t="s">
        <v>315</v>
      </c>
      <c r="G3153" t="s">
        <v>32</v>
      </c>
      <c r="H3153" t="s">
        <v>33</v>
      </c>
      <c r="I3153" t="s">
        <v>43</v>
      </c>
      <c r="J3153" t="s">
        <v>44</v>
      </c>
      <c r="K3153" t="s">
        <v>88</v>
      </c>
      <c r="L3153" t="s">
        <v>45</v>
      </c>
      <c r="M3153">
        <v>0</v>
      </c>
      <c r="N3153">
        <v>0</v>
      </c>
      <c r="O3153" s="5" t="s">
        <v>545</v>
      </c>
      <c r="P3153" s="5" t="s">
        <v>546</v>
      </c>
      <c r="Q3153">
        <f>32-17</f>
        <v>15</v>
      </c>
      <c r="R3153" t="s">
        <v>46</v>
      </c>
      <c r="S3153" t="s">
        <v>39</v>
      </c>
      <c r="T3153">
        <v>20</v>
      </c>
      <c r="U3153">
        <v>85</v>
      </c>
      <c r="V3153">
        <v>17</v>
      </c>
      <c r="W3153">
        <v>12.7</v>
      </c>
      <c r="X3153">
        <v>26.6</v>
      </c>
      <c r="Z3153" t="s">
        <v>39</v>
      </c>
      <c r="AB3153" t="s">
        <v>47</v>
      </c>
      <c r="AC3153" t="s">
        <v>87</v>
      </c>
    </row>
    <row r="3154" spans="1:30" x14ac:dyDescent="0.35">
      <c r="A3154" s="4">
        <v>42593</v>
      </c>
      <c r="B3154" t="s">
        <v>30</v>
      </c>
      <c r="C3154">
        <v>701</v>
      </c>
      <c r="D3154">
        <v>4</v>
      </c>
      <c r="E3154">
        <v>1</v>
      </c>
      <c r="F3154" t="s">
        <v>315</v>
      </c>
      <c r="G3154" t="s">
        <v>32</v>
      </c>
      <c r="H3154" t="s">
        <v>33</v>
      </c>
      <c r="I3154" t="s">
        <v>43</v>
      </c>
      <c r="J3154" t="s">
        <v>44</v>
      </c>
      <c r="K3154" t="s">
        <v>113</v>
      </c>
      <c r="L3154" t="s">
        <v>37</v>
      </c>
      <c r="M3154">
        <v>0</v>
      </c>
      <c r="N3154">
        <v>0</v>
      </c>
      <c r="O3154" s="5" t="s">
        <v>547</v>
      </c>
      <c r="P3154" s="5" t="s">
        <v>548</v>
      </c>
      <c r="Q3154">
        <f>35-19</f>
        <v>16</v>
      </c>
      <c r="R3154" t="s">
        <v>64</v>
      </c>
      <c r="T3154">
        <v>19.5</v>
      </c>
      <c r="U3154">
        <v>86</v>
      </c>
      <c r="V3154">
        <v>17</v>
      </c>
      <c r="W3154">
        <v>12.7</v>
      </c>
      <c r="X3154">
        <v>27.9</v>
      </c>
      <c r="Z3154" t="s">
        <v>102</v>
      </c>
      <c r="AA3154" t="s">
        <v>201</v>
      </c>
      <c r="AB3154" t="s">
        <v>47</v>
      </c>
      <c r="AC3154" t="s">
        <v>87</v>
      </c>
      <c r="AD3154" t="s">
        <v>688</v>
      </c>
    </row>
    <row r="3155" spans="1:30" x14ac:dyDescent="0.35">
      <c r="A3155" s="4">
        <v>42593</v>
      </c>
      <c r="B3155" t="s">
        <v>30</v>
      </c>
      <c r="C3155">
        <v>803</v>
      </c>
      <c r="D3155">
        <v>3</v>
      </c>
      <c r="E3155">
        <v>1</v>
      </c>
      <c r="F3155" t="s">
        <v>315</v>
      </c>
      <c r="G3155" t="s">
        <v>32</v>
      </c>
      <c r="H3155" t="s">
        <v>33</v>
      </c>
      <c r="I3155" t="s">
        <v>43</v>
      </c>
      <c r="J3155" t="s">
        <v>44</v>
      </c>
      <c r="K3155" t="s">
        <v>88</v>
      </c>
      <c r="L3155" t="s">
        <v>45</v>
      </c>
      <c r="M3155">
        <v>0</v>
      </c>
      <c r="N3155">
        <v>0</v>
      </c>
      <c r="O3155" s="5" t="s">
        <v>549</v>
      </c>
      <c r="P3155" s="5" t="s">
        <v>550</v>
      </c>
      <c r="Q3155">
        <f>27-14</f>
        <v>13</v>
      </c>
      <c r="R3155" t="s">
        <v>46</v>
      </c>
      <c r="S3155" t="s">
        <v>39</v>
      </c>
      <c r="Z3155" t="s">
        <v>102</v>
      </c>
      <c r="AB3155" t="s">
        <v>47</v>
      </c>
      <c r="AC3155" t="s">
        <v>87</v>
      </c>
      <c r="AD3155" t="s">
        <v>689</v>
      </c>
    </row>
    <row r="3156" spans="1:30" x14ac:dyDescent="0.35">
      <c r="A3156" s="4">
        <v>42593</v>
      </c>
      <c r="B3156" t="s">
        <v>30</v>
      </c>
      <c r="C3156">
        <v>803</v>
      </c>
      <c r="D3156">
        <v>6</v>
      </c>
      <c r="E3156">
        <v>1</v>
      </c>
      <c r="F3156" t="s">
        <v>315</v>
      </c>
      <c r="G3156" t="s">
        <v>32</v>
      </c>
      <c r="H3156" t="s">
        <v>33</v>
      </c>
      <c r="I3156" t="s">
        <v>43</v>
      </c>
      <c r="J3156" t="s">
        <v>44</v>
      </c>
      <c r="K3156" t="s">
        <v>88</v>
      </c>
      <c r="L3156" t="s">
        <v>37</v>
      </c>
      <c r="M3156">
        <v>0</v>
      </c>
      <c r="N3156">
        <v>0</v>
      </c>
      <c r="O3156" s="5" t="s">
        <v>621</v>
      </c>
      <c r="P3156" s="5" t="s">
        <v>622</v>
      </c>
      <c r="Q3156">
        <f>29-16</f>
        <v>13</v>
      </c>
      <c r="R3156" t="s">
        <v>64</v>
      </c>
      <c r="Z3156" t="s">
        <v>39</v>
      </c>
      <c r="AB3156" t="s">
        <v>47</v>
      </c>
      <c r="AC3156" t="s">
        <v>87</v>
      </c>
      <c r="AD3156" t="s">
        <v>689</v>
      </c>
    </row>
    <row r="3157" spans="1:30" x14ac:dyDescent="0.35">
      <c r="A3157" s="4">
        <v>42593</v>
      </c>
      <c r="B3157" t="s">
        <v>30</v>
      </c>
      <c r="C3157">
        <v>401</v>
      </c>
      <c r="D3157">
        <v>5</v>
      </c>
      <c r="E3157">
        <v>1</v>
      </c>
      <c r="F3157" t="s">
        <v>42</v>
      </c>
      <c r="G3157" t="s">
        <v>32</v>
      </c>
      <c r="H3157" t="s">
        <v>33</v>
      </c>
      <c r="I3157" t="s">
        <v>43</v>
      </c>
      <c r="J3157" t="s">
        <v>35</v>
      </c>
      <c r="K3157" t="s">
        <v>36</v>
      </c>
      <c r="L3157" t="s">
        <v>37</v>
      </c>
      <c r="M3157">
        <v>0</v>
      </c>
      <c r="N3157">
        <v>1</v>
      </c>
      <c r="O3157" s="5" t="s">
        <v>690</v>
      </c>
      <c r="P3157" s="5" t="s">
        <v>691</v>
      </c>
      <c r="Q3157">
        <f>35-16.5</f>
        <v>18.5</v>
      </c>
      <c r="R3157" t="s">
        <v>38</v>
      </c>
      <c r="T3157">
        <v>18</v>
      </c>
      <c r="U3157">
        <v>95</v>
      </c>
      <c r="V3157">
        <v>16</v>
      </c>
      <c r="W3157">
        <v>13</v>
      </c>
      <c r="X3157">
        <v>28.9</v>
      </c>
      <c r="Z3157" t="s">
        <v>39</v>
      </c>
      <c r="AB3157" t="s">
        <v>47</v>
      </c>
      <c r="AC3157" t="s">
        <v>87</v>
      </c>
    </row>
    <row r="3158" spans="1:30" x14ac:dyDescent="0.35">
      <c r="A3158" s="4">
        <v>42593</v>
      </c>
      <c r="B3158" t="s">
        <v>30</v>
      </c>
      <c r="C3158">
        <v>303</v>
      </c>
      <c r="D3158">
        <v>7</v>
      </c>
      <c r="E3158">
        <v>1</v>
      </c>
      <c r="F3158" t="s">
        <v>42</v>
      </c>
      <c r="G3158" t="s">
        <v>32</v>
      </c>
      <c r="H3158" t="s">
        <v>33</v>
      </c>
      <c r="I3158" t="s">
        <v>43</v>
      </c>
      <c r="J3158" t="s">
        <v>35</v>
      </c>
      <c r="K3158" t="s">
        <v>113</v>
      </c>
      <c r="L3158" t="s">
        <v>45</v>
      </c>
      <c r="M3158">
        <v>0</v>
      </c>
      <c r="N3158">
        <v>1</v>
      </c>
      <c r="O3158" s="5" t="s">
        <v>692</v>
      </c>
      <c r="P3158" s="5" t="s">
        <v>693</v>
      </c>
      <c r="Q3158">
        <f>29-13</f>
        <v>16</v>
      </c>
      <c r="R3158" t="s">
        <v>46</v>
      </c>
      <c r="S3158" t="s">
        <v>39</v>
      </c>
      <c r="T3158">
        <v>18</v>
      </c>
      <c r="U3158">
        <v>85</v>
      </c>
      <c r="V3158">
        <v>16</v>
      </c>
      <c r="W3158">
        <v>12.7</v>
      </c>
      <c r="X3158">
        <v>26.8</v>
      </c>
      <c r="Y3158" t="s">
        <v>694</v>
      </c>
      <c r="Z3158" t="s">
        <v>102</v>
      </c>
      <c r="AB3158" t="s">
        <v>47</v>
      </c>
      <c r="AC3158" t="s">
        <v>87</v>
      </c>
    </row>
    <row r="3159" spans="1:30" x14ac:dyDescent="0.35">
      <c r="A3159" s="4">
        <v>42593</v>
      </c>
      <c r="B3159" t="s">
        <v>30</v>
      </c>
      <c r="C3159">
        <v>303</v>
      </c>
      <c r="D3159">
        <v>6</v>
      </c>
      <c r="E3159">
        <v>2</v>
      </c>
      <c r="F3159" t="s">
        <v>42</v>
      </c>
      <c r="G3159" t="s">
        <v>32</v>
      </c>
      <c r="H3159" t="s">
        <v>33</v>
      </c>
      <c r="I3159" t="s">
        <v>43</v>
      </c>
      <c r="J3159" t="s">
        <v>35</v>
      </c>
      <c r="K3159" t="s">
        <v>113</v>
      </c>
      <c r="L3159" t="s">
        <v>37</v>
      </c>
      <c r="M3159">
        <v>0</v>
      </c>
      <c r="N3159">
        <v>1</v>
      </c>
      <c r="O3159" s="5" t="s">
        <v>695</v>
      </c>
      <c r="P3159" s="5" t="s">
        <v>693</v>
      </c>
      <c r="Q3159">
        <f>32-15.5</f>
        <v>16.5</v>
      </c>
      <c r="R3159" t="s">
        <v>64</v>
      </c>
      <c r="T3159">
        <v>17</v>
      </c>
      <c r="U3159">
        <v>85.5</v>
      </c>
      <c r="V3159">
        <v>15</v>
      </c>
      <c r="W3159">
        <v>13.3</v>
      </c>
      <c r="X3159">
        <v>27.6</v>
      </c>
      <c r="Z3159" t="s">
        <v>39</v>
      </c>
      <c r="AB3159" t="s">
        <v>47</v>
      </c>
      <c r="AC3159" t="s">
        <v>87</v>
      </c>
    </row>
    <row r="3160" spans="1:30" x14ac:dyDescent="0.35">
      <c r="A3160" s="4">
        <v>42593</v>
      </c>
      <c r="B3160" t="s">
        <v>30</v>
      </c>
      <c r="C3160">
        <v>503</v>
      </c>
      <c r="D3160">
        <v>1</v>
      </c>
      <c r="E3160">
        <v>2</v>
      </c>
      <c r="F3160" t="s">
        <v>42</v>
      </c>
      <c r="G3160" t="s">
        <v>32</v>
      </c>
      <c r="H3160" t="s">
        <v>33</v>
      </c>
      <c r="I3160" t="s">
        <v>43</v>
      </c>
      <c r="J3160" t="s">
        <v>35</v>
      </c>
      <c r="K3160" t="s">
        <v>88</v>
      </c>
      <c r="L3160" t="s">
        <v>37</v>
      </c>
      <c r="M3160">
        <v>0</v>
      </c>
      <c r="N3160">
        <v>1</v>
      </c>
      <c r="O3160" s="5" t="s">
        <v>696</v>
      </c>
      <c r="P3160" s="5" t="s">
        <v>697</v>
      </c>
      <c r="Q3160">
        <f>26.5-12.5</f>
        <v>14</v>
      </c>
      <c r="R3160" t="s">
        <v>64</v>
      </c>
      <c r="T3160">
        <v>17</v>
      </c>
      <c r="U3160">
        <v>83</v>
      </c>
      <c r="V3160">
        <v>17</v>
      </c>
      <c r="W3160">
        <v>12.2</v>
      </c>
      <c r="X3160">
        <v>24.8</v>
      </c>
      <c r="Z3160" t="s">
        <v>39</v>
      </c>
      <c r="AB3160" t="s">
        <v>47</v>
      </c>
      <c r="AC3160" t="s">
        <v>87</v>
      </c>
      <c r="AD3160" t="s">
        <v>698</v>
      </c>
    </row>
    <row r="3161" spans="1:30" x14ac:dyDescent="0.35">
      <c r="A3161" s="4">
        <v>42593</v>
      </c>
      <c r="B3161" t="s">
        <v>30</v>
      </c>
      <c r="C3161">
        <v>503</v>
      </c>
      <c r="D3161">
        <v>1</v>
      </c>
      <c r="E3161">
        <v>1</v>
      </c>
      <c r="F3161" t="s">
        <v>42</v>
      </c>
      <c r="G3161" t="s">
        <v>32</v>
      </c>
      <c r="H3161" t="s">
        <v>33</v>
      </c>
      <c r="I3161" t="s">
        <v>43</v>
      </c>
      <c r="J3161" t="s">
        <v>35</v>
      </c>
      <c r="K3161" t="s">
        <v>113</v>
      </c>
      <c r="L3161" t="s">
        <v>45</v>
      </c>
      <c r="M3161">
        <v>0</v>
      </c>
      <c r="N3161">
        <v>1</v>
      </c>
      <c r="O3161" s="5" t="s">
        <v>699</v>
      </c>
      <c r="P3161" s="5" t="s">
        <v>700</v>
      </c>
      <c r="Q3161">
        <f>28-12.5</f>
        <v>15.5</v>
      </c>
      <c r="R3161" t="s">
        <v>46</v>
      </c>
      <c r="S3161" t="s">
        <v>39</v>
      </c>
      <c r="T3161">
        <v>18</v>
      </c>
      <c r="U3161">
        <v>75</v>
      </c>
      <c r="V3161">
        <v>17</v>
      </c>
      <c r="W3161">
        <v>12.9</v>
      </c>
      <c r="X3161">
        <v>25.4</v>
      </c>
      <c r="Z3161" t="s">
        <v>39</v>
      </c>
      <c r="AB3161" t="s">
        <v>47</v>
      </c>
      <c r="AC3161" t="s">
        <v>87</v>
      </c>
    </row>
    <row r="3162" spans="1:30" x14ac:dyDescent="0.35">
      <c r="A3162" s="4">
        <v>42593</v>
      </c>
      <c r="B3162" t="s">
        <v>30</v>
      </c>
      <c r="C3162">
        <v>401</v>
      </c>
      <c r="D3162">
        <v>8</v>
      </c>
      <c r="E3162">
        <v>1</v>
      </c>
      <c r="F3162" t="s">
        <v>42</v>
      </c>
      <c r="G3162" t="s">
        <v>32</v>
      </c>
      <c r="H3162" t="s">
        <v>33</v>
      </c>
      <c r="I3162" t="s">
        <v>43</v>
      </c>
      <c r="J3162" t="s">
        <v>44</v>
      </c>
      <c r="K3162" t="s">
        <v>113</v>
      </c>
      <c r="L3162" t="s">
        <v>45</v>
      </c>
      <c r="M3162">
        <v>0</v>
      </c>
      <c r="N3162">
        <v>0</v>
      </c>
      <c r="O3162" s="5" t="s">
        <v>624</v>
      </c>
      <c r="P3162" s="5" t="s">
        <v>625</v>
      </c>
      <c r="Q3162">
        <f>26.5-12.5</f>
        <v>14</v>
      </c>
      <c r="R3162" t="s">
        <v>46</v>
      </c>
      <c r="S3162" t="s">
        <v>39</v>
      </c>
      <c r="T3162">
        <v>18.5</v>
      </c>
      <c r="U3162">
        <v>86</v>
      </c>
      <c r="V3162">
        <v>15</v>
      </c>
      <c r="W3162">
        <v>12.9</v>
      </c>
      <c r="X3162">
        <v>26.8</v>
      </c>
      <c r="Z3162" t="s">
        <v>102</v>
      </c>
      <c r="AB3162" t="s">
        <v>47</v>
      </c>
      <c r="AC3162" t="s">
        <v>87</v>
      </c>
    </row>
    <row r="3163" spans="1:30" x14ac:dyDescent="0.35">
      <c r="A3163" s="4">
        <v>42593</v>
      </c>
      <c r="B3163" t="s">
        <v>30</v>
      </c>
      <c r="C3163">
        <v>303</v>
      </c>
      <c r="D3163">
        <v>7</v>
      </c>
      <c r="E3163">
        <v>2</v>
      </c>
      <c r="F3163" t="s">
        <v>42</v>
      </c>
      <c r="G3163" t="s">
        <v>32</v>
      </c>
      <c r="H3163" t="s">
        <v>33</v>
      </c>
      <c r="I3163" t="s">
        <v>43</v>
      </c>
      <c r="J3163" t="s">
        <v>44</v>
      </c>
      <c r="K3163" t="s">
        <v>113</v>
      </c>
      <c r="L3163" t="s">
        <v>45</v>
      </c>
      <c r="M3163">
        <v>0</v>
      </c>
      <c r="N3163">
        <v>0</v>
      </c>
      <c r="O3163" s="5" t="s">
        <v>628</v>
      </c>
      <c r="P3163" s="5" t="s">
        <v>629</v>
      </c>
      <c r="Q3163">
        <f>28-13</f>
        <v>15</v>
      </c>
      <c r="R3163" t="s">
        <v>46</v>
      </c>
      <c r="S3163" t="s">
        <v>39</v>
      </c>
      <c r="T3163">
        <v>17</v>
      </c>
      <c r="U3163">
        <v>81.5</v>
      </c>
      <c r="V3163">
        <v>17</v>
      </c>
      <c r="W3163">
        <v>12.8</v>
      </c>
      <c r="X3163">
        <v>27</v>
      </c>
      <c r="Z3163" t="s">
        <v>39</v>
      </c>
      <c r="AB3163" t="s">
        <v>47</v>
      </c>
      <c r="AC3163" t="s">
        <v>87</v>
      </c>
    </row>
    <row r="3164" spans="1:30" x14ac:dyDescent="0.35">
      <c r="A3164" s="4">
        <v>42593</v>
      </c>
      <c r="B3164" t="s">
        <v>30</v>
      </c>
      <c r="C3164">
        <v>501</v>
      </c>
      <c r="D3164">
        <v>5</v>
      </c>
      <c r="E3164">
        <v>1</v>
      </c>
      <c r="F3164" t="s">
        <v>42</v>
      </c>
      <c r="G3164" t="s">
        <v>32</v>
      </c>
      <c r="H3164" t="s">
        <v>33</v>
      </c>
      <c r="I3164" t="s">
        <v>43</v>
      </c>
      <c r="J3164" t="s">
        <v>44</v>
      </c>
      <c r="K3164" t="s">
        <v>113</v>
      </c>
      <c r="L3164" t="s">
        <v>37</v>
      </c>
      <c r="M3164">
        <v>0</v>
      </c>
      <c r="N3164">
        <v>0</v>
      </c>
      <c r="O3164" s="5" t="s">
        <v>555</v>
      </c>
      <c r="P3164" s="5" t="s">
        <v>556</v>
      </c>
      <c r="Q3164">
        <f>30.5-14.5</f>
        <v>16</v>
      </c>
      <c r="R3164" t="s">
        <v>64</v>
      </c>
      <c r="T3164">
        <v>20</v>
      </c>
      <c r="U3164">
        <v>85</v>
      </c>
      <c r="V3164">
        <v>19</v>
      </c>
      <c r="W3164">
        <v>13.4</v>
      </c>
      <c r="X3164">
        <v>26.85</v>
      </c>
      <c r="Z3164" t="s">
        <v>102</v>
      </c>
      <c r="AB3164" t="s">
        <v>47</v>
      </c>
      <c r="AC3164" t="s">
        <v>87</v>
      </c>
    </row>
    <row r="3165" spans="1:30" x14ac:dyDescent="0.35">
      <c r="A3165" s="4">
        <v>42593</v>
      </c>
      <c r="B3165" t="s">
        <v>30</v>
      </c>
      <c r="C3165">
        <v>703</v>
      </c>
      <c r="D3165">
        <v>1</v>
      </c>
      <c r="E3165">
        <v>1</v>
      </c>
      <c r="F3165" t="s">
        <v>315</v>
      </c>
      <c r="G3165" t="s">
        <v>32</v>
      </c>
      <c r="H3165" t="s">
        <v>33</v>
      </c>
      <c r="I3165" t="s">
        <v>43</v>
      </c>
      <c r="J3165" t="s">
        <v>44</v>
      </c>
      <c r="K3165" t="s">
        <v>112</v>
      </c>
      <c r="L3165" t="s">
        <v>37</v>
      </c>
      <c r="M3165">
        <v>0</v>
      </c>
      <c r="N3165">
        <v>0</v>
      </c>
      <c r="O3165" s="5" t="s">
        <v>557</v>
      </c>
      <c r="P3165" s="5" t="s">
        <v>558</v>
      </c>
      <c r="Q3165">
        <f>31.5-14</f>
        <v>17.5</v>
      </c>
      <c r="R3165" t="s">
        <v>64</v>
      </c>
      <c r="T3165">
        <v>20</v>
      </c>
      <c r="U3165">
        <v>89</v>
      </c>
      <c r="V3165">
        <v>15</v>
      </c>
      <c r="W3165">
        <v>12.8</v>
      </c>
      <c r="X3165">
        <v>27.7</v>
      </c>
      <c r="Z3165" t="s">
        <v>102</v>
      </c>
      <c r="AA3165" t="s">
        <v>201</v>
      </c>
      <c r="AB3165" t="s">
        <v>47</v>
      </c>
      <c r="AC3165" t="s">
        <v>87</v>
      </c>
    </row>
    <row r="3166" spans="1:30" x14ac:dyDescent="0.35">
      <c r="A3166" s="4">
        <v>42593</v>
      </c>
      <c r="B3166" t="s">
        <v>30</v>
      </c>
      <c r="C3166">
        <v>701</v>
      </c>
      <c r="D3166">
        <v>1</v>
      </c>
      <c r="E3166">
        <v>1</v>
      </c>
      <c r="F3166" t="s">
        <v>315</v>
      </c>
      <c r="G3166" t="s">
        <v>32</v>
      </c>
      <c r="H3166" t="s">
        <v>33</v>
      </c>
      <c r="I3166" t="s">
        <v>43</v>
      </c>
      <c r="J3166" t="s">
        <v>44</v>
      </c>
      <c r="K3166" t="s">
        <v>113</v>
      </c>
      <c r="L3166" t="s">
        <v>37</v>
      </c>
      <c r="M3166">
        <v>0</v>
      </c>
      <c r="N3166">
        <v>0</v>
      </c>
      <c r="O3166" s="5" t="s">
        <v>562</v>
      </c>
      <c r="P3166" s="5" t="s">
        <v>563</v>
      </c>
      <c r="Q3166">
        <f>31.5-16</f>
        <v>15.5</v>
      </c>
      <c r="R3166" t="s">
        <v>64</v>
      </c>
      <c r="T3166">
        <v>20</v>
      </c>
      <c r="U3166">
        <v>88</v>
      </c>
      <c r="V3166">
        <v>17</v>
      </c>
      <c r="W3166">
        <v>12.7</v>
      </c>
      <c r="X3166">
        <v>26.4</v>
      </c>
      <c r="Z3166" t="s">
        <v>102</v>
      </c>
      <c r="AA3166" t="s">
        <v>201</v>
      </c>
      <c r="AB3166" t="s">
        <v>47</v>
      </c>
      <c r="AC3166" t="s">
        <v>87</v>
      </c>
    </row>
    <row r="3167" spans="1:30" x14ac:dyDescent="0.35">
      <c r="A3167" s="4">
        <v>42593</v>
      </c>
      <c r="B3167" t="s">
        <v>30</v>
      </c>
      <c r="C3167">
        <v>701</v>
      </c>
      <c r="D3167">
        <v>2</v>
      </c>
      <c r="E3167">
        <v>1</v>
      </c>
      <c r="F3167" t="s">
        <v>315</v>
      </c>
      <c r="G3167" t="s">
        <v>32</v>
      </c>
      <c r="H3167" t="s">
        <v>33</v>
      </c>
      <c r="I3167" t="s">
        <v>43</v>
      </c>
      <c r="J3167" t="s">
        <v>44</v>
      </c>
      <c r="K3167" t="s">
        <v>113</v>
      </c>
      <c r="L3167" t="s">
        <v>37</v>
      </c>
      <c r="M3167">
        <v>0</v>
      </c>
      <c r="N3167">
        <v>0</v>
      </c>
      <c r="O3167" s="5" t="s">
        <v>565</v>
      </c>
      <c r="P3167" s="5" t="s">
        <v>566</v>
      </c>
      <c r="Q3167">
        <f>29.5-14</f>
        <v>15.5</v>
      </c>
      <c r="R3167" t="s">
        <v>64</v>
      </c>
      <c r="T3167">
        <v>19</v>
      </c>
      <c r="U3167">
        <v>90</v>
      </c>
      <c r="V3167">
        <v>16</v>
      </c>
      <c r="W3167">
        <v>12.8</v>
      </c>
      <c r="X3167">
        <v>27.4</v>
      </c>
      <c r="Z3167" t="s">
        <v>102</v>
      </c>
      <c r="AA3167" t="s">
        <v>201</v>
      </c>
      <c r="AB3167" t="s">
        <v>47</v>
      </c>
      <c r="AC3167" t="s">
        <v>87</v>
      </c>
    </row>
    <row r="3168" spans="1:30" x14ac:dyDescent="0.35">
      <c r="A3168" s="4">
        <v>42593</v>
      </c>
      <c r="B3168" t="s">
        <v>30</v>
      </c>
      <c r="C3168">
        <v>703</v>
      </c>
      <c r="D3168">
        <v>4</v>
      </c>
      <c r="E3168">
        <v>1</v>
      </c>
      <c r="F3168" t="s">
        <v>315</v>
      </c>
      <c r="G3168" t="s">
        <v>32</v>
      </c>
      <c r="H3168" t="s">
        <v>33</v>
      </c>
      <c r="I3168" t="s">
        <v>43</v>
      </c>
      <c r="J3168" t="s">
        <v>44</v>
      </c>
      <c r="K3168" t="s">
        <v>88</v>
      </c>
      <c r="L3168" t="s">
        <v>45</v>
      </c>
      <c r="M3168">
        <v>0</v>
      </c>
      <c r="N3168">
        <v>0</v>
      </c>
      <c r="O3168" s="5" t="s">
        <v>568</v>
      </c>
      <c r="P3168" s="5" t="s">
        <v>569</v>
      </c>
      <c r="Q3168">
        <f>32-17</f>
        <v>15</v>
      </c>
      <c r="R3168" t="s">
        <v>46</v>
      </c>
      <c r="S3168" t="s">
        <v>39</v>
      </c>
      <c r="T3168">
        <v>19</v>
      </c>
      <c r="U3168">
        <v>76</v>
      </c>
      <c r="V3168">
        <v>16</v>
      </c>
      <c r="W3168">
        <v>12.8</v>
      </c>
      <c r="X3168">
        <v>26.9</v>
      </c>
      <c r="Z3168" t="s">
        <v>102</v>
      </c>
      <c r="AA3168" t="s">
        <v>201</v>
      </c>
      <c r="AB3168" t="s">
        <v>47</v>
      </c>
      <c r="AC3168" t="s">
        <v>87</v>
      </c>
    </row>
    <row r="3169" spans="1:30" x14ac:dyDescent="0.35">
      <c r="A3169" s="4">
        <v>42593</v>
      </c>
      <c r="B3169" t="s">
        <v>30</v>
      </c>
      <c r="C3169">
        <v>303</v>
      </c>
      <c r="D3169">
        <v>10</v>
      </c>
      <c r="E3169">
        <v>2</v>
      </c>
      <c r="F3169" t="s">
        <v>42</v>
      </c>
      <c r="G3169" t="s">
        <v>32</v>
      </c>
      <c r="H3169" t="s">
        <v>33</v>
      </c>
      <c r="I3169" t="s">
        <v>43</v>
      </c>
      <c r="J3169" t="s">
        <v>44</v>
      </c>
      <c r="K3169" t="s">
        <v>113</v>
      </c>
      <c r="L3169" t="s">
        <v>37</v>
      </c>
      <c r="M3169">
        <v>0</v>
      </c>
      <c r="N3169">
        <v>0</v>
      </c>
      <c r="O3169" s="5" t="s">
        <v>570</v>
      </c>
      <c r="P3169" s="5" t="s">
        <v>571</v>
      </c>
      <c r="Q3169">
        <f>30-13</f>
        <v>17</v>
      </c>
      <c r="R3169" t="s">
        <v>64</v>
      </c>
      <c r="T3169">
        <v>18</v>
      </c>
      <c r="U3169">
        <v>78</v>
      </c>
      <c r="V3169">
        <v>15</v>
      </c>
      <c r="W3169">
        <v>13</v>
      </c>
      <c r="X3169">
        <v>27.1</v>
      </c>
      <c r="Z3169" t="s">
        <v>102</v>
      </c>
      <c r="AB3169" t="s">
        <v>47</v>
      </c>
      <c r="AC3169" t="s">
        <v>87</v>
      </c>
    </row>
    <row r="3170" spans="1:30" x14ac:dyDescent="0.35">
      <c r="A3170" s="4">
        <v>42593</v>
      </c>
      <c r="B3170" t="s">
        <v>30</v>
      </c>
      <c r="C3170">
        <v>701</v>
      </c>
      <c r="D3170">
        <v>10</v>
      </c>
      <c r="E3170">
        <v>1</v>
      </c>
      <c r="F3170" t="s">
        <v>315</v>
      </c>
      <c r="G3170" t="s">
        <v>32</v>
      </c>
      <c r="H3170" t="s">
        <v>33</v>
      </c>
      <c r="I3170" t="s">
        <v>43</v>
      </c>
      <c r="J3170" t="s">
        <v>44</v>
      </c>
      <c r="K3170" t="s">
        <v>88</v>
      </c>
      <c r="L3170" t="s">
        <v>45</v>
      </c>
      <c r="M3170">
        <v>0</v>
      </c>
      <c r="N3170">
        <v>0</v>
      </c>
      <c r="O3170" s="5" t="s">
        <v>572</v>
      </c>
      <c r="P3170" s="5" t="s">
        <v>573</v>
      </c>
      <c r="Q3170">
        <f>32-17</f>
        <v>15</v>
      </c>
      <c r="R3170" t="s">
        <v>46</v>
      </c>
      <c r="S3170" t="s">
        <v>39</v>
      </c>
      <c r="T3170">
        <v>17</v>
      </c>
      <c r="U3170">
        <v>70</v>
      </c>
      <c r="V3170">
        <v>14</v>
      </c>
      <c r="W3170">
        <v>12.7</v>
      </c>
      <c r="X3170">
        <v>26.6</v>
      </c>
      <c r="Y3170" t="s">
        <v>588</v>
      </c>
      <c r="Z3170" t="s">
        <v>102</v>
      </c>
      <c r="AA3170" t="s">
        <v>201</v>
      </c>
      <c r="AB3170" t="s">
        <v>47</v>
      </c>
      <c r="AC3170" t="s">
        <v>87</v>
      </c>
      <c r="AD3170" t="s">
        <v>701</v>
      </c>
    </row>
    <row r="3171" spans="1:30" x14ac:dyDescent="0.35">
      <c r="A3171" s="4">
        <v>42593</v>
      </c>
      <c r="B3171" t="s">
        <v>30</v>
      </c>
      <c r="C3171">
        <v>703</v>
      </c>
      <c r="D3171">
        <v>7</v>
      </c>
      <c r="E3171">
        <v>2</v>
      </c>
      <c r="F3171" t="s">
        <v>315</v>
      </c>
      <c r="G3171" t="s">
        <v>32</v>
      </c>
      <c r="H3171" t="s">
        <v>33</v>
      </c>
      <c r="I3171" t="s">
        <v>43</v>
      </c>
      <c r="J3171" t="s">
        <v>44</v>
      </c>
      <c r="K3171" t="s">
        <v>88</v>
      </c>
      <c r="L3171" t="s">
        <v>45</v>
      </c>
      <c r="M3171">
        <v>0</v>
      </c>
      <c r="N3171">
        <v>0</v>
      </c>
      <c r="O3171" s="5" t="s">
        <v>574</v>
      </c>
      <c r="P3171" s="5" t="s">
        <v>575</v>
      </c>
      <c r="Q3171">
        <f>27-13</f>
        <v>14</v>
      </c>
      <c r="R3171" t="s">
        <v>46</v>
      </c>
      <c r="S3171" t="s">
        <v>39</v>
      </c>
      <c r="T3171">
        <v>18</v>
      </c>
      <c r="U3171">
        <v>75</v>
      </c>
      <c r="V3171">
        <v>16</v>
      </c>
      <c r="W3171">
        <v>12.6</v>
      </c>
      <c r="X3171">
        <v>25.9</v>
      </c>
      <c r="Z3171" t="s">
        <v>102</v>
      </c>
      <c r="AA3171" t="s">
        <v>201</v>
      </c>
      <c r="AB3171" t="s">
        <v>47</v>
      </c>
      <c r="AC3171" t="s">
        <v>87</v>
      </c>
    </row>
    <row r="3172" spans="1:30" x14ac:dyDescent="0.35">
      <c r="A3172" s="4">
        <v>42593</v>
      </c>
      <c r="B3172" t="s">
        <v>30</v>
      </c>
      <c r="C3172">
        <v>503</v>
      </c>
      <c r="D3172">
        <v>9</v>
      </c>
      <c r="E3172">
        <v>1</v>
      </c>
      <c r="F3172" t="s">
        <v>42</v>
      </c>
      <c r="G3172" t="s">
        <v>32</v>
      </c>
      <c r="H3172" t="s">
        <v>33</v>
      </c>
      <c r="I3172" t="s">
        <v>43</v>
      </c>
      <c r="J3172" t="s">
        <v>44</v>
      </c>
      <c r="K3172" t="s">
        <v>113</v>
      </c>
      <c r="L3172" t="s">
        <v>45</v>
      </c>
      <c r="M3172">
        <v>0</v>
      </c>
      <c r="N3172">
        <v>0</v>
      </c>
      <c r="O3172" s="5" t="s">
        <v>637</v>
      </c>
      <c r="P3172" s="5" t="s">
        <v>638</v>
      </c>
      <c r="Q3172">
        <f>30.5-15.5</f>
        <v>15</v>
      </c>
      <c r="R3172" t="s">
        <v>46</v>
      </c>
      <c r="S3172" t="s">
        <v>39</v>
      </c>
      <c r="T3172">
        <v>19</v>
      </c>
      <c r="U3172">
        <v>83</v>
      </c>
      <c r="V3172">
        <v>17</v>
      </c>
      <c r="W3172">
        <v>13</v>
      </c>
      <c r="X3172">
        <v>26</v>
      </c>
      <c r="Z3172" t="s">
        <v>39</v>
      </c>
      <c r="AB3172" t="s">
        <v>47</v>
      </c>
      <c r="AC3172" t="s">
        <v>87</v>
      </c>
    </row>
    <row r="3173" spans="1:30" x14ac:dyDescent="0.35">
      <c r="A3173" s="4">
        <v>42593</v>
      </c>
      <c r="B3173" t="s">
        <v>30</v>
      </c>
      <c r="C3173">
        <v>503</v>
      </c>
      <c r="D3173">
        <v>8</v>
      </c>
      <c r="E3173">
        <v>1</v>
      </c>
      <c r="F3173" t="s">
        <v>42</v>
      </c>
      <c r="G3173" t="s">
        <v>32</v>
      </c>
      <c r="H3173" t="s">
        <v>33</v>
      </c>
      <c r="I3173" t="s">
        <v>43</v>
      </c>
      <c r="J3173" t="s">
        <v>44</v>
      </c>
      <c r="K3173" t="s">
        <v>36</v>
      </c>
      <c r="L3173" t="s">
        <v>37</v>
      </c>
      <c r="M3173">
        <v>0</v>
      </c>
      <c r="N3173">
        <v>0</v>
      </c>
      <c r="O3173" s="5" t="s">
        <v>639</v>
      </c>
      <c r="P3173" s="5" t="s">
        <v>640</v>
      </c>
      <c r="Q3173">
        <f>33.5-16</f>
        <v>17.5</v>
      </c>
      <c r="R3173" t="s">
        <v>38</v>
      </c>
      <c r="T3173">
        <v>18</v>
      </c>
      <c r="U3173">
        <v>79</v>
      </c>
      <c r="V3173">
        <v>19</v>
      </c>
      <c r="W3173">
        <v>12.9</v>
      </c>
      <c r="X3173">
        <v>28</v>
      </c>
      <c r="Y3173" t="s">
        <v>702</v>
      </c>
      <c r="Z3173" t="s">
        <v>102</v>
      </c>
      <c r="AB3173" t="s">
        <v>47</v>
      </c>
      <c r="AC3173" t="s">
        <v>87</v>
      </c>
    </row>
    <row r="3174" spans="1:30" x14ac:dyDescent="0.35">
      <c r="A3174" s="4">
        <v>42593</v>
      </c>
      <c r="B3174" t="s">
        <v>30</v>
      </c>
      <c r="C3174">
        <v>701</v>
      </c>
      <c r="D3174">
        <v>3</v>
      </c>
      <c r="E3174">
        <v>2</v>
      </c>
      <c r="F3174" t="s">
        <v>315</v>
      </c>
      <c r="G3174" t="s">
        <v>32</v>
      </c>
      <c r="H3174" t="s">
        <v>33</v>
      </c>
      <c r="I3174" t="s">
        <v>43</v>
      </c>
      <c r="J3174" t="s">
        <v>44</v>
      </c>
      <c r="K3174" t="s">
        <v>36</v>
      </c>
      <c r="L3174" t="s">
        <v>45</v>
      </c>
      <c r="M3174">
        <v>0</v>
      </c>
      <c r="N3174">
        <v>0</v>
      </c>
      <c r="O3174" s="5" t="s">
        <v>576</v>
      </c>
      <c r="P3174" s="5" t="s">
        <v>577</v>
      </c>
      <c r="Q3174">
        <f>33-15</f>
        <v>18</v>
      </c>
      <c r="R3174" t="s">
        <v>46</v>
      </c>
      <c r="S3174" t="s">
        <v>39</v>
      </c>
      <c r="T3174">
        <v>19</v>
      </c>
      <c r="U3174">
        <v>88</v>
      </c>
      <c r="V3174">
        <v>16</v>
      </c>
      <c r="W3174">
        <v>12.7</v>
      </c>
      <c r="X3174">
        <v>27.6</v>
      </c>
      <c r="Z3174" t="s">
        <v>102</v>
      </c>
      <c r="AA3174" t="s">
        <v>201</v>
      </c>
      <c r="AB3174" t="s">
        <v>47</v>
      </c>
      <c r="AC3174" t="s">
        <v>87</v>
      </c>
    </row>
    <row r="3175" spans="1:30" x14ac:dyDescent="0.35">
      <c r="A3175" s="4">
        <v>42593</v>
      </c>
      <c r="B3175" t="s">
        <v>30</v>
      </c>
      <c r="C3175">
        <v>701</v>
      </c>
      <c r="D3175">
        <v>5</v>
      </c>
      <c r="E3175">
        <v>1</v>
      </c>
      <c r="F3175" t="s">
        <v>315</v>
      </c>
      <c r="G3175" t="s">
        <v>32</v>
      </c>
      <c r="H3175" t="s">
        <v>33</v>
      </c>
      <c r="I3175" t="s">
        <v>43</v>
      </c>
      <c r="J3175" t="s">
        <v>44</v>
      </c>
      <c r="K3175" t="s">
        <v>113</v>
      </c>
      <c r="L3175" t="s">
        <v>37</v>
      </c>
      <c r="M3175">
        <v>0</v>
      </c>
      <c r="N3175">
        <v>0</v>
      </c>
      <c r="O3175" s="5" t="s">
        <v>578</v>
      </c>
      <c r="P3175" s="5" t="s">
        <v>579</v>
      </c>
      <c r="Q3175">
        <f>31-16</f>
        <v>15</v>
      </c>
      <c r="R3175" t="s">
        <v>64</v>
      </c>
      <c r="T3175">
        <v>20</v>
      </c>
      <c r="U3175">
        <v>85</v>
      </c>
      <c r="V3175">
        <v>15</v>
      </c>
      <c r="W3175">
        <v>12.7</v>
      </c>
      <c r="X3175">
        <v>27.8</v>
      </c>
      <c r="Z3175" t="s">
        <v>102</v>
      </c>
      <c r="AA3175" t="s">
        <v>201</v>
      </c>
      <c r="AB3175" t="s">
        <v>47</v>
      </c>
      <c r="AC3175" t="s">
        <v>87</v>
      </c>
    </row>
    <row r="3176" spans="1:30" x14ac:dyDescent="0.35">
      <c r="A3176" s="4">
        <v>42593</v>
      </c>
      <c r="B3176" t="s">
        <v>30</v>
      </c>
      <c r="C3176">
        <v>801</v>
      </c>
      <c r="D3176">
        <v>10</v>
      </c>
      <c r="E3176">
        <v>2</v>
      </c>
      <c r="F3176" t="s">
        <v>315</v>
      </c>
      <c r="G3176" t="s">
        <v>32</v>
      </c>
      <c r="H3176" t="s">
        <v>33</v>
      </c>
      <c r="I3176" t="s">
        <v>43</v>
      </c>
      <c r="J3176" t="s">
        <v>44</v>
      </c>
      <c r="K3176" t="s">
        <v>36</v>
      </c>
      <c r="L3176" t="s">
        <v>45</v>
      </c>
      <c r="M3176">
        <v>0</v>
      </c>
      <c r="N3176">
        <v>0</v>
      </c>
      <c r="O3176" s="5" t="s">
        <v>580</v>
      </c>
      <c r="P3176" s="5" t="s">
        <v>581</v>
      </c>
      <c r="Q3176">
        <f>34-13</f>
        <v>21</v>
      </c>
      <c r="R3176" t="s">
        <v>143</v>
      </c>
      <c r="S3176" t="s">
        <v>102</v>
      </c>
      <c r="T3176">
        <v>19</v>
      </c>
      <c r="U3176">
        <v>99</v>
      </c>
      <c r="V3176">
        <v>16</v>
      </c>
      <c r="W3176">
        <v>12.8</v>
      </c>
      <c r="X3176">
        <v>26.7</v>
      </c>
      <c r="Z3176" t="s">
        <v>102</v>
      </c>
      <c r="AB3176" t="s">
        <v>47</v>
      </c>
      <c r="AC3176" t="s">
        <v>87</v>
      </c>
    </row>
    <row r="3177" spans="1:30" x14ac:dyDescent="0.35">
      <c r="A3177" s="4">
        <v>42593</v>
      </c>
      <c r="B3177" t="s">
        <v>30</v>
      </c>
      <c r="C3177">
        <v>703</v>
      </c>
      <c r="D3177">
        <v>6</v>
      </c>
      <c r="E3177">
        <v>1</v>
      </c>
      <c r="F3177" t="s">
        <v>315</v>
      </c>
      <c r="G3177" t="s">
        <v>32</v>
      </c>
      <c r="H3177" t="s">
        <v>33</v>
      </c>
      <c r="I3177" t="s">
        <v>43</v>
      </c>
      <c r="J3177" t="s">
        <v>44</v>
      </c>
      <c r="K3177" t="s">
        <v>36</v>
      </c>
      <c r="L3177" t="s">
        <v>37</v>
      </c>
      <c r="M3177">
        <v>0</v>
      </c>
      <c r="N3177">
        <v>0</v>
      </c>
      <c r="O3177" s="5" t="s">
        <v>582</v>
      </c>
      <c r="P3177" s="5" t="s">
        <v>583</v>
      </c>
      <c r="Q3177">
        <f>36-14.5</f>
        <v>21.5</v>
      </c>
      <c r="R3177" t="s">
        <v>64</v>
      </c>
      <c r="T3177">
        <v>20</v>
      </c>
      <c r="U3177">
        <v>96</v>
      </c>
      <c r="V3177">
        <v>16</v>
      </c>
      <c r="W3177">
        <v>12.8</v>
      </c>
      <c r="X3177">
        <v>27.1</v>
      </c>
      <c r="Z3177" t="s">
        <v>102</v>
      </c>
      <c r="AB3177" t="s">
        <v>47</v>
      </c>
      <c r="AC3177" t="s">
        <v>87</v>
      </c>
    </row>
    <row r="3178" spans="1:30" x14ac:dyDescent="0.35">
      <c r="A3178" s="4">
        <v>42593</v>
      </c>
      <c r="B3178" t="s">
        <v>30</v>
      </c>
      <c r="C3178">
        <v>801</v>
      </c>
      <c r="D3178">
        <v>2</v>
      </c>
      <c r="E3178">
        <v>1</v>
      </c>
      <c r="F3178" t="s">
        <v>315</v>
      </c>
      <c r="G3178" t="s">
        <v>32</v>
      </c>
      <c r="H3178" t="s">
        <v>33</v>
      </c>
      <c r="I3178" t="s">
        <v>43</v>
      </c>
      <c r="J3178" t="s">
        <v>44</v>
      </c>
      <c r="K3178" t="s">
        <v>113</v>
      </c>
      <c r="L3178" t="s">
        <v>45</v>
      </c>
      <c r="M3178">
        <v>0</v>
      </c>
      <c r="N3178">
        <v>0</v>
      </c>
      <c r="O3178" s="5" t="s">
        <v>703</v>
      </c>
      <c r="P3178" s="5" t="s">
        <v>704</v>
      </c>
      <c r="Q3178">
        <f>31-15</f>
        <v>16</v>
      </c>
      <c r="R3178" t="s">
        <v>46</v>
      </c>
      <c r="S3178" t="s">
        <v>39</v>
      </c>
      <c r="T3178">
        <v>20</v>
      </c>
      <c r="U3178">
        <v>83</v>
      </c>
      <c r="V3178">
        <v>14</v>
      </c>
      <c r="W3178">
        <v>12.6</v>
      </c>
      <c r="X3178">
        <v>27.5</v>
      </c>
      <c r="Z3178" t="s">
        <v>102</v>
      </c>
      <c r="AA3178" t="s">
        <v>201</v>
      </c>
      <c r="AB3178" t="s">
        <v>47</v>
      </c>
      <c r="AC3178" t="s">
        <v>87</v>
      </c>
    </row>
    <row r="3179" spans="1:30" x14ac:dyDescent="0.35">
      <c r="A3179" s="4">
        <v>42593</v>
      </c>
      <c r="B3179" t="s">
        <v>30</v>
      </c>
      <c r="C3179">
        <v>801</v>
      </c>
      <c r="D3179">
        <v>4</v>
      </c>
      <c r="E3179">
        <v>2</v>
      </c>
      <c r="F3179" t="s">
        <v>315</v>
      </c>
      <c r="G3179" t="s">
        <v>32</v>
      </c>
      <c r="H3179" t="s">
        <v>33</v>
      </c>
      <c r="I3179" t="s">
        <v>43</v>
      </c>
      <c r="J3179" t="s">
        <v>44</v>
      </c>
      <c r="K3179" t="s">
        <v>88</v>
      </c>
      <c r="L3179" t="s">
        <v>45</v>
      </c>
      <c r="M3179">
        <v>0</v>
      </c>
      <c r="N3179">
        <v>0</v>
      </c>
      <c r="O3179" s="5" t="s">
        <v>705</v>
      </c>
      <c r="P3179" s="5" t="s">
        <v>706</v>
      </c>
      <c r="Q3179">
        <f>29-14</f>
        <v>15</v>
      </c>
      <c r="R3179" t="s">
        <v>46</v>
      </c>
      <c r="S3179" t="s">
        <v>39</v>
      </c>
      <c r="T3179">
        <v>20</v>
      </c>
      <c r="U3179">
        <v>84</v>
      </c>
      <c r="V3179">
        <v>17</v>
      </c>
      <c r="W3179">
        <v>12.7</v>
      </c>
      <c r="X3179">
        <v>26.2</v>
      </c>
      <c r="Z3179" t="s">
        <v>39</v>
      </c>
      <c r="AB3179" t="s">
        <v>47</v>
      </c>
      <c r="AC3179" t="s">
        <v>87</v>
      </c>
      <c r="AD3179" t="s">
        <v>707</v>
      </c>
    </row>
    <row r="3180" spans="1:30" x14ac:dyDescent="0.35">
      <c r="A3180" s="4">
        <v>42593</v>
      </c>
      <c r="B3180" t="s">
        <v>30</v>
      </c>
      <c r="C3180">
        <v>801</v>
      </c>
      <c r="D3180">
        <v>8</v>
      </c>
      <c r="E3180">
        <v>1</v>
      </c>
      <c r="F3180" t="s">
        <v>315</v>
      </c>
      <c r="G3180" t="s">
        <v>32</v>
      </c>
      <c r="H3180" t="s">
        <v>33</v>
      </c>
      <c r="I3180" t="s">
        <v>43</v>
      </c>
      <c r="J3180" t="s">
        <v>44</v>
      </c>
      <c r="K3180" t="s">
        <v>88</v>
      </c>
      <c r="L3180" t="s">
        <v>45</v>
      </c>
      <c r="M3180">
        <v>0</v>
      </c>
      <c r="N3180">
        <v>0</v>
      </c>
      <c r="O3180" s="5" t="s">
        <v>708</v>
      </c>
      <c r="P3180" s="5" t="s">
        <v>709</v>
      </c>
      <c r="Q3180">
        <f>31-16</f>
        <v>15</v>
      </c>
      <c r="R3180" t="s">
        <v>46</v>
      </c>
      <c r="S3180" t="s">
        <v>39</v>
      </c>
      <c r="T3180">
        <v>21</v>
      </c>
      <c r="U3180">
        <v>92</v>
      </c>
      <c r="V3180">
        <v>16</v>
      </c>
      <c r="W3180">
        <v>12.4</v>
      </c>
      <c r="X3180">
        <v>27</v>
      </c>
      <c r="Z3180" t="s">
        <v>102</v>
      </c>
      <c r="AA3180" t="s">
        <v>201</v>
      </c>
      <c r="AB3180" t="s">
        <v>47</v>
      </c>
      <c r="AC3180" t="s">
        <v>87</v>
      </c>
      <c r="AD3180" t="s">
        <v>710</v>
      </c>
    </row>
    <row r="3181" spans="1:30" x14ac:dyDescent="0.35">
      <c r="A3181" s="4">
        <v>42593</v>
      </c>
      <c r="B3181" t="s">
        <v>30</v>
      </c>
      <c r="C3181">
        <v>503</v>
      </c>
      <c r="D3181">
        <v>7</v>
      </c>
      <c r="E3181">
        <v>2</v>
      </c>
      <c r="F3181" t="s">
        <v>42</v>
      </c>
      <c r="G3181" t="s">
        <v>32</v>
      </c>
      <c r="H3181" t="s">
        <v>33</v>
      </c>
      <c r="I3181" t="s">
        <v>43</v>
      </c>
      <c r="J3181" t="s">
        <v>44</v>
      </c>
      <c r="K3181" t="s">
        <v>36</v>
      </c>
      <c r="L3181" t="s">
        <v>45</v>
      </c>
      <c r="M3181">
        <v>0</v>
      </c>
      <c r="N3181">
        <v>0</v>
      </c>
      <c r="O3181" s="5" t="s">
        <v>711</v>
      </c>
      <c r="P3181" s="5" t="s">
        <v>712</v>
      </c>
      <c r="Q3181">
        <f>30-13</f>
        <v>17</v>
      </c>
      <c r="R3181" t="s">
        <v>46</v>
      </c>
      <c r="S3181" t="s">
        <v>39</v>
      </c>
      <c r="T3181">
        <v>18</v>
      </c>
      <c r="U3181">
        <v>82</v>
      </c>
      <c r="V3181">
        <v>16.5</v>
      </c>
      <c r="W3181">
        <v>13.3</v>
      </c>
      <c r="X3181">
        <v>27.5</v>
      </c>
      <c r="Z3181" t="s">
        <v>39</v>
      </c>
      <c r="AB3181" t="s">
        <v>47</v>
      </c>
      <c r="AC3181" t="s">
        <v>87</v>
      </c>
    </row>
    <row r="3182" spans="1:30" x14ac:dyDescent="0.35">
      <c r="A3182" s="4">
        <v>42593</v>
      </c>
      <c r="B3182" t="s">
        <v>30</v>
      </c>
      <c r="C3182">
        <v>503</v>
      </c>
      <c r="D3182">
        <v>7</v>
      </c>
      <c r="E3182">
        <v>1</v>
      </c>
      <c r="F3182" t="s">
        <v>42</v>
      </c>
      <c r="G3182" t="s">
        <v>32</v>
      </c>
      <c r="H3182" t="s">
        <v>33</v>
      </c>
      <c r="I3182" t="s">
        <v>43</v>
      </c>
      <c r="J3182" t="s">
        <v>44</v>
      </c>
      <c r="K3182" t="s">
        <v>88</v>
      </c>
      <c r="L3182" t="s">
        <v>37</v>
      </c>
      <c r="M3182">
        <v>0</v>
      </c>
      <c r="N3182">
        <v>0</v>
      </c>
      <c r="O3182" s="5" t="s">
        <v>587</v>
      </c>
      <c r="P3182" s="5" t="s">
        <v>585</v>
      </c>
      <c r="Q3182">
        <v>13</v>
      </c>
      <c r="R3182" t="s">
        <v>64</v>
      </c>
      <c r="T3182">
        <v>19</v>
      </c>
      <c r="U3182">
        <v>74</v>
      </c>
      <c r="V3182">
        <v>16</v>
      </c>
      <c r="W3182">
        <v>12.25</v>
      </c>
      <c r="X3182">
        <v>25.2</v>
      </c>
      <c r="Z3182" t="s">
        <v>102</v>
      </c>
      <c r="AB3182" t="s">
        <v>47</v>
      </c>
      <c r="AC3182" t="s">
        <v>87</v>
      </c>
    </row>
    <row r="3183" spans="1:30" x14ac:dyDescent="0.35">
      <c r="A3183" s="4">
        <v>42593</v>
      </c>
      <c r="B3183" t="s">
        <v>30</v>
      </c>
      <c r="C3183">
        <v>701</v>
      </c>
      <c r="D3183">
        <v>2</v>
      </c>
      <c r="E3183">
        <v>2</v>
      </c>
      <c r="F3183" t="s">
        <v>315</v>
      </c>
      <c r="G3183" t="s">
        <v>32</v>
      </c>
      <c r="H3183" t="s">
        <v>33</v>
      </c>
      <c r="I3183" t="s">
        <v>43</v>
      </c>
      <c r="J3183" t="s">
        <v>44</v>
      </c>
      <c r="K3183" t="s">
        <v>88</v>
      </c>
      <c r="L3183" t="s">
        <v>37</v>
      </c>
      <c r="M3183">
        <v>0</v>
      </c>
      <c r="N3183">
        <v>0</v>
      </c>
      <c r="O3183" s="5"/>
      <c r="P3183" s="5"/>
      <c r="Q3183">
        <f>29-16.5</f>
        <v>12.5</v>
      </c>
      <c r="R3183" t="s">
        <v>64</v>
      </c>
      <c r="T3183">
        <v>20</v>
      </c>
      <c r="U3183">
        <v>89</v>
      </c>
      <c r="V3183">
        <v>16</v>
      </c>
      <c r="W3183">
        <v>12.6</v>
      </c>
      <c r="X3183">
        <v>26.7</v>
      </c>
      <c r="Z3183" t="s">
        <v>39</v>
      </c>
      <c r="AB3183" t="s">
        <v>47</v>
      </c>
      <c r="AC3183" t="s">
        <v>87</v>
      </c>
      <c r="AD3183" t="s">
        <v>713</v>
      </c>
    </row>
    <row r="3184" spans="1:30" x14ac:dyDescent="0.35">
      <c r="A3184" s="4">
        <v>42593</v>
      </c>
      <c r="B3184" t="s">
        <v>30</v>
      </c>
      <c r="C3184">
        <v>503</v>
      </c>
      <c r="D3184">
        <v>4</v>
      </c>
      <c r="E3184">
        <v>1</v>
      </c>
      <c r="F3184" t="s">
        <v>42</v>
      </c>
      <c r="G3184" t="s">
        <v>32</v>
      </c>
      <c r="H3184" t="s">
        <v>33</v>
      </c>
      <c r="I3184" t="s">
        <v>34</v>
      </c>
      <c r="J3184" t="s">
        <v>44</v>
      </c>
      <c r="K3184" t="s">
        <v>36</v>
      </c>
      <c r="L3184" t="s">
        <v>45</v>
      </c>
      <c r="M3184">
        <v>0</v>
      </c>
      <c r="N3184">
        <v>0</v>
      </c>
      <c r="O3184" s="5" t="s">
        <v>590</v>
      </c>
      <c r="P3184" s="5"/>
      <c r="Q3184">
        <f>179-90</f>
        <v>89</v>
      </c>
      <c r="R3184" t="s">
        <v>46</v>
      </c>
      <c r="S3184" t="s">
        <v>39</v>
      </c>
      <c r="T3184">
        <v>29</v>
      </c>
      <c r="W3184">
        <v>22.5</v>
      </c>
      <c r="X3184">
        <v>42.5</v>
      </c>
      <c r="Z3184" t="s">
        <v>39</v>
      </c>
      <c r="AB3184" t="s">
        <v>47</v>
      </c>
      <c r="AC3184" t="s">
        <v>714</v>
      </c>
    </row>
    <row r="3185" spans="1:30" x14ac:dyDescent="0.35">
      <c r="A3185" s="4">
        <v>42593</v>
      </c>
      <c r="B3185" t="s">
        <v>30</v>
      </c>
      <c r="C3185">
        <v>503</v>
      </c>
      <c r="D3185">
        <v>9</v>
      </c>
      <c r="E3185">
        <v>2</v>
      </c>
      <c r="F3185" t="s">
        <v>42</v>
      </c>
      <c r="G3185" t="s">
        <v>32</v>
      </c>
      <c r="H3185" t="s">
        <v>33</v>
      </c>
      <c r="I3185" t="s">
        <v>34</v>
      </c>
      <c r="J3185" t="s">
        <v>35</v>
      </c>
      <c r="K3185" t="s">
        <v>88</v>
      </c>
      <c r="L3185" t="s">
        <v>37</v>
      </c>
      <c r="M3185">
        <v>0</v>
      </c>
      <c r="N3185">
        <v>1</v>
      </c>
      <c r="O3185" s="5" t="s">
        <v>715</v>
      </c>
      <c r="P3185" s="5"/>
      <c r="Q3185">
        <f>140-90</f>
        <v>50</v>
      </c>
      <c r="R3185" t="s">
        <v>64</v>
      </c>
      <c r="T3185">
        <v>29</v>
      </c>
      <c r="W3185">
        <v>19.399999999999999</v>
      </c>
      <c r="X3185">
        <v>37.75</v>
      </c>
      <c r="Z3185" t="s">
        <v>39</v>
      </c>
      <c r="AB3185" t="s">
        <v>47</v>
      </c>
      <c r="AC3185" t="s">
        <v>87</v>
      </c>
    </row>
    <row r="3186" spans="1:30" x14ac:dyDescent="0.35">
      <c r="A3186" s="4">
        <v>42593</v>
      </c>
      <c r="B3186" t="s">
        <v>30</v>
      </c>
      <c r="C3186">
        <v>503</v>
      </c>
      <c r="D3186">
        <v>8</v>
      </c>
      <c r="E3186">
        <v>2</v>
      </c>
      <c r="F3186" t="s">
        <v>42</v>
      </c>
      <c r="G3186" t="s">
        <v>32</v>
      </c>
      <c r="H3186" t="s">
        <v>33</v>
      </c>
      <c r="I3186" t="s">
        <v>34</v>
      </c>
      <c r="J3186" t="s">
        <v>35</v>
      </c>
      <c r="K3186" t="s">
        <v>88</v>
      </c>
      <c r="L3186" t="s">
        <v>45</v>
      </c>
      <c r="M3186">
        <v>0</v>
      </c>
      <c r="N3186">
        <v>1</v>
      </c>
      <c r="O3186" s="5" t="s">
        <v>716</v>
      </c>
      <c r="P3186" s="5"/>
      <c r="Q3186">
        <f>135-90</f>
        <v>45</v>
      </c>
      <c r="R3186" t="s">
        <v>46</v>
      </c>
      <c r="S3186" t="s">
        <v>39</v>
      </c>
      <c r="T3186">
        <v>28</v>
      </c>
      <c r="W3186">
        <v>19.100000000000001</v>
      </c>
      <c r="X3186">
        <v>36.9</v>
      </c>
      <c r="Z3186" t="s">
        <v>39</v>
      </c>
      <c r="AB3186" t="s">
        <v>47</v>
      </c>
      <c r="AC3186" t="s">
        <v>87</v>
      </c>
      <c r="AD3186" t="s">
        <v>513</v>
      </c>
    </row>
    <row r="3187" spans="1:30" x14ac:dyDescent="0.35">
      <c r="A3187" s="4">
        <v>42593</v>
      </c>
      <c r="B3187" t="s">
        <v>30</v>
      </c>
      <c r="C3187">
        <v>803</v>
      </c>
      <c r="D3187">
        <v>10</v>
      </c>
      <c r="E3187">
        <v>2</v>
      </c>
      <c r="F3187" t="s">
        <v>315</v>
      </c>
      <c r="G3187" t="s">
        <v>32</v>
      </c>
      <c r="H3187" t="s">
        <v>33</v>
      </c>
      <c r="I3187" t="s">
        <v>34</v>
      </c>
      <c r="J3187" t="s">
        <v>44</v>
      </c>
      <c r="K3187" t="s">
        <v>113</v>
      </c>
      <c r="L3187" t="s">
        <v>37</v>
      </c>
      <c r="M3187">
        <v>0</v>
      </c>
      <c r="N3187">
        <v>0</v>
      </c>
      <c r="O3187" s="5" t="s">
        <v>643</v>
      </c>
      <c r="P3187" s="5"/>
      <c r="Q3187">
        <f>149-49</f>
        <v>100</v>
      </c>
      <c r="R3187" t="s">
        <v>64</v>
      </c>
      <c r="T3187">
        <v>32</v>
      </c>
      <c r="W3187">
        <v>21.1</v>
      </c>
      <c r="X3187">
        <v>40.9</v>
      </c>
      <c r="Z3187" t="s">
        <v>102</v>
      </c>
      <c r="AA3187" t="s">
        <v>201</v>
      </c>
      <c r="AB3187" t="s">
        <v>47</v>
      </c>
      <c r="AC3187" t="s">
        <v>87</v>
      </c>
      <c r="AD3187" t="s">
        <v>717</v>
      </c>
    </row>
    <row r="3188" spans="1:30" x14ac:dyDescent="0.35">
      <c r="A3188" s="4">
        <v>42593</v>
      </c>
      <c r="B3188" t="s">
        <v>30</v>
      </c>
      <c r="C3188">
        <v>801</v>
      </c>
      <c r="D3188">
        <v>8</v>
      </c>
      <c r="E3188">
        <v>2</v>
      </c>
      <c r="F3188" t="s">
        <v>315</v>
      </c>
      <c r="G3188" t="s">
        <v>32</v>
      </c>
      <c r="H3188" t="s">
        <v>33</v>
      </c>
      <c r="I3188" t="s">
        <v>34</v>
      </c>
      <c r="J3188" t="s">
        <v>44</v>
      </c>
      <c r="K3188" t="s">
        <v>36</v>
      </c>
      <c r="L3188" t="s">
        <v>45</v>
      </c>
      <c r="M3188">
        <v>0</v>
      </c>
      <c r="N3188">
        <v>0</v>
      </c>
      <c r="O3188" s="5" t="s">
        <v>718</v>
      </c>
      <c r="P3188" s="5"/>
      <c r="Q3188">
        <f>146-50</f>
        <v>96</v>
      </c>
      <c r="R3188" t="s">
        <v>143</v>
      </c>
      <c r="S3188" t="s">
        <v>102</v>
      </c>
      <c r="T3188">
        <v>33</v>
      </c>
      <c r="W3188">
        <v>21.9</v>
      </c>
      <c r="X3188">
        <v>42.2</v>
      </c>
      <c r="Z3188" t="s">
        <v>102</v>
      </c>
      <c r="AA3188" t="s">
        <v>201</v>
      </c>
      <c r="AB3188" t="s">
        <v>47</v>
      </c>
      <c r="AC3188" t="s">
        <v>87</v>
      </c>
      <c r="AD3188" t="s">
        <v>719</v>
      </c>
    </row>
    <row r="3189" spans="1:30" x14ac:dyDescent="0.35">
      <c r="A3189" s="4">
        <v>42593</v>
      </c>
      <c r="B3189" t="s">
        <v>30</v>
      </c>
      <c r="C3189">
        <v>801</v>
      </c>
      <c r="D3189">
        <v>2</v>
      </c>
      <c r="E3189">
        <v>2</v>
      </c>
      <c r="F3189" t="s">
        <v>315</v>
      </c>
      <c r="G3189" t="s">
        <v>32</v>
      </c>
      <c r="H3189" t="s">
        <v>33</v>
      </c>
      <c r="I3189" t="s">
        <v>34</v>
      </c>
      <c r="J3189" t="s">
        <v>44</v>
      </c>
      <c r="K3189" t="s">
        <v>113</v>
      </c>
      <c r="L3189" t="s">
        <v>37</v>
      </c>
      <c r="M3189">
        <v>0</v>
      </c>
      <c r="N3189">
        <v>0</v>
      </c>
      <c r="O3189" s="5" t="s">
        <v>644</v>
      </c>
      <c r="P3189" s="5"/>
      <c r="Q3189">
        <f>130-48</f>
        <v>82</v>
      </c>
      <c r="R3189" t="s">
        <v>64</v>
      </c>
      <c r="T3189">
        <v>32.5</v>
      </c>
      <c r="W3189">
        <v>22.2</v>
      </c>
      <c r="X3189">
        <v>41.1</v>
      </c>
      <c r="Y3189" t="s">
        <v>720</v>
      </c>
      <c r="Z3189" t="s">
        <v>102</v>
      </c>
      <c r="AA3189" t="s">
        <v>201</v>
      </c>
      <c r="AB3189" t="s">
        <v>47</v>
      </c>
      <c r="AC3189" t="s">
        <v>87</v>
      </c>
      <c r="AD3189" t="s">
        <v>721</v>
      </c>
    </row>
    <row r="3190" spans="1:30" x14ac:dyDescent="0.35">
      <c r="A3190" s="4">
        <v>42593</v>
      </c>
      <c r="B3190" t="s">
        <v>30</v>
      </c>
      <c r="C3190">
        <v>801</v>
      </c>
      <c r="D3190">
        <v>7</v>
      </c>
      <c r="E3190">
        <v>1</v>
      </c>
      <c r="F3190" t="s">
        <v>315</v>
      </c>
      <c r="G3190" t="s">
        <v>32</v>
      </c>
      <c r="H3190" t="s">
        <v>33</v>
      </c>
      <c r="I3190" t="s">
        <v>34</v>
      </c>
      <c r="J3190" t="s">
        <v>44</v>
      </c>
      <c r="K3190" t="s">
        <v>36</v>
      </c>
      <c r="L3190" t="s">
        <v>37</v>
      </c>
      <c r="M3190">
        <v>0</v>
      </c>
      <c r="N3190">
        <v>0</v>
      </c>
      <c r="O3190" s="5" t="s">
        <v>722</v>
      </c>
      <c r="P3190" s="5"/>
      <c r="Q3190">
        <f>148-49</f>
        <v>99</v>
      </c>
      <c r="R3190" t="s">
        <v>64</v>
      </c>
      <c r="T3190">
        <v>29</v>
      </c>
      <c r="W3190">
        <v>22</v>
      </c>
      <c r="X3190">
        <v>41.6</v>
      </c>
      <c r="Z3190" t="s">
        <v>39</v>
      </c>
      <c r="AB3190" t="s">
        <v>47</v>
      </c>
      <c r="AC3190" t="s">
        <v>87</v>
      </c>
      <c r="AD3190" t="s">
        <v>723</v>
      </c>
    </row>
    <row r="3191" spans="1:30" x14ac:dyDescent="0.35">
      <c r="A3191" s="4">
        <v>42593</v>
      </c>
      <c r="B3191" t="s">
        <v>30</v>
      </c>
      <c r="C3191">
        <v>703</v>
      </c>
      <c r="D3191">
        <v>10</v>
      </c>
      <c r="E3191">
        <v>2</v>
      </c>
      <c r="F3191" t="s">
        <v>315</v>
      </c>
      <c r="G3191" t="s">
        <v>32</v>
      </c>
      <c r="H3191" t="s">
        <v>33</v>
      </c>
      <c r="I3191" t="s">
        <v>34</v>
      </c>
      <c r="J3191" t="s">
        <v>44</v>
      </c>
      <c r="K3191" t="s">
        <v>36</v>
      </c>
      <c r="L3191" t="s">
        <v>45</v>
      </c>
      <c r="M3191">
        <v>0</v>
      </c>
      <c r="N3191">
        <v>0</v>
      </c>
      <c r="O3191" s="5"/>
      <c r="P3191" s="5" t="s">
        <v>93</v>
      </c>
      <c r="Q3191">
        <f>147-46</f>
        <v>101</v>
      </c>
      <c r="R3191" t="s">
        <v>143</v>
      </c>
      <c r="S3191" t="s">
        <v>102</v>
      </c>
      <c r="T3191">
        <v>30</v>
      </c>
      <c r="W3191">
        <v>21.6</v>
      </c>
      <c r="X3191">
        <v>40.799999999999997</v>
      </c>
      <c r="Z3191" t="s">
        <v>102</v>
      </c>
      <c r="AA3191" t="s">
        <v>724</v>
      </c>
      <c r="AB3191" t="s">
        <v>47</v>
      </c>
      <c r="AC3191" t="s">
        <v>87</v>
      </c>
      <c r="AD3191" t="s">
        <v>725</v>
      </c>
    </row>
    <row r="3192" spans="1:30" x14ac:dyDescent="0.35">
      <c r="A3192" s="4">
        <v>42593</v>
      </c>
      <c r="B3192" t="s">
        <v>30</v>
      </c>
      <c r="C3192">
        <v>801</v>
      </c>
      <c r="D3192">
        <v>1</v>
      </c>
      <c r="E3192">
        <v>1</v>
      </c>
      <c r="F3192" t="s">
        <v>315</v>
      </c>
      <c r="G3192" t="s">
        <v>32</v>
      </c>
      <c r="H3192" t="s">
        <v>33</v>
      </c>
      <c r="I3192" t="s">
        <v>34</v>
      </c>
      <c r="J3192" t="s">
        <v>44</v>
      </c>
      <c r="K3192" t="s">
        <v>36</v>
      </c>
      <c r="L3192" t="s">
        <v>37</v>
      </c>
      <c r="M3192">
        <v>0</v>
      </c>
      <c r="N3192">
        <v>0</v>
      </c>
      <c r="O3192" s="5"/>
      <c r="P3192" s="5" t="s">
        <v>591</v>
      </c>
      <c r="Q3192">
        <f>144-46</f>
        <v>98</v>
      </c>
      <c r="R3192" t="s">
        <v>64</v>
      </c>
      <c r="T3192">
        <v>30</v>
      </c>
      <c r="Z3192" t="s">
        <v>102</v>
      </c>
      <c r="AA3192" t="s">
        <v>201</v>
      </c>
      <c r="AB3192" t="s">
        <v>47</v>
      </c>
      <c r="AC3192" t="s">
        <v>87</v>
      </c>
      <c r="AD3192" t="s">
        <v>725</v>
      </c>
    </row>
    <row r="3193" spans="1:30" x14ac:dyDescent="0.35">
      <c r="A3193" s="4">
        <v>42593</v>
      </c>
      <c r="B3193" t="s">
        <v>30</v>
      </c>
      <c r="C3193">
        <v>801</v>
      </c>
      <c r="D3193">
        <v>3</v>
      </c>
      <c r="E3193">
        <v>1</v>
      </c>
      <c r="F3193" t="s">
        <v>315</v>
      </c>
      <c r="G3193" t="s">
        <v>32</v>
      </c>
      <c r="H3193" t="s">
        <v>33</v>
      </c>
      <c r="I3193" t="s">
        <v>104</v>
      </c>
      <c r="J3193" t="s">
        <v>35</v>
      </c>
      <c r="K3193" t="s">
        <v>113</v>
      </c>
      <c r="L3193" t="s">
        <v>37</v>
      </c>
      <c r="M3193">
        <v>0</v>
      </c>
      <c r="N3193">
        <v>1</v>
      </c>
      <c r="O3193" s="5" t="s">
        <v>726</v>
      </c>
      <c r="P3193" s="5"/>
      <c r="Q3193">
        <f>27-12</f>
        <v>15</v>
      </c>
      <c r="R3193" t="s">
        <v>38</v>
      </c>
      <c r="T3193">
        <v>28</v>
      </c>
      <c r="W3193">
        <v>12.5</v>
      </c>
      <c r="X3193">
        <v>24.9</v>
      </c>
      <c r="Z3193" t="s">
        <v>102</v>
      </c>
      <c r="AA3193" t="s">
        <v>201</v>
      </c>
      <c r="AB3193" t="s">
        <v>47</v>
      </c>
      <c r="AC3193" t="s">
        <v>87</v>
      </c>
    </row>
    <row r="3194" spans="1:30" x14ac:dyDescent="0.35">
      <c r="A3194" s="4">
        <v>42593</v>
      </c>
      <c r="B3194" t="s">
        <v>30</v>
      </c>
      <c r="C3194">
        <v>401</v>
      </c>
      <c r="D3194">
        <v>10</v>
      </c>
      <c r="E3194">
        <v>2</v>
      </c>
      <c r="F3194" t="s">
        <v>42</v>
      </c>
      <c r="G3194" t="s">
        <v>32</v>
      </c>
      <c r="H3194" t="s">
        <v>33</v>
      </c>
      <c r="I3194" t="s">
        <v>104</v>
      </c>
      <c r="J3194" t="s">
        <v>35</v>
      </c>
      <c r="K3194" t="s">
        <v>88</v>
      </c>
      <c r="L3194" t="s">
        <v>45</v>
      </c>
      <c r="M3194">
        <v>0</v>
      </c>
      <c r="N3194">
        <v>1</v>
      </c>
      <c r="O3194" s="5" t="s">
        <v>727</v>
      </c>
      <c r="P3194" s="5"/>
      <c r="Q3194">
        <f>27-13</f>
        <v>14</v>
      </c>
      <c r="R3194" t="s">
        <v>46</v>
      </c>
      <c r="S3194" t="s">
        <v>39</v>
      </c>
      <c r="T3194">
        <v>28</v>
      </c>
      <c r="W3194">
        <v>11.5</v>
      </c>
      <c r="X3194">
        <v>23.9</v>
      </c>
      <c r="Z3194" t="s">
        <v>102</v>
      </c>
      <c r="AA3194" t="s">
        <v>728</v>
      </c>
      <c r="AB3194" t="s">
        <v>47</v>
      </c>
      <c r="AC3194" t="s">
        <v>87</v>
      </c>
    </row>
    <row r="3195" spans="1:30" x14ac:dyDescent="0.35">
      <c r="A3195" s="4">
        <v>42593</v>
      </c>
      <c r="B3195" t="s">
        <v>30</v>
      </c>
      <c r="C3195">
        <v>703</v>
      </c>
      <c r="D3195">
        <v>1</v>
      </c>
      <c r="E3195">
        <v>2</v>
      </c>
      <c r="F3195" t="s">
        <v>315</v>
      </c>
      <c r="G3195" t="s">
        <v>32</v>
      </c>
      <c r="H3195" t="s">
        <v>33</v>
      </c>
      <c r="I3195" t="s">
        <v>58</v>
      </c>
      <c r="J3195" t="s">
        <v>35</v>
      </c>
      <c r="K3195" t="s">
        <v>36</v>
      </c>
      <c r="L3195" t="s">
        <v>45</v>
      </c>
      <c r="M3195">
        <v>0</v>
      </c>
      <c r="N3195">
        <v>1</v>
      </c>
      <c r="O3195" s="5" t="s">
        <v>729</v>
      </c>
      <c r="P3195" s="5"/>
      <c r="Q3195">
        <f>37-16</f>
        <v>21</v>
      </c>
      <c r="R3195" t="s">
        <v>46</v>
      </c>
      <c r="S3195" t="s">
        <v>39</v>
      </c>
      <c r="T3195">
        <v>18</v>
      </c>
      <c r="W3195">
        <v>12.7</v>
      </c>
      <c r="X3195">
        <v>26.8</v>
      </c>
      <c r="Z3195" t="s">
        <v>102</v>
      </c>
      <c r="AA3195" t="s">
        <v>201</v>
      </c>
      <c r="AB3195" t="s">
        <v>47</v>
      </c>
      <c r="AC3195" t="s">
        <v>87</v>
      </c>
    </row>
    <row r="3196" spans="1:30" x14ac:dyDescent="0.35">
      <c r="A3196" s="4">
        <v>42593</v>
      </c>
      <c r="B3196" t="s">
        <v>30</v>
      </c>
      <c r="C3196">
        <v>703</v>
      </c>
      <c r="D3196">
        <v>8</v>
      </c>
      <c r="E3196">
        <v>2</v>
      </c>
      <c r="F3196" t="s">
        <v>315</v>
      </c>
      <c r="G3196" t="s">
        <v>32</v>
      </c>
      <c r="H3196" t="s">
        <v>33</v>
      </c>
      <c r="I3196" t="s">
        <v>58</v>
      </c>
      <c r="J3196" t="s">
        <v>35</v>
      </c>
      <c r="K3196" t="s">
        <v>36</v>
      </c>
      <c r="L3196" t="s">
        <v>45</v>
      </c>
      <c r="M3196">
        <v>0</v>
      </c>
      <c r="N3196">
        <v>1</v>
      </c>
      <c r="O3196" s="5" t="s">
        <v>730</v>
      </c>
      <c r="P3196" s="5"/>
      <c r="Q3196">
        <f>34-14.5</f>
        <v>19.5</v>
      </c>
      <c r="R3196" t="s">
        <v>143</v>
      </c>
      <c r="S3196" t="s">
        <v>102</v>
      </c>
      <c r="T3196">
        <v>17</v>
      </c>
      <c r="W3196">
        <v>12.7</v>
      </c>
      <c r="X3196">
        <v>27.4</v>
      </c>
      <c r="Z3196" t="s">
        <v>102</v>
      </c>
      <c r="AA3196" t="s">
        <v>731</v>
      </c>
      <c r="AB3196" t="s">
        <v>47</v>
      </c>
      <c r="AC3196" t="s">
        <v>87</v>
      </c>
    </row>
    <row r="3197" spans="1:30" x14ac:dyDescent="0.35">
      <c r="A3197" s="4">
        <v>42593</v>
      </c>
      <c r="B3197" t="s">
        <v>30</v>
      </c>
      <c r="C3197">
        <v>801</v>
      </c>
      <c r="D3197">
        <v>4</v>
      </c>
      <c r="E3197">
        <v>1</v>
      </c>
      <c r="F3197" t="s">
        <v>315</v>
      </c>
      <c r="G3197" t="s">
        <v>32</v>
      </c>
      <c r="H3197" t="s">
        <v>33</v>
      </c>
      <c r="I3197" t="s">
        <v>58</v>
      </c>
      <c r="J3197" t="s">
        <v>35</v>
      </c>
      <c r="K3197" t="s">
        <v>36</v>
      </c>
      <c r="L3197" t="s">
        <v>37</v>
      </c>
      <c r="M3197">
        <v>0</v>
      </c>
      <c r="N3197">
        <v>1</v>
      </c>
      <c r="O3197" s="5" t="s">
        <v>732</v>
      </c>
      <c r="P3197" s="5"/>
      <c r="Q3197">
        <f>39-12</f>
        <v>27</v>
      </c>
      <c r="R3197" t="s">
        <v>38</v>
      </c>
      <c r="T3197">
        <v>18.5</v>
      </c>
      <c r="W3197">
        <v>12.9</v>
      </c>
      <c r="X3197">
        <v>27.6</v>
      </c>
      <c r="Z3197" t="s">
        <v>102</v>
      </c>
      <c r="AA3197" t="s">
        <v>201</v>
      </c>
      <c r="AB3197" t="s">
        <v>47</v>
      </c>
      <c r="AC3197" t="s">
        <v>87</v>
      </c>
      <c r="AD3197" t="s">
        <v>733</v>
      </c>
    </row>
    <row r="3198" spans="1:30" x14ac:dyDescent="0.35">
      <c r="A3198" s="4">
        <v>42593</v>
      </c>
      <c r="B3198" t="s">
        <v>30</v>
      </c>
      <c r="C3198">
        <v>303</v>
      </c>
      <c r="D3198">
        <v>3</v>
      </c>
      <c r="E3198">
        <v>2</v>
      </c>
      <c r="F3198" t="s">
        <v>42</v>
      </c>
      <c r="G3198" t="s">
        <v>32</v>
      </c>
      <c r="H3198" t="s">
        <v>33</v>
      </c>
      <c r="I3198" t="s">
        <v>58</v>
      </c>
      <c r="J3198" t="s">
        <v>44</v>
      </c>
      <c r="K3198" t="s">
        <v>36</v>
      </c>
      <c r="L3198" t="s">
        <v>45</v>
      </c>
      <c r="M3198">
        <v>0</v>
      </c>
      <c r="N3198">
        <v>0</v>
      </c>
      <c r="O3198" s="5" t="s">
        <v>592</v>
      </c>
      <c r="P3198" s="5"/>
      <c r="Q3198">
        <f>43.5-15</f>
        <v>28.5</v>
      </c>
      <c r="R3198" t="s">
        <v>77</v>
      </c>
      <c r="S3198" t="s">
        <v>39</v>
      </c>
      <c r="T3198">
        <v>17</v>
      </c>
      <c r="W3198">
        <v>12.9</v>
      </c>
      <c r="X3198">
        <v>27.5</v>
      </c>
      <c r="Z3198" t="s">
        <v>102</v>
      </c>
      <c r="AB3198" t="s">
        <v>47</v>
      </c>
      <c r="AC3198" t="s">
        <v>87</v>
      </c>
    </row>
    <row r="3199" spans="1:30" x14ac:dyDescent="0.35">
      <c r="A3199" s="4">
        <v>42593</v>
      </c>
      <c r="B3199" t="s">
        <v>30</v>
      </c>
      <c r="C3199">
        <v>703</v>
      </c>
      <c r="D3199">
        <v>5</v>
      </c>
      <c r="E3199">
        <v>1</v>
      </c>
      <c r="F3199" t="s">
        <v>315</v>
      </c>
      <c r="G3199" t="s">
        <v>32</v>
      </c>
      <c r="H3199" t="s">
        <v>33</v>
      </c>
      <c r="I3199" t="s">
        <v>58</v>
      </c>
      <c r="J3199" t="s">
        <v>44</v>
      </c>
      <c r="K3199" t="s">
        <v>113</v>
      </c>
      <c r="L3199" t="s">
        <v>45</v>
      </c>
      <c r="M3199">
        <v>0</v>
      </c>
      <c r="N3199">
        <v>0</v>
      </c>
      <c r="O3199" s="5" t="s">
        <v>593</v>
      </c>
      <c r="P3199" s="5"/>
      <c r="Q3199">
        <f>32-13</f>
        <v>19</v>
      </c>
      <c r="R3199" t="s">
        <v>46</v>
      </c>
      <c r="S3199" t="s">
        <v>39</v>
      </c>
      <c r="T3199">
        <v>17.5</v>
      </c>
      <c r="W3199">
        <v>12.8</v>
      </c>
      <c r="X3199">
        <v>26.6</v>
      </c>
      <c r="Z3199" t="s">
        <v>102</v>
      </c>
      <c r="AA3199" t="s">
        <v>201</v>
      </c>
      <c r="AB3199" t="s">
        <v>47</v>
      </c>
      <c r="AC3199" t="s">
        <v>87</v>
      </c>
    </row>
    <row r="3200" spans="1:30" x14ac:dyDescent="0.35">
      <c r="A3200" s="4">
        <v>42593</v>
      </c>
      <c r="B3200" t="s">
        <v>30</v>
      </c>
      <c r="C3200">
        <v>503</v>
      </c>
      <c r="D3200">
        <v>10</v>
      </c>
      <c r="E3200">
        <v>2</v>
      </c>
      <c r="F3200" t="s">
        <v>42</v>
      </c>
      <c r="G3200" t="s">
        <v>32</v>
      </c>
      <c r="H3200" t="s">
        <v>33</v>
      </c>
      <c r="I3200" t="s">
        <v>58</v>
      </c>
      <c r="J3200" t="s">
        <v>48</v>
      </c>
      <c r="K3200" t="s">
        <v>36</v>
      </c>
      <c r="L3200" t="s">
        <v>45</v>
      </c>
      <c r="M3200">
        <v>1</v>
      </c>
      <c r="N3200">
        <v>0</v>
      </c>
      <c r="O3200" s="5" t="s">
        <v>734</v>
      </c>
      <c r="P3200" s="5"/>
      <c r="Q3200">
        <f>37.5-12.5</f>
        <v>25</v>
      </c>
      <c r="R3200" t="s">
        <v>74</v>
      </c>
      <c r="S3200" t="s">
        <v>102</v>
      </c>
      <c r="T3200">
        <v>18</v>
      </c>
      <c r="W3200">
        <v>13.1</v>
      </c>
      <c r="X3200">
        <v>24.2</v>
      </c>
      <c r="Z3200" t="s">
        <v>102</v>
      </c>
      <c r="AB3200" t="s">
        <v>47</v>
      </c>
      <c r="AC3200" t="s">
        <v>87</v>
      </c>
    </row>
    <row r="3201" spans="1:29" x14ac:dyDescent="0.35">
      <c r="A3201" s="4">
        <v>42593</v>
      </c>
      <c r="B3201" t="s">
        <v>30</v>
      </c>
      <c r="C3201">
        <v>303</v>
      </c>
      <c r="D3201">
        <v>1</v>
      </c>
      <c r="E3201">
        <v>2</v>
      </c>
      <c r="F3201" t="s">
        <v>42</v>
      </c>
      <c r="G3201" t="s">
        <v>32</v>
      </c>
      <c r="H3201" t="s">
        <v>33</v>
      </c>
      <c r="I3201" t="s">
        <v>58</v>
      </c>
      <c r="J3201" t="s">
        <v>35</v>
      </c>
      <c r="K3201" t="s">
        <v>36</v>
      </c>
      <c r="L3201" t="s">
        <v>37</v>
      </c>
      <c r="M3201">
        <v>0</v>
      </c>
      <c r="N3201">
        <v>1</v>
      </c>
      <c r="O3201" s="5" t="s">
        <v>735</v>
      </c>
      <c r="P3201" s="5"/>
      <c r="Q3201">
        <f>36-13.5</f>
        <v>22.5</v>
      </c>
      <c r="R3201" t="s">
        <v>64</v>
      </c>
      <c r="T3201">
        <v>16</v>
      </c>
      <c r="W3201">
        <v>12.85</v>
      </c>
      <c r="X3201">
        <v>26.5</v>
      </c>
      <c r="Z3201" t="s">
        <v>102</v>
      </c>
      <c r="AB3201" t="s">
        <v>47</v>
      </c>
      <c r="AC3201" t="s">
        <v>87</v>
      </c>
    </row>
    <row r="3202" spans="1:29" x14ac:dyDescent="0.35">
      <c r="A3202" s="4">
        <v>42593</v>
      </c>
      <c r="B3202" t="s">
        <v>30</v>
      </c>
      <c r="C3202">
        <v>303</v>
      </c>
      <c r="D3202">
        <v>2</v>
      </c>
      <c r="E3202">
        <v>1</v>
      </c>
      <c r="F3202" t="s">
        <v>42</v>
      </c>
      <c r="G3202" t="s">
        <v>32</v>
      </c>
      <c r="H3202" t="s">
        <v>33</v>
      </c>
      <c r="I3202" t="s">
        <v>58</v>
      </c>
      <c r="J3202" t="s">
        <v>44</v>
      </c>
      <c r="K3202" t="s">
        <v>36</v>
      </c>
      <c r="L3202" t="s">
        <v>45</v>
      </c>
      <c r="M3202">
        <v>0</v>
      </c>
      <c r="N3202">
        <v>0</v>
      </c>
      <c r="O3202" s="5" t="s">
        <v>596</v>
      </c>
      <c r="P3202" s="5"/>
      <c r="Q3202">
        <f>38-14.5</f>
        <v>23.5</v>
      </c>
      <c r="R3202" t="s">
        <v>64</v>
      </c>
      <c r="T3202">
        <v>18</v>
      </c>
      <c r="W3202">
        <v>12.7</v>
      </c>
      <c r="X3202">
        <v>25.7</v>
      </c>
      <c r="Z3202" t="s">
        <v>102</v>
      </c>
      <c r="AB3202" t="s">
        <v>47</v>
      </c>
      <c r="AC3202" t="s">
        <v>87</v>
      </c>
    </row>
    <row r="3203" spans="1:29" x14ac:dyDescent="0.35">
      <c r="A3203" s="4">
        <v>42593</v>
      </c>
      <c r="B3203" t="s">
        <v>30</v>
      </c>
      <c r="C3203">
        <v>303</v>
      </c>
      <c r="D3203">
        <v>2</v>
      </c>
      <c r="E3203">
        <v>2</v>
      </c>
      <c r="F3203" t="s">
        <v>42</v>
      </c>
      <c r="G3203" t="s">
        <v>32</v>
      </c>
      <c r="H3203" t="s">
        <v>33</v>
      </c>
      <c r="I3203" t="s">
        <v>58</v>
      </c>
      <c r="J3203" t="s">
        <v>44</v>
      </c>
      <c r="K3203" t="s">
        <v>88</v>
      </c>
      <c r="L3203" t="s">
        <v>37</v>
      </c>
      <c r="M3203">
        <v>0</v>
      </c>
      <c r="N3203">
        <v>0</v>
      </c>
      <c r="O3203" s="5" t="s">
        <v>597</v>
      </c>
      <c r="P3203" s="5"/>
      <c r="Q3203">
        <f>34-17.5</f>
        <v>16.5</v>
      </c>
      <c r="R3203" t="s">
        <v>46</v>
      </c>
      <c r="S3203" t="s">
        <v>39</v>
      </c>
      <c r="T3203">
        <v>18</v>
      </c>
      <c r="W3203">
        <v>12.3</v>
      </c>
      <c r="X3203">
        <v>27.2</v>
      </c>
      <c r="Z3203" t="s">
        <v>102</v>
      </c>
      <c r="AB3203" t="s">
        <v>47</v>
      </c>
      <c r="AC3203" t="s">
        <v>87</v>
      </c>
    </row>
    <row r="3204" spans="1:29" x14ac:dyDescent="0.35">
      <c r="A3204" s="4">
        <v>42593</v>
      </c>
      <c r="B3204" t="s">
        <v>30</v>
      </c>
      <c r="C3204">
        <v>303</v>
      </c>
      <c r="D3204">
        <v>4</v>
      </c>
      <c r="E3204">
        <v>1</v>
      </c>
      <c r="F3204" t="s">
        <v>42</v>
      </c>
      <c r="G3204" t="s">
        <v>32</v>
      </c>
      <c r="H3204" t="s">
        <v>33</v>
      </c>
      <c r="I3204" t="s">
        <v>58</v>
      </c>
      <c r="J3204" t="s">
        <v>44</v>
      </c>
      <c r="K3204" t="s">
        <v>36</v>
      </c>
      <c r="L3204" t="s">
        <v>45</v>
      </c>
      <c r="M3204">
        <v>0</v>
      </c>
      <c r="N3204">
        <v>0</v>
      </c>
      <c r="O3204" s="5" t="s">
        <v>598</v>
      </c>
      <c r="P3204" s="5"/>
      <c r="Q3204">
        <f>39-13.5</f>
        <v>25.5</v>
      </c>
      <c r="R3204" t="s">
        <v>79</v>
      </c>
      <c r="S3204" t="s">
        <v>39</v>
      </c>
      <c r="T3204">
        <v>17</v>
      </c>
      <c r="W3204">
        <v>13.4</v>
      </c>
      <c r="X3204">
        <v>27</v>
      </c>
      <c r="Z3204" t="s">
        <v>102</v>
      </c>
      <c r="AB3204" t="s">
        <v>47</v>
      </c>
      <c r="AC3204" t="s">
        <v>87</v>
      </c>
    </row>
    <row r="3205" spans="1:29" x14ac:dyDescent="0.35">
      <c r="A3205" s="4">
        <v>42593</v>
      </c>
      <c r="B3205" t="s">
        <v>30</v>
      </c>
      <c r="C3205">
        <v>801</v>
      </c>
      <c r="D3205">
        <v>9</v>
      </c>
      <c r="E3205">
        <v>1</v>
      </c>
      <c r="F3205" t="s">
        <v>315</v>
      </c>
      <c r="G3205" t="s">
        <v>32</v>
      </c>
      <c r="H3205" t="s">
        <v>33</v>
      </c>
      <c r="I3205" t="s">
        <v>58</v>
      </c>
      <c r="J3205" t="s">
        <v>122</v>
      </c>
      <c r="O3205" s="5"/>
      <c r="P3205" s="5"/>
    </row>
    <row r="3206" spans="1:29" x14ac:dyDescent="0.35">
      <c r="A3206" s="4">
        <v>42593</v>
      </c>
      <c r="B3206" t="s">
        <v>30</v>
      </c>
      <c r="C3206">
        <v>901</v>
      </c>
      <c r="D3206">
        <v>7</v>
      </c>
      <c r="E3206">
        <v>1</v>
      </c>
      <c r="F3206" t="s">
        <v>315</v>
      </c>
      <c r="G3206" t="s">
        <v>32</v>
      </c>
      <c r="H3206" t="s">
        <v>33</v>
      </c>
      <c r="I3206" t="s">
        <v>58</v>
      </c>
      <c r="J3206" t="s">
        <v>66</v>
      </c>
      <c r="O3206" s="5"/>
      <c r="P3206" s="5"/>
    </row>
    <row r="3207" spans="1:29" x14ac:dyDescent="0.35">
      <c r="A3207" s="4">
        <v>42593</v>
      </c>
      <c r="B3207" t="s">
        <v>30</v>
      </c>
      <c r="C3207">
        <v>401</v>
      </c>
      <c r="D3207">
        <v>6</v>
      </c>
      <c r="E3207">
        <v>1</v>
      </c>
      <c r="F3207" t="s">
        <v>42</v>
      </c>
      <c r="G3207" t="s">
        <v>32</v>
      </c>
      <c r="H3207" t="s">
        <v>33</v>
      </c>
      <c r="I3207" t="s">
        <v>65</v>
      </c>
      <c r="J3207" t="s">
        <v>44</v>
      </c>
      <c r="K3207" t="s">
        <v>36</v>
      </c>
      <c r="L3207" t="s">
        <v>37</v>
      </c>
      <c r="M3207">
        <v>0</v>
      </c>
      <c r="N3207">
        <v>0</v>
      </c>
      <c r="O3207" s="5" t="s">
        <v>736</v>
      </c>
      <c r="P3207" s="5" t="s">
        <v>737</v>
      </c>
      <c r="Q3207">
        <f>280-90</f>
        <v>190</v>
      </c>
      <c r="R3207" t="s">
        <v>38</v>
      </c>
      <c r="T3207">
        <v>44</v>
      </c>
      <c r="W3207">
        <v>27</v>
      </c>
      <c r="X3207">
        <v>50.1</v>
      </c>
      <c r="Z3207" t="s">
        <v>102</v>
      </c>
      <c r="AB3207" t="s">
        <v>47</v>
      </c>
      <c r="AC3207" t="s">
        <v>87</v>
      </c>
    </row>
    <row r="3208" spans="1:29" x14ac:dyDescent="0.35">
      <c r="A3208" s="4">
        <v>42593</v>
      </c>
      <c r="B3208" t="s">
        <v>30</v>
      </c>
      <c r="C3208">
        <v>501</v>
      </c>
      <c r="D3208">
        <v>3</v>
      </c>
      <c r="E3208">
        <v>1</v>
      </c>
      <c r="F3208" t="s">
        <v>42</v>
      </c>
      <c r="G3208" t="s">
        <v>32</v>
      </c>
      <c r="H3208" t="s">
        <v>33</v>
      </c>
      <c r="I3208" t="s">
        <v>65</v>
      </c>
      <c r="J3208" t="s">
        <v>35</v>
      </c>
      <c r="K3208" t="s">
        <v>88</v>
      </c>
      <c r="L3208" t="s">
        <v>45</v>
      </c>
      <c r="M3208">
        <v>0</v>
      </c>
      <c r="N3208">
        <v>1</v>
      </c>
      <c r="O3208" s="5" t="s">
        <v>652</v>
      </c>
      <c r="P3208" s="5"/>
      <c r="Q3208">
        <f>198-90</f>
        <v>108</v>
      </c>
      <c r="R3208" t="s">
        <v>46</v>
      </c>
      <c r="S3208" t="s">
        <v>39</v>
      </c>
      <c r="T3208">
        <v>45</v>
      </c>
      <c r="W3208">
        <v>24.2</v>
      </c>
      <c r="X3208">
        <v>42.2</v>
      </c>
      <c r="Z3208" t="s">
        <v>39</v>
      </c>
      <c r="AB3208" t="s">
        <v>47</v>
      </c>
      <c r="AC3208" t="s">
        <v>87</v>
      </c>
    </row>
    <row r="3209" spans="1:29" x14ac:dyDescent="0.35">
      <c r="A3209" s="4">
        <v>42593</v>
      </c>
      <c r="B3209" t="s">
        <v>30</v>
      </c>
      <c r="C3209">
        <v>501</v>
      </c>
      <c r="D3209">
        <v>1</v>
      </c>
      <c r="E3209">
        <v>2</v>
      </c>
      <c r="F3209" t="s">
        <v>42</v>
      </c>
      <c r="G3209" t="s">
        <v>32</v>
      </c>
      <c r="H3209" t="s">
        <v>33</v>
      </c>
      <c r="I3209" t="s">
        <v>55</v>
      </c>
      <c r="J3209" t="s">
        <v>66</v>
      </c>
      <c r="O3209" s="5"/>
      <c r="P3209" s="5"/>
    </row>
    <row r="3210" spans="1:29" x14ac:dyDescent="0.35">
      <c r="A3210" s="4">
        <v>42593</v>
      </c>
      <c r="B3210" t="s">
        <v>30</v>
      </c>
      <c r="C3210">
        <v>501</v>
      </c>
      <c r="D3210">
        <v>8</v>
      </c>
      <c r="E3210">
        <v>1</v>
      </c>
      <c r="F3210" t="s">
        <v>42</v>
      </c>
      <c r="G3210" t="s">
        <v>32</v>
      </c>
      <c r="H3210" t="s">
        <v>33</v>
      </c>
      <c r="I3210" t="s">
        <v>55</v>
      </c>
      <c r="J3210" t="s">
        <v>123</v>
      </c>
      <c r="O3210" s="5"/>
      <c r="P3210" s="5"/>
    </row>
    <row r="3211" spans="1:29" x14ac:dyDescent="0.35">
      <c r="A3211" s="4">
        <v>42593</v>
      </c>
      <c r="B3211" t="s">
        <v>30</v>
      </c>
      <c r="C3211">
        <v>503</v>
      </c>
      <c r="D3211">
        <v>3</v>
      </c>
      <c r="E3211">
        <v>2</v>
      </c>
      <c r="F3211" t="s">
        <v>42</v>
      </c>
      <c r="G3211" t="s">
        <v>32</v>
      </c>
      <c r="H3211" t="s">
        <v>33</v>
      </c>
      <c r="I3211" t="s">
        <v>55</v>
      </c>
      <c r="J3211" t="s">
        <v>123</v>
      </c>
      <c r="O3211" s="5"/>
      <c r="P3211" s="5"/>
    </row>
    <row r="3212" spans="1:29" x14ac:dyDescent="0.35">
      <c r="A3212" s="4">
        <v>42593</v>
      </c>
      <c r="B3212" t="s">
        <v>30</v>
      </c>
      <c r="C3212">
        <v>303</v>
      </c>
      <c r="D3212">
        <v>1</v>
      </c>
      <c r="E3212">
        <v>1</v>
      </c>
      <c r="F3212" t="s">
        <v>42</v>
      </c>
      <c r="G3212" t="s">
        <v>32</v>
      </c>
      <c r="H3212" t="s">
        <v>33</v>
      </c>
      <c r="I3212" t="s">
        <v>55</v>
      </c>
      <c r="J3212" t="s">
        <v>66</v>
      </c>
      <c r="O3212" s="5"/>
      <c r="P3212" s="5"/>
      <c r="AB3212" t="s">
        <v>47</v>
      </c>
      <c r="AC3212" t="s">
        <v>87</v>
      </c>
    </row>
    <row r="3213" spans="1:29" x14ac:dyDescent="0.35">
      <c r="A3213" s="4">
        <v>42593</v>
      </c>
      <c r="B3213" t="s">
        <v>30</v>
      </c>
      <c r="C3213">
        <v>303</v>
      </c>
      <c r="D3213">
        <v>6</v>
      </c>
      <c r="E3213">
        <v>1</v>
      </c>
      <c r="F3213" t="s">
        <v>42</v>
      </c>
      <c r="G3213" t="s">
        <v>32</v>
      </c>
      <c r="H3213" t="s">
        <v>33</v>
      </c>
      <c r="I3213" t="s">
        <v>55</v>
      </c>
      <c r="J3213" t="s">
        <v>66</v>
      </c>
      <c r="O3213" s="5"/>
      <c r="P3213" s="5"/>
      <c r="AB3213" t="s">
        <v>47</v>
      </c>
      <c r="AC3213" t="s">
        <v>87</v>
      </c>
    </row>
    <row r="3214" spans="1:29" x14ac:dyDescent="0.35">
      <c r="A3214" s="4">
        <v>42593</v>
      </c>
      <c r="B3214" t="s">
        <v>30</v>
      </c>
      <c r="C3214">
        <v>303</v>
      </c>
      <c r="D3214">
        <v>10</v>
      </c>
      <c r="E3214">
        <v>1</v>
      </c>
      <c r="F3214" t="s">
        <v>42</v>
      </c>
      <c r="G3214" t="s">
        <v>32</v>
      </c>
      <c r="H3214" t="s">
        <v>33</v>
      </c>
      <c r="I3214" t="s">
        <v>55</v>
      </c>
      <c r="J3214" t="s">
        <v>66</v>
      </c>
      <c r="O3214" s="5"/>
      <c r="P3214" s="5"/>
    </row>
    <row r="3215" spans="1:29" x14ac:dyDescent="0.35">
      <c r="A3215" s="4">
        <v>42593</v>
      </c>
      <c r="B3215" t="s">
        <v>30</v>
      </c>
      <c r="C3215">
        <v>401</v>
      </c>
      <c r="D3215">
        <v>3</v>
      </c>
      <c r="E3215">
        <v>1</v>
      </c>
      <c r="F3215" t="s">
        <v>42</v>
      </c>
      <c r="G3215" t="s">
        <v>32</v>
      </c>
      <c r="H3215" t="s">
        <v>33</v>
      </c>
      <c r="I3215" t="s">
        <v>55</v>
      </c>
      <c r="J3215" t="s">
        <v>66</v>
      </c>
      <c r="O3215" s="5"/>
      <c r="P3215" s="5"/>
    </row>
    <row r="3216" spans="1:29" x14ac:dyDescent="0.35">
      <c r="A3216" s="4">
        <v>42593</v>
      </c>
      <c r="B3216" t="s">
        <v>30</v>
      </c>
      <c r="C3216">
        <v>703</v>
      </c>
      <c r="D3216">
        <v>3</v>
      </c>
      <c r="E3216">
        <v>1</v>
      </c>
      <c r="F3216" t="s">
        <v>315</v>
      </c>
      <c r="G3216" t="s">
        <v>32</v>
      </c>
      <c r="H3216" t="s">
        <v>33</v>
      </c>
      <c r="I3216" t="s">
        <v>55</v>
      </c>
      <c r="J3216" t="s">
        <v>66</v>
      </c>
      <c r="O3216" s="5"/>
      <c r="P3216" s="5"/>
    </row>
    <row r="3217" spans="1:16" x14ac:dyDescent="0.35">
      <c r="A3217" s="4">
        <v>42593</v>
      </c>
      <c r="B3217" t="s">
        <v>30</v>
      </c>
      <c r="C3217">
        <v>801</v>
      </c>
      <c r="D3217">
        <v>6</v>
      </c>
      <c r="E3217">
        <v>1</v>
      </c>
      <c r="F3217" t="s">
        <v>315</v>
      </c>
      <c r="G3217" t="s">
        <v>32</v>
      </c>
      <c r="H3217" t="s">
        <v>33</v>
      </c>
      <c r="I3217" t="s">
        <v>55</v>
      </c>
      <c r="J3217" t="s">
        <v>66</v>
      </c>
      <c r="O3217" s="5"/>
      <c r="P3217" s="5"/>
    </row>
    <row r="3218" spans="1:16" x14ac:dyDescent="0.35">
      <c r="A3218" s="4">
        <v>42593</v>
      </c>
      <c r="B3218" t="s">
        <v>30</v>
      </c>
      <c r="C3218">
        <v>803</v>
      </c>
      <c r="D3218">
        <v>4</v>
      </c>
      <c r="E3218">
        <v>2</v>
      </c>
      <c r="F3218" t="s">
        <v>315</v>
      </c>
      <c r="G3218" t="s">
        <v>32</v>
      </c>
      <c r="H3218" t="s">
        <v>33</v>
      </c>
      <c r="I3218" t="s">
        <v>55</v>
      </c>
      <c r="J3218" t="s">
        <v>66</v>
      </c>
      <c r="O3218" s="5"/>
      <c r="P3218" s="5"/>
    </row>
    <row r="3219" spans="1:16" x14ac:dyDescent="0.35">
      <c r="A3219" s="4">
        <v>42593</v>
      </c>
      <c r="B3219" t="s">
        <v>30</v>
      </c>
      <c r="C3219">
        <v>503</v>
      </c>
      <c r="D3219">
        <v>2</v>
      </c>
      <c r="E3219">
        <v>1</v>
      </c>
      <c r="F3219" t="s">
        <v>42</v>
      </c>
      <c r="G3219" t="s">
        <v>32</v>
      </c>
      <c r="H3219" t="s">
        <v>33</v>
      </c>
      <c r="I3219" t="s">
        <v>72</v>
      </c>
      <c r="J3219" t="s">
        <v>123</v>
      </c>
      <c r="O3219" s="5"/>
      <c r="P3219" s="5"/>
    </row>
    <row r="3220" spans="1:16" x14ac:dyDescent="0.35">
      <c r="A3220" s="4">
        <v>42593</v>
      </c>
      <c r="B3220" t="s">
        <v>30</v>
      </c>
      <c r="C3220">
        <v>503</v>
      </c>
      <c r="D3220">
        <v>6</v>
      </c>
      <c r="E3220">
        <v>2</v>
      </c>
      <c r="F3220" t="s">
        <v>42</v>
      </c>
      <c r="G3220" t="s">
        <v>32</v>
      </c>
      <c r="H3220" t="s">
        <v>33</v>
      </c>
      <c r="I3220" t="s">
        <v>72</v>
      </c>
      <c r="J3220" t="s">
        <v>123</v>
      </c>
      <c r="O3220" s="5"/>
      <c r="P3220" s="5"/>
    </row>
    <row r="3221" spans="1:16" x14ac:dyDescent="0.35">
      <c r="A3221" s="4">
        <v>42593</v>
      </c>
      <c r="B3221" t="s">
        <v>30</v>
      </c>
      <c r="C3221">
        <v>801</v>
      </c>
      <c r="D3221">
        <v>9</v>
      </c>
      <c r="E3221">
        <v>2</v>
      </c>
      <c r="F3221" t="s">
        <v>315</v>
      </c>
      <c r="G3221" t="s">
        <v>32</v>
      </c>
      <c r="H3221" t="s">
        <v>33</v>
      </c>
      <c r="I3221" t="s">
        <v>72</v>
      </c>
      <c r="J3221" t="s">
        <v>66</v>
      </c>
      <c r="O3221" s="5"/>
      <c r="P3221" s="5"/>
    </row>
    <row r="3222" spans="1:16" x14ac:dyDescent="0.35">
      <c r="A3222" s="4">
        <v>42593</v>
      </c>
      <c r="B3222" t="s">
        <v>30</v>
      </c>
      <c r="C3222">
        <v>801</v>
      </c>
      <c r="D3222">
        <v>10</v>
      </c>
      <c r="E3222">
        <v>1</v>
      </c>
      <c r="F3222" t="s">
        <v>315</v>
      </c>
      <c r="G3222" t="s">
        <v>32</v>
      </c>
      <c r="H3222" t="s">
        <v>33</v>
      </c>
      <c r="I3222" t="s">
        <v>72</v>
      </c>
      <c r="J3222" t="s">
        <v>66</v>
      </c>
      <c r="O3222" s="5"/>
      <c r="P3222" s="5"/>
    </row>
    <row r="3223" spans="1:16" x14ac:dyDescent="0.35">
      <c r="A3223" s="4">
        <v>42593</v>
      </c>
      <c r="B3223" t="s">
        <v>30</v>
      </c>
      <c r="C3223">
        <v>501</v>
      </c>
      <c r="D3223">
        <v>1</v>
      </c>
      <c r="E3223">
        <v>1</v>
      </c>
      <c r="F3223" t="s">
        <v>42</v>
      </c>
      <c r="G3223" t="s">
        <v>32</v>
      </c>
      <c r="H3223" t="s">
        <v>33</v>
      </c>
      <c r="I3223" t="s">
        <v>59</v>
      </c>
      <c r="O3223" s="5"/>
      <c r="P3223" s="5"/>
    </row>
    <row r="3224" spans="1:16" x14ac:dyDescent="0.35">
      <c r="A3224" s="4">
        <v>42593</v>
      </c>
      <c r="B3224" t="s">
        <v>30</v>
      </c>
      <c r="C3224">
        <v>501</v>
      </c>
      <c r="D3224">
        <v>2</v>
      </c>
      <c r="E3224">
        <v>1</v>
      </c>
      <c r="F3224" t="s">
        <v>42</v>
      </c>
      <c r="G3224" t="s">
        <v>32</v>
      </c>
      <c r="H3224" t="s">
        <v>33</v>
      </c>
      <c r="I3224" t="s">
        <v>59</v>
      </c>
      <c r="O3224" s="5"/>
      <c r="P3224" s="5"/>
    </row>
    <row r="3225" spans="1:16" x14ac:dyDescent="0.35">
      <c r="A3225" s="4">
        <v>42593</v>
      </c>
      <c r="B3225" t="s">
        <v>30</v>
      </c>
      <c r="C3225">
        <v>501</v>
      </c>
      <c r="D3225">
        <v>2</v>
      </c>
      <c r="E3225">
        <v>2</v>
      </c>
      <c r="F3225" t="s">
        <v>42</v>
      </c>
      <c r="G3225" t="s">
        <v>32</v>
      </c>
      <c r="H3225" t="s">
        <v>33</v>
      </c>
      <c r="I3225" t="s">
        <v>59</v>
      </c>
      <c r="O3225" s="5"/>
      <c r="P3225" s="5"/>
    </row>
    <row r="3226" spans="1:16" x14ac:dyDescent="0.35">
      <c r="A3226" s="4">
        <v>42593</v>
      </c>
      <c r="B3226" t="s">
        <v>30</v>
      </c>
      <c r="C3226">
        <v>501</v>
      </c>
      <c r="D3226">
        <v>4</v>
      </c>
      <c r="E3226">
        <v>1</v>
      </c>
      <c r="F3226" t="s">
        <v>42</v>
      </c>
      <c r="G3226" t="s">
        <v>32</v>
      </c>
      <c r="H3226" t="s">
        <v>33</v>
      </c>
      <c r="I3226" t="s">
        <v>59</v>
      </c>
      <c r="O3226" s="5"/>
      <c r="P3226" s="5"/>
    </row>
    <row r="3227" spans="1:16" x14ac:dyDescent="0.35">
      <c r="A3227" s="4">
        <v>42593</v>
      </c>
      <c r="B3227" t="s">
        <v>30</v>
      </c>
      <c r="C3227">
        <v>501</v>
      </c>
      <c r="D3227">
        <v>6</v>
      </c>
      <c r="E3227">
        <v>1</v>
      </c>
      <c r="F3227" t="s">
        <v>42</v>
      </c>
      <c r="G3227" t="s">
        <v>32</v>
      </c>
      <c r="H3227" t="s">
        <v>33</v>
      </c>
      <c r="I3227" t="s">
        <v>59</v>
      </c>
      <c r="O3227" s="5"/>
      <c r="P3227" s="5"/>
    </row>
    <row r="3228" spans="1:16" x14ac:dyDescent="0.35">
      <c r="A3228" s="4">
        <v>42593</v>
      </c>
      <c r="B3228" t="s">
        <v>30</v>
      </c>
      <c r="C3228">
        <v>501</v>
      </c>
      <c r="D3228">
        <v>10</v>
      </c>
      <c r="E3228">
        <v>1</v>
      </c>
      <c r="F3228" t="s">
        <v>42</v>
      </c>
      <c r="G3228" t="s">
        <v>32</v>
      </c>
      <c r="H3228" t="s">
        <v>33</v>
      </c>
      <c r="I3228" t="s">
        <v>59</v>
      </c>
      <c r="O3228" s="5"/>
      <c r="P3228" s="5"/>
    </row>
    <row r="3229" spans="1:16" x14ac:dyDescent="0.35">
      <c r="A3229" s="4">
        <v>42593</v>
      </c>
      <c r="B3229" t="s">
        <v>30</v>
      </c>
      <c r="C3229">
        <v>503</v>
      </c>
      <c r="D3229">
        <v>3</v>
      </c>
      <c r="E3229">
        <v>1</v>
      </c>
      <c r="F3229" t="s">
        <v>42</v>
      </c>
      <c r="G3229" t="s">
        <v>32</v>
      </c>
      <c r="H3229" t="s">
        <v>33</v>
      </c>
      <c r="I3229" t="s">
        <v>59</v>
      </c>
      <c r="O3229" s="5"/>
      <c r="P3229" s="5"/>
    </row>
    <row r="3230" spans="1:16" x14ac:dyDescent="0.35">
      <c r="A3230" s="4">
        <v>42593</v>
      </c>
      <c r="B3230" t="s">
        <v>30</v>
      </c>
      <c r="C3230">
        <v>503</v>
      </c>
      <c r="D3230">
        <v>5</v>
      </c>
      <c r="E3230">
        <v>1</v>
      </c>
      <c r="F3230" t="s">
        <v>42</v>
      </c>
      <c r="G3230" t="s">
        <v>32</v>
      </c>
      <c r="H3230" t="s">
        <v>33</v>
      </c>
      <c r="I3230" t="s">
        <v>59</v>
      </c>
      <c r="O3230" s="5"/>
      <c r="P3230" s="5"/>
    </row>
    <row r="3231" spans="1:16" x14ac:dyDescent="0.35">
      <c r="A3231" s="4">
        <v>42593</v>
      </c>
      <c r="B3231" t="s">
        <v>30</v>
      </c>
      <c r="C3231">
        <v>503</v>
      </c>
      <c r="D3231">
        <v>5</v>
      </c>
      <c r="E3231">
        <v>2</v>
      </c>
      <c r="F3231" t="s">
        <v>42</v>
      </c>
      <c r="G3231" t="s">
        <v>32</v>
      </c>
      <c r="H3231" t="s">
        <v>33</v>
      </c>
      <c r="I3231" t="s">
        <v>59</v>
      </c>
      <c r="O3231" s="5"/>
      <c r="P3231" s="5"/>
    </row>
    <row r="3232" spans="1:16" x14ac:dyDescent="0.35">
      <c r="A3232" s="4">
        <v>42593</v>
      </c>
      <c r="B3232" t="s">
        <v>30</v>
      </c>
      <c r="C3232">
        <v>503</v>
      </c>
      <c r="D3232">
        <v>6</v>
      </c>
      <c r="E3232">
        <v>1</v>
      </c>
      <c r="F3232" t="s">
        <v>42</v>
      </c>
      <c r="G3232" t="s">
        <v>32</v>
      </c>
      <c r="H3232" t="s">
        <v>33</v>
      </c>
      <c r="I3232" t="s">
        <v>59</v>
      </c>
      <c r="O3232" s="5"/>
      <c r="P3232" s="5"/>
    </row>
    <row r="3233" spans="1:16" x14ac:dyDescent="0.35">
      <c r="A3233" s="4">
        <v>42593</v>
      </c>
      <c r="B3233" t="s">
        <v>30</v>
      </c>
      <c r="C3233">
        <v>503</v>
      </c>
      <c r="D3233">
        <v>10</v>
      </c>
      <c r="E3233">
        <v>1</v>
      </c>
      <c r="F3233" t="s">
        <v>42</v>
      </c>
      <c r="G3233" t="s">
        <v>32</v>
      </c>
      <c r="H3233" t="s">
        <v>33</v>
      </c>
      <c r="I3233" t="s">
        <v>59</v>
      </c>
      <c r="O3233" s="5"/>
      <c r="P3233" s="5"/>
    </row>
    <row r="3234" spans="1:16" x14ac:dyDescent="0.35">
      <c r="A3234" s="4">
        <v>42593</v>
      </c>
      <c r="B3234" t="s">
        <v>30</v>
      </c>
      <c r="C3234">
        <v>303</v>
      </c>
      <c r="D3234">
        <v>3</v>
      </c>
      <c r="E3234">
        <v>1</v>
      </c>
      <c r="F3234" t="s">
        <v>42</v>
      </c>
      <c r="G3234" t="s">
        <v>32</v>
      </c>
      <c r="H3234" t="s">
        <v>33</v>
      </c>
      <c r="I3234" t="s">
        <v>59</v>
      </c>
      <c r="O3234" s="5"/>
      <c r="P3234" s="5"/>
    </row>
    <row r="3235" spans="1:16" x14ac:dyDescent="0.35">
      <c r="A3235" s="4">
        <v>42593</v>
      </c>
      <c r="B3235" t="s">
        <v>30</v>
      </c>
      <c r="C3235">
        <v>303</v>
      </c>
      <c r="D3235">
        <v>8</v>
      </c>
      <c r="E3235">
        <v>1</v>
      </c>
      <c r="F3235" t="s">
        <v>42</v>
      </c>
      <c r="G3235" t="s">
        <v>32</v>
      </c>
      <c r="H3235" t="s">
        <v>33</v>
      </c>
      <c r="I3235" t="s">
        <v>59</v>
      </c>
      <c r="O3235" s="5"/>
      <c r="P3235" s="5"/>
    </row>
    <row r="3236" spans="1:16" x14ac:dyDescent="0.35">
      <c r="A3236" s="4">
        <v>42593</v>
      </c>
      <c r="B3236" t="s">
        <v>30</v>
      </c>
      <c r="C3236">
        <v>303</v>
      </c>
      <c r="D3236">
        <v>8</v>
      </c>
      <c r="E3236">
        <v>2</v>
      </c>
      <c r="F3236" t="s">
        <v>42</v>
      </c>
      <c r="G3236" t="s">
        <v>32</v>
      </c>
      <c r="H3236" t="s">
        <v>33</v>
      </c>
      <c r="I3236" t="s">
        <v>59</v>
      </c>
      <c r="O3236" s="5"/>
      <c r="P3236" s="5"/>
    </row>
    <row r="3237" spans="1:16" x14ac:dyDescent="0.35">
      <c r="A3237" s="4">
        <v>42593</v>
      </c>
      <c r="B3237" t="s">
        <v>30</v>
      </c>
      <c r="C3237">
        <v>303</v>
      </c>
      <c r="D3237">
        <v>9</v>
      </c>
      <c r="E3237">
        <v>1</v>
      </c>
      <c r="F3237" t="s">
        <v>42</v>
      </c>
      <c r="G3237" t="s">
        <v>32</v>
      </c>
      <c r="H3237" t="s">
        <v>33</v>
      </c>
      <c r="I3237" t="s">
        <v>59</v>
      </c>
      <c r="O3237" s="5"/>
      <c r="P3237" s="5"/>
    </row>
    <row r="3238" spans="1:16" x14ac:dyDescent="0.35">
      <c r="A3238" s="4">
        <v>42593</v>
      </c>
      <c r="B3238" t="s">
        <v>30</v>
      </c>
      <c r="C3238">
        <v>303</v>
      </c>
      <c r="D3238">
        <v>9</v>
      </c>
      <c r="E3238">
        <v>2</v>
      </c>
      <c r="F3238" t="s">
        <v>42</v>
      </c>
      <c r="G3238" t="s">
        <v>32</v>
      </c>
      <c r="H3238" t="s">
        <v>33</v>
      </c>
      <c r="I3238" t="s">
        <v>59</v>
      </c>
      <c r="O3238" s="5"/>
      <c r="P3238" s="5"/>
    </row>
    <row r="3239" spans="1:16" x14ac:dyDescent="0.35">
      <c r="A3239" s="4">
        <v>42593</v>
      </c>
      <c r="B3239" t="s">
        <v>30</v>
      </c>
      <c r="C3239">
        <v>401</v>
      </c>
      <c r="D3239">
        <v>1</v>
      </c>
      <c r="E3239">
        <v>1</v>
      </c>
      <c r="F3239" t="s">
        <v>42</v>
      </c>
      <c r="G3239" t="s">
        <v>32</v>
      </c>
      <c r="H3239" t="s">
        <v>33</v>
      </c>
      <c r="I3239" t="s">
        <v>59</v>
      </c>
      <c r="O3239" s="5"/>
      <c r="P3239" s="5"/>
    </row>
    <row r="3240" spans="1:16" x14ac:dyDescent="0.35">
      <c r="A3240" s="4">
        <v>42593</v>
      </c>
      <c r="B3240" t="s">
        <v>30</v>
      </c>
      <c r="C3240">
        <v>401</v>
      </c>
      <c r="D3240">
        <v>1</v>
      </c>
      <c r="E3240">
        <v>2</v>
      </c>
      <c r="F3240" t="s">
        <v>42</v>
      </c>
      <c r="G3240" t="s">
        <v>32</v>
      </c>
      <c r="H3240" t="s">
        <v>33</v>
      </c>
      <c r="I3240" t="s">
        <v>59</v>
      </c>
      <c r="O3240" s="5"/>
      <c r="P3240" s="5"/>
    </row>
    <row r="3241" spans="1:16" x14ac:dyDescent="0.35">
      <c r="A3241" s="4">
        <v>42593</v>
      </c>
      <c r="B3241" t="s">
        <v>30</v>
      </c>
      <c r="C3241">
        <v>401</v>
      </c>
      <c r="D3241">
        <v>2</v>
      </c>
      <c r="E3241">
        <v>1</v>
      </c>
      <c r="F3241" t="s">
        <v>42</v>
      </c>
      <c r="G3241" t="s">
        <v>32</v>
      </c>
      <c r="H3241" t="s">
        <v>33</v>
      </c>
      <c r="I3241" t="s">
        <v>59</v>
      </c>
      <c r="O3241" s="5"/>
      <c r="P3241" s="5"/>
    </row>
    <row r="3242" spans="1:16" x14ac:dyDescent="0.35">
      <c r="A3242" s="4">
        <v>42593</v>
      </c>
      <c r="B3242" t="s">
        <v>30</v>
      </c>
      <c r="C3242">
        <v>401</v>
      </c>
      <c r="D3242">
        <v>4</v>
      </c>
      <c r="E3242">
        <v>1</v>
      </c>
      <c r="F3242" t="s">
        <v>42</v>
      </c>
      <c r="G3242" t="s">
        <v>32</v>
      </c>
      <c r="H3242" t="s">
        <v>33</v>
      </c>
      <c r="I3242" t="s">
        <v>59</v>
      </c>
      <c r="O3242" s="5"/>
      <c r="P3242" s="5"/>
    </row>
    <row r="3243" spans="1:16" x14ac:dyDescent="0.35">
      <c r="A3243" s="4">
        <v>42593</v>
      </c>
      <c r="B3243" t="s">
        <v>30</v>
      </c>
      <c r="C3243">
        <v>401</v>
      </c>
      <c r="D3243">
        <v>7</v>
      </c>
      <c r="E3243">
        <v>1</v>
      </c>
      <c r="F3243" t="s">
        <v>42</v>
      </c>
      <c r="G3243" t="s">
        <v>32</v>
      </c>
      <c r="H3243" t="s">
        <v>33</v>
      </c>
      <c r="I3243" t="s">
        <v>59</v>
      </c>
      <c r="O3243" s="5"/>
      <c r="P3243" s="5"/>
    </row>
    <row r="3244" spans="1:16" x14ac:dyDescent="0.35">
      <c r="A3244" s="4">
        <v>42593</v>
      </c>
      <c r="B3244" t="s">
        <v>30</v>
      </c>
      <c r="C3244">
        <v>401</v>
      </c>
      <c r="D3244">
        <v>9</v>
      </c>
      <c r="E3244">
        <v>1</v>
      </c>
      <c r="F3244" t="s">
        <v>42</v>
      </c>
      <c r="G3244" t="s">
        <v>32</v>
      </c>
      <c r="H3244" t="s">
        <v>33</v>
      </c>
      <c r="I3244" t="s">
        <v>59</v>
      </c>
      <c r="O3244" s="5"/>
      <c r="P3244" s="5"/>
    </row>
    <row r="3245" spans="1:16" x14ac:dyDescent="0.35">
      <c r="A3245" s="4">
        <v>42593</v>
      </c>
      <c r="B3245" t="s">
        <v>30</v>
      </c>
      <c r="C3245">
        <v>401</v>
      </c>
      <c r="D3245">
        <v>10</v>
      </c>
      <c r="E3245">
        <v>1</v>
      </c>
      <c r="F3245" t="s">
        <v>42</v>
      </c>
      <c r="G3245" t="s">
        <v>32</v>
      </c>
      <c r="H3245" t="s">
        <v>33</v>
      </c>
      <c r="I3245" t="s">
        <v>59</v>
      </c>
      <c r="O3245" s="5"/>
      <c r="P3245" s="5"/>
    </row>
    <row r="3246" spans="1:16" x14ac:dyDescent="0.35">
      <c r="A3246" s="4">
        <v>42593</v>
      </c>
      <c r="B3246" t="s">
        <v>30</v>
      </c>
      <c r="C3246">
        <v>703</v>
      </c>
      <c r="D3246">
        <v>2</v>
      </c>
      <c r="E3246">
        <v>1</v>
      </c>
      <c r="F3246" t="s">
        <v>315</v>
      </c>
      <c r="G3246" t="s">
        <v>32</v>
      </c>
      <c r="H3246" t="s">
        <v>33</v>
      </c>
      <c r="I3246" t="s">
        <v>59</v>
      </c>
      <c r="O3246" s="5"/>
      <c r="P3246" s="5"/>
    </row>
    <row r="3247" spans="1:16" x14ac:dyDescent="0.35">
      <c r="A3247" s="4">
        <v>42593</v>
      </c>
      <c r="B3247" t="s">
        <v>30</v>
      </c>
      <c r="C3247">
        <v>703</v>
      </c>
      <c r="D3247">
        <v>2</v>
      </c>
      <c r="E3247">
        <v>2</v>
      </c>
      <c r="F3247" t="s">
        <v>315</v>
      </c>
      <c r="G3247" t="s">
        <v>32</v>
      </c>
      <c r="H3247" t="s">
        <v>33</v>
      </c>
      <c r="I3247" t="s">
        <v>59</v>
      </c>
      <c r="O3247" s="5"/>
      <c r="P3247" s="5"/>
    </row>
    <row r="3248" spans="1:16" x14ac:dyDescent="0.35">
      <c r="A3248" s="4">
        <v>42593</v>
      </c>
      <c r="B3248" t="s">
        <v>30</v>
      </c>
      <c r="C3248">
        <v>703</v>
      </c>
      <c r="D3248">
        <v>4</v>
      </c>
      <c r="E3248">
        <v>2</v>
      </c>
      <c r="F3248" t="s">
        <v>315</v>
      </c>
      <c r="G3248" t="s">
        <v>32</v>
      </c>
      <c r="H3248" t="s">
        <v>33</v>
      </c>
      <c r="I3248" t="s">
        <v>59</v>
      </c>
      <c r="O3248" s="5"/>
      <c r="P3248" s="5"/>
    </row>
    <row r="3249" spans="1:16" x14ac:dyDescent="0.35">
      <c r="A3249" s="4">
        <v>42593</v>
      </c>
      <c r="B3249" t="s">
        <v>30</v>
      </c>
      <c r="C3249">
        <v>703</v>
      </c>
      <c r="D3249">
        <v>7</v>
      </c>
      <c r="E3249">
        <v>1</v>
      </c>
      <c r="F3249" t="s">
        <v>315</v>
      </c>
      <c r="G3249" t="s">
        <v>32</v>
      </c>
      <c r="H3249" t="s">
        <v>33</v>
      </c>
      <c r="I3249" t="s">
        <v>59</v>
      </c>
      <c r="O3249" s="5"/>
      <c r="P3249" s="5"/>
    </row>
    <row r="3250" spans="1:16" x14ac:dyDescent="0.35">
      <c r="A3250" s="4">
        <v>42593</v>
      </c>
      <c r="B3250" t="s">
        <v>30</v>
      </c>
      <c r="C3250">
        <v>703</v>
      </c>
      <c r="D3250">
        <v>8</v>
      </c>
      <c r="E3250">
        <v>1</v>
      </c>
      <c r="F3250" t="s">
        <v>315</v>
      </c>
      <c r="G3250" t="s">
        <v>32</v>
      </c>
      <c r="H3250" t="s">
        <v>33</v>
      </c>
      <c r="I3250" t="s">
        <v>59</v>
      </c>
      <c r="O3250" s="5"/>
      <c r="P3250" s="5"/>
    </row>
    <row r="3251" spans="1:16" x14ac:dyDescent="0.35">
      <c r="A3251" s="4">
        <v>42593</v>
      </c>
      <c r="B3251" t="s">
        <v>30</v>
      </c>
      <c r="C3251">
        <v>703</v>
      </c>
      <c r="D3251">
        <v>9</v>
      </c>
      <c r="E3251">
        <v>1</v>
      </c>
      <c r="F3251" t="s">
        <v>315</v>
      </c>
      <c r="G3251" t="s">
        <v>32</v>
      </c>
      <c r="H3251" t="s">
        <v>33</v>
      </c>
      <c r="I3251" t="s">
        <v>59</v>
      </c>
      <c r="O3251" s="5"/>
      <c r="P3251" s="5"/>
    </row>
    <row r="3252" spans="1:16" x14ac:dyDescent="0.35">
      <c r="A3252" s="4">
        <v>42593</v>
      </c>
      <c r="B3252" t="s">
        <v>30</v>
      </c>
      <c r="C3252">
        <v>703</v>
      </c>
      <c r="D3252">
        <v>9</v>
      </c>
      <c r="E3252">
        <v>2</v>
      </c>
      <c r="F3252" t="s">
        <v>315</v>
      </c>
      <c r="G3252" t="s">
        <v>32</v>
      </c>
      <c r="H3252" t="s">
        <v>33</v>
      </c>
      <c r="I3252" t="s">
        <v>59</v>
      </c>
      <c r="O3252" s="5"/>
      <c r="P3252" s="5"/>
    </row>
    <row r="3253" spans="1:16" x14ac:dyDescent="0.35">
      <c r="A3253" s="4">
        <v>42593</v>
      </c>
      <c r="B3253" t="s">
        <v>30</v>
      </c>
      <c r="C3253">
        <v>703</v>
      </c>
      <c r="D3253">
        <v>10</v>
      </c>
      <c r="E3253">
        <v>1</v>
      </c>
      <c r="F3253" t="s">
        <v>315</v>
      </c>
      <c r="G3253" t="s">
        <v>32</v>
      </c>
      <c r="H3253" t="s">
        <v>33</v>
      </c>
      <c r="I3253" t="s">
        <v>59</v>
      </c>
      <c r="O3253" s="5"/>
      <c r="P3253" s="5"/>
    </row>
    <row r="3254" spans="1:16" x14ac:dyDescent="0.35">
      <c r="A3254" s="4">
        <v>42593</v>
      </c>
      <c r="B3254" t="s">
        <v>30</v>
      </c>
      <c r="C3254">
        <v>701</v>
      </c>
      <c r="D3254">
        <v>1</v>
      </c>
      <c r="E3254">
        <v>2</v>
      </c>
      <c r="F3254" t="s">
        <v>315</v>
      </c>
      <c r="G3254" t="s">
        <v>32</v>
      </c>
      <c r="H3254" t="s">
        <v>33</v>
      </c>
      <c r="I3254" t="s">
        <v>59</v>
      </c>
      <c r="O3254" s="5"/>
      <c r="P3254" s="5"/>
    </row>
    <row r="3255" spans="1:16" x14ac:dyDescent="0.35">
      <c r="A3255" s="4">
        <v>42593</v>
      </c>
      <c r="B3255" t="s">
        <v>30</v>
      </c>
      <c r="C3255">
        <v>701</v>
      </c>
      <c r="D3255">
        <v>4</v>
      </c>
      <c r="E3255">
        <v>2</v>
      </c>
      <c r="F3255" t="s">
        <v>315</v>
      </c>
      <c r="G3255" t="s">
        <v>32</v>
      </c>
      <c r="H3255" t="s">
        <v>33</v>
      </c>
      <c r="I3255" t="s">
        <v>59</v>
      </c>
      <c r="O3255" s="5"/>
      <c r="P3255" s="5"/>
    </row>
    <row r="3256" spans="1:16" x14ac:dyDescent="0.35">
      <c r="A3256" s="4">
        <v>42593</v>
      </c>
      <c r="B3256" t="s">
        <v>30</v>
      </c>
      <c r="C3256">
        <v>701</v>
      </c>
      <c r="D3256">
        <v>7</v>
      </c>
      <c r="E3256">
        <v>1</v>
      </c>
      <c r="F3256" t="s">
        <v>315</v>
      </c>
      <c r="G3256" t="s">
        <v>32</v>
      </c>
      <c r="H3256" t="s">
        <v>33</v>
      </c>
      <c r="I3256" t="s">
        <v>59</v>
      </c>
      <c r="O3256" s="5"/>
      <c r="P3256" s="5"/>
    </row>
    <row r="3257" spans="1:16" x14ac:dyDescent="0.35">
      <c r="A3257" s="4">
        <v>42593</v>
      </c>
      <c r="B3257" t="s">
        <v>30</v>
      </c>
      <c r="C3257">
        <v>701</v>
      </c>
      <c r="D3257">
        <v>8</v>
      </c>
      <c r="E3257">
        <v>1</v>
      </c>
      <c r="F3257" t="s">
        <v>315</v>
      </c>
      <c r="G3257" t="s">
        <v>32</v>
      </c>
      <c r="H3257" t="s">
        <v>33</v>
      </c>
      <c r="I3257" t="s">
        <v>59</v>
      </c>
      <c r="O3257" s="5"/>
      <c r="P3257" s="5"/>
    </row>
    <row r="3258" spans="1:16" x14ac:dyDescent="0.35">
      <c r="A3258" s="4">
        <v>42593</v>
      </c>
      <c r="B3258" t="s">
        <v>30</v>
      </c>
      <c r="C3258">
        <v>701</v>
      </c>
      <c r="D3258">
        <v>8</v>
      </c>
      <c r="E3258">
        <v>2</v>
      </c>
      <c r="F3258" t="s">
        <v>315</v>
      </c>
      <c r="G3258" t="s">
        <v>32</v>
      </c>
      <c r="H3258" t="s">
        <v>33</v>
      </c>
      <c r="I3258" t="s">
        <v>59</v>
      </c>
      <c r="O3258" s="5"/>
      <c r="P3258" s="5"/>
    </row>
    <row r="3259" spans="1:16" x14ac:dyDescent="0.35">
      <c r="A3259" s="4">
        <v>42593</v>
      </c>
      <c r="B3259" t="s">
        <v>30</v>
      </c>
      <c r="C3259">
        <v>801</v>
      </c>
      <c r="D3259">
        <v>6</v>
      </c>
      <c r="E3259">
        <v>2</v>
      </c>
      <c r="F3259" t="s">
        <v>315</v>
      </c>
      <c r="G3259" t="s">
        <v>32</v>
      </c>
      <c r="H3259" t="s">
        <v>33</v>
      </c>
      <c r="I3259" t="s">
        <v>59</v>
      </c>
      <c r="O3259" s="5"/>
      <c r="P3259" s="5"/>
    </row>
    <row r="3260" spans="1:16" x14ac:dyDescent="0.35">
      <c r="A3260" s="4">
        <v>42593</v>
      </c>
      <c r="B3260" t="s">
        <v>30</v>
      </c>
      <c r="C3260">
        <v>803</v>
      </c>
      <c r="D3260">
        <v>10</v>
      </c>
      <c r="E3260">
        <v>1</v>
      </c>
      <c r="F3260" t="s">
        <v>315</v>
      </c>
      <c r="G3260" t="s">
        <v>32</v>
      </c>
      <c r="H3260" t="s">
        <v>33</v>
      </c>
      <c r="I3260" t="s">
        <v>59</v>
      </c>
      <c r="O3260" s="5"/>
      <c r="P3260" s="5"/>
    </row>
    <row r="3261" spans="1:16" x14ac:dyDescent="0.35">
      <c r="A3261" s="4">
        <v>42593</v>
      </c>
      <c r="B3261" t="s">
        <v>30</v>
      </c>
      <c r="C3261">
        <v>803</v>
      </c>
      <c r="D3261">
        <v>9</v>
      </c>
      <c r="E3261">
        <v>2</v>
      </c>
      <c r="F3261" t="s">
        <v>315</v>
      </c>
      <c r="G3261" t="s">
        <v>32</v>
      </c>
      <c r="H3261" t="s">
        <v>33</v>
      </c>
      <c r="I3261" t="s">
        <v>59</v>
      </c>
      <c r="O3261" s="5"/>
      <c r="P3261" s="5"/>
    </row>
    <row r="3262" spans="1:16" x14ac:dyDescent="0.35">
      <c r="A3262" s="4">
        <v>42593</v>
      </c>
      <c r="B3262" t="s">
        <v>30</v>
      </c>
      <c r="C3262">
        <v>803</v>
      </c>
      <c r="D3262">
        <v>8</v>
      </c>
      <c r="E3262">
        <v>1</v>
      </c>
      <c r="F3262" t="s">
        <v>315</v>
      </c>
      <c r="G3262" t="s">
        <v>32</v>
      </c>
      <c r="H3262" t="s">
        <v>33</v>
      </c>
      <c r="I3262" t="s">
        <v>59</v>
      </c>
      <c r="O3262" s="5"/>
      <c r="P3262" s="5"/>
    </row>
    <row r="3263" spans="1:16" x14ac:dyDescent="0.35">
      <c r="A3263" s="4">
        <v>42593</v>
      </c>
      <c r="B3263" t="s">
        <v>30</v>
      </c>
      <c r="C3263">
        <v>803</v>
      </c>
      <c r="D3263">
        <v>7</v>
      </c>
      <c r="E3263">
        <v>2</v>
      </c>
      <c r="F3263" t="s">
        <v>315</v>
      </c>
      <c r="G3263" t="s">
        <v>32</v>
      </c>
      <c r="H3263" t="s">
        <v>33</v>
      </c>
      <c r="I3263" t="s">
        <v>59</v>
      </c>
      <c r="O3263" s="5"/>
      <c r="P3263" s="5"/>
    </row>
    <row r="3264" spans="1:16" x14ac:dyDescent="0.35">
      <c r="A3264" s="4">
        <v>42593</v>
      </c>
      <c r="B3264" t="s">
        <v>30</v>
      </c>
      <c r="C3264">
        <v>803</v>
      </c>
      <c r="D3264">
        <v>5</v>
      </c>
      <c r="E3264">
        <v>1</v>
      </c>
      <c r="F3264" t="s">
        <v>315</v>
      </c>
      <c r="G3264" t="s">
        <v>32</v>
      </c>
      <c r="H3264" t="s">
        <v>33</v>
      </c>
      <c r="I3264" t="s">
        <v>59</v>
      </c>
      <c r="O3264" s="5"/>
      <c r="P3264" s="5"/>
    </row>
    <row r="3265" spans="1:30" x14ac:dyDescent="0.35">
      <c r="A3265" s="4">
        <v>42593</v>
      </c>
      <c r="B3265" t="s">
        <v>30</v>
      </c>
      <c r="C3265">
        <v>803</v>
      </c>
      <c r="D3265">
        <v>5</v>
      </c>
      <c r="E3265">
        <v>2</v>
      </c>
      <c r="F3265" t="s">
        <v>315</v>
      </c>
      <c r="G3265" t="s">
        <v>32</v>
      </c>
      <c r="H3265" t="s">
        <v>33</v>
      </c>
      <c r="I3265" t="s">
        <v>59</v>
      </c>
      <c r="O3265" s="5"/>
      <c r="P3265" s="5"/>
    </row>
    <row r="3266" spans="1:30" x14ac:dyDescent="0.35">
      <c r="A3266" s="4">
        <v>42593</v>
      </c>
      <c r="B3266" t="s">
        <v>30</v>
      </c>
      <c r="C3266">
        <v>803</v>
      </c>
      <c r="D3266">
        <v>4</v>
      </c>
      <c r="E3266">
        <v>1</v>
      </c>
      <c r="F3266" t="s">
        <v>315</v>
      </c>
      <c r="G3266" t="s">
        <v>32</v>
      </c>
      <c r="H3266" t="s">
        <v>33</v>
      </c>
      <c r="I3266" t="s">
        <v>59</v>
      </c>
      <c r="O3266" s="5"/>
      <c r="P3266" s="5"/>
    </row>
    <row r="3267" spans="1:30" x14ac:dyDescent="0.35">
      <c r="A3267" s="4">
        <v>42593</v>
      </c>
      <c r="B3267" t="s">
        <v>30</v>
      </c>
      <c r="C3267">
        <v>803</v>
      </c>
      <c r="D3267">
        <v>2</v>
      </c>
      <c r="E3267">
        <v>1</v>
      </c>
      <c r="F3267" t="s">
        <v>315</v>
      </c>
      <c r="G3267" t="s">
        <v>32</v>
      </c>
      <c r="H3267" t="s">
        <v>33</v>
      </c>
      <c r="I3267" t="s">
        <v>59</v>
      </c>
      <c r="O3267" s="5"/>
      <c r="P3267" s="5"/>
    </row>
    <row r="3268" spans="1:30" x14ac:dyDescent="0.35">
      <c r="A3268" s="4">
        <v>42593</v>
      </c>
      <c r="B3268" t="s">
        <v>30</v>
      </c>
      <c r="C3268">
        <v>803</v>
      </c>
      <c r="D3268">
        <v>1</v>
      </c>
      <c r="E3268">
        <v>1</v>
      </c>
      <c r="F3268" t="s">
        <v>315</v>
      </c>
      <c r="G3268" t="s">
        <v>32</v>
      </c>
      <c r="H3268" t="s">
        <v>33</v>
      </c>
      <c r="I3268" t="s">
        <v>59</v>
      </c>
      <c r="O3268" s="5"/>
      <c r="P3268" s="5"/>
    </row>
    <row r="3269" spans="1:30" x14ac:dyDescent="0.35">
      <c r="A3269" s="4">
        <v>42593</v>
      </c>
      <c r="B3269" t="s">
        <v>30</v>
      </c>
      <c r="C3269">
        <v>803</v>
      </c>
      <c r="D3269">
        <v>1</v>
      </c>
      <c r="E3269">
        <v>2</v>
      </c>
      <c r="F3269" t="s">
        <v>315</v>
      </c>
      <c r="G3269" t="s">
        <v>32</v>
      </c>
      <c r="H3269" t="s">
        <v>33</v>
      </c>
      <c r="I3269" t="s">
        <v>59</v>
      </c>
      <c r="O3269" s="5"/>
      <c r="P3269" s="5"/>
    </row>
    <row r="3270" spans="1:30" x14ac:dyDescent="0.35">
      <c r="A3270" s="4">
        <v>42593</v>
      </c>
      <c r="B3270" t="s">
        <v>30</v>
      </c>
      <c r="C3270">
        <v>901</v>
      </c>
      <c r="D3270">
        <v>6</v>
      </c>
      <c r="E3270">
        <v>1</v>
      </c>
      <c r="F3270" t="s">
        <v>315</v>
      </c>
      <c r="G3270" t="s">
        <v>32</v>
      </c>
      <c r="H3270" t="s">
        <v>33</v>
      </c>
      <c r="I3270" t="s">
        <v>59</v>
      </c>
      <c r="O3270" s="5"/>
      <c r="P3270" s="5"/>
    </row>
    <row r="3271" spans="1:30" x14ac:dyDescent="0.35">
      <c r="A3271" s="4">
        <v>42593</v>
      </c>
      <c r="B3271" t="s">
        <v>30</v>
      </c>
      <c r="C3271">
        <v>803</v>
      </c>
      <c r="D3271">
        <v>7</v>
      </c>
      <c r="E3271">
        <v>1</v>
      </c>
      <c r="F3271" t="s">
        <v>315</v>
      </c>
      <c r="G3271" t="s">
        <v>32</v>
      </c>
      <c r="H3271" t="s">
        <v>33</v>
      </c>
      <c r="I3271" t="s">
        <v>94</v>
      </c>
      <c r="J3271" t="s">
        <v>44</v>
      </c>
      <c r="K3271" t="s">
        <v>113</v>
      </c>
      <c r="L3271" t="s">
        <v>37</v>
      </c>
      <c r="M3271">
        <v>0</v>
      </c>
      <c r="N3271">
        <v>0</v>
      </c>
      <c r="O3271" s="5" t="s">
        <v>661</v>
      </c>
      <c r="P3271" s="5"/>
      <c r="Q3271">
        <f>31-13</f>
        <v>18</v>
      </c>
      <c r="R3271" t="s">
        <v>38</v>
      </c>
      <c r="Z3271" t="s">
        <v>102</v>
      </c>
      <c r="AA3271" t="s">
        <v>201</v>
      </c>
      <c r="AB3271" t="s">
        <v>47</v>
      </c>
      <c r="AC3271" t="s">
        <v>87</v>
      </c>
      <c r="AD3271" t="s">
        <v>689</v>
      </c>
    </row>
    <row r="3272" spans="1:30" x14ac:dyDescent="0.35">
      <c r="A3272" s="4">
        <v>42593</v>
      </c>
      <c r="B3272" t="s">
        <v>30</v>
      </c>
      <c r="C3272">
        <v>801</v>
      </c>
      <c r="D3272">
        <v>5</v>
      </c>
      <c r="E3272">
        <v>2</v>
      </c>
      <c r="F3272" t="s">
        <v>315</v>
      </c>
      <c r="G3272" t="s">
        <v>32</v>
      </c>
      <c r="H3272" t="s">
        <v>33</v>
      </c>
      <c r="I3272" t="s">
        <v>94</v>
      </c>
      <c r="J3272" t="s">
        <v>44</v>
      </c>
      <c r="K3272" t="s">
        <v>36</v>
      </c>
      <c r="L3272" t="s">
        <v>37</v>
      </c>
      <c r="M3272">
        <v>0</v>
      </c>
      <c r="N3272">
        <v>0</v>
      </c>
      <c r="O3272" s="5" t="s">
        <v>666</v>
      </c>
      <c r="P3272" s="5"/>
      <c r="Q3272">
        <f>41-18</f>
        <v>23</v>
      </c>
      <c r="R3272" t="s">
        <v>38</v>
      </c>
      <c r="T3272">
        <v>30</v>
      </c>
      <c r="W3272">
        <v>13.1</v>
      </c>
      <c r="X3272">
        <v>25.9</v>
      </c>
      <c r="Z3272" t="s">
        <v>102</v>
      </c>
      <c r="AA3272" t="s">
        <v>201</v>
      </c>
      <c r="AB3272" t="s">
        <v>47</v>
      </c>
      <c r="AC3272" t="s">
        <v>87</v>
      </c>
    </row>
    <row r="3273" spans="1:30" x14ac:dyDescent="0.35">
      <c r="A3273" s="4">
        <v>42593</v>
      </c>
      <c r="B3273" t="s">
        <v>30</v>
      </c>
      <c r="C3273">
        <v>401</v>
      </c>
      <c r="D3273">
        <v>8</v>
      </c>
      <c r="E3273">
        <v>2</v>
      </c>
      <c r="F3273" t="s">
        <v>42</v>
      </c>
      <c r="G3273" t="s">
        <v>32</v>
      </c>
      <c r="H3273" t="s">
        <v>33</v>
      </c>
      <c r="I3273" t="s">
        <v>94</v>
      </c>
      <c r="J3273" t="s">
        <v>44</v>
      </c>
      <c r="K3273" t="s">
        <v>36</v>
      </c>
      <c r="L3273" t="s">
        <v>45</v>
      </c>
      <c r="M3273">
        <v>0</v>
      </c>
      <c r="N3273">
        <v>0</v>
      </c>
      <c r="O3273" s="5" t="s">
        <v>608</v>
      </c>
      <c r="P3273" s="5"/>
      <c r="Q3273">
        <f>32-12.5</f>
        <v>19.5</v>
      </c>
      <c r="R3273" t="s">
        <v>46</v>
      </c>
      <c r="S3273" t="s">
        <v>39</v>
      </c>
      <c r="T3273">
        <v>28</v>
      </c>
      <c r="W3273">
        <v>13.2</v>
      </c>
      <c r="X3273">
        <v>27.8</v>
      </c>
      <c r="Z3273" t="s">
        <v>39</v>
      </c>
      <c r="AB3273" t="s">
        <v>47</v>
      </c>
      <c r="AC3273" t="s">
        <v>87</v>
      </c>
    </row>
    <row r="3274" spans="1:30" x14ac:dyDescent="0.35">
      <c r="A3274" s="4">
        <v>42593</v>
      </c>
      <c r="B3274" t="s">
        <v>30</v>
      </c>
      <c r="C3274">
        <v>803</v>
      </c>
      <c r="D3274">
        <v>8</v>
      </c>
      <c r="E3274">
        <v>2</v>
      </c>
      <c r="F3274" t="s">
        <v>315</v>
      </c>
      <c r="G3274" t="s">
        <v>32</v>
      </c>
      <c r="H3274" t="s">
        <v>33</v>
      </c>
      <c r="I3274" t="s">
        <v>94</v>
      </c>
      <c r="J3274" t="s">
        <v>44</v>
      </c>
      <c r="K3274" t="s">
        <v>36</v>
      </c>
      <c r="L3274" t="s">
        <v>45</v>
      </c>
      <c r="M3274">
        <v>0</v>
      </c>
      <c r="N3274">
        <v>0</v>
      </c>
      <c r="O3274" s="5"/>
      <c r="P3274" s="5" t="s">
        <v>659</v>
      </c>
      <c r="Q3274">
        <f>40-17</f>
        <v>23</v>
      </c>
      <c r="R3274" t="s">
        <v>143</v>
      </c>
      <c r="S3274" t="s">
        <v>102</v>
      </c>
      <c r="Z3274" t="s">
        <v>39</v>
      </c>
      <c r="AB3274" t="s">
        <v>47</v>
      </c>
      <c r="AC3274" t="s">
        <v>87</v>
      </c>
      <c r="AD3274" t="s">
        <v>689</v>
      </c>
    </row>
    <row r="3275" spans="1:30" x14ac:dyDescent="0.35">
      <c r="A3275" s="4">
        <v>42593</v>
      </c>
      <c r="B3275" t="s">
        <v>30</v>
      </c>
      <c r="C3275">
        <v>803</v>
      </c>
      <c r="D3275">
        <v>6</v>
      </c>
      <c r="E3275">
        <v>2</v>
      </c>
      <c r="F3275" t="s">
        <v>315</v>
      </c>
      <c r="G3275" t="s">
        <v>32</v>
      </c>
      <c r="H3275" t="s">
        <v>33</v>
      </c>
      <c r="I3275" t="s">
        <v>94</v>
      </c>
      <c r="J3275" t="s">
        <v>44</v>
      </c>
      <c r="K3275" t="s">
        <v>36</v>
      </c>
      <c r="L3275" t="s">
        <v>45</v>
      </c>
      <c r="M3275">
        <v>0</v>
      </c>
      <c r="N3275">
        <v>0</v>
      </c>
      <c r="O3275" s="5"/>
      <c r="P3275" s="5" t="s">
        <v>609</v>
      </c>
      <c r="Q3275">
        <f>36-15</f>
        <v>21</v>
      </c>
      <c r="R3275" t="s">
        <v>143</v>
      </c>
      <c r="S3275" t="s">
        <v>102</v>
      </c>
      <c r="Z3275" t="s">
        <v>102</v>
      </c>
      <c r="AA3275" t="s">
        <v>201</v>
      </c>
      <c r="AB3275" t="s">
        <v>47</v>
      </c>
      <c r="AC3275" t="s">
        <v>87</v>
      </c>
      <c r="AD3275" t="s">
        <v>689</v>
      </c>
    </row>
    <row r="3276" spans="1:30" x14ac:dyDescent="0.35">
      <c r="A3276" s="4">
        <v>42598</v>
      </c>
      <c r="B3276" t="s">
        <v>30</v>
      </c>
      <c r="C3276">
        <v>203</v>
      </c>
      <c r="D3276">
        <v>9</v>
      </c>
      <c r="E3276">
        <v>2</v>
      </c>
      <c r="F3276" t="s">
        <v>315</v>
      </c>
      <c r="G3276" t="s">
        <v>32</v>
      </c>
      <c r="H3276" t="s">
        <v>33</v>
      </c>
      <c r="I3276" t="s">
        <v>43</v>
      </c>
      <c r="J3276" t="s">
        <v>35</v>
      </c>
      <c r="K3276" t="s">
        <v>88</v>
      </c>
      <c r="L3276" t="s">
        <v>45</v>
      </c>
      <c r="M3276">
        <v>0</v>
      </c>
      <c r="N3276">
        <v>1</v>
      </c>
      <c r="O3276" s="5" t="s">
        <v>738</v>
      </c>
      <c r="P3276" s="5" t="s">
        <v>739</v>
      </c>
      <c r="Q3276">
        <f>23.5-13.5</f>
        <v>10</v>
      </c>
      <c r="R3276" t="s">
        <v>46</v>
      </c>
      <c r="S3276" t="s">
        <v>39</v>
      </c>
      <c r="T3276">
        <v>18</v>
      </c>
      <c r="U3276">
        <v>70</v>
      </c>
      <c r="V3276">
        <v>14</v>
      </c>
      <c r="W3276">
        <v>12.7</v>
      </c>
      <c r="X3276">
        <v>25.1</v>
      </c>
      <c r="Z3276" t="s">
        <v>102</v>
      </c>
      <c r="AA3276" t="s">
        <v>201</v>
      </c>
      <c r="AB3276" t="s">
        <v>86</v>
      </c>
      <c r="AC3276" t="s">
        <v>87</v>
      </c>
      <c r="AD3276" t="s">
        <v>740</v>
      </c>
    </row>
    <row r="3277" spans="1:30" x14ac:dyDescent="0.35">
      <c r="A3277" s="4">
        <v>42598</v>
      </c>
      <c r="B3277" t="s">
        <v>30</v>
      </c>
      <c r="C3277">
        <v>202</v>
      </c>
      <c r="D3277">
        <v>8</v>
      </c>
      <c r="E3277">
        <v>2</v>
      </c>
      <c r="F3277" t="s">
        <v>315</v>
      </c>
      <c r="G3277" t="s">
        <v>32</v>
      </c>
      <c r="H3277" t="s">
        <v>33</v>
      </c>
      <c r="I3277" t="s">
        <v>43</v>
      </c>
      <c r="J3277" t="s">
        <v>44</v>
      </c>
      <c r="K3277" t="s">
        <v>88</v>
      </c>
      <c r="L3277" t="s">
        <v>37</v>
      </c>
      <c r="M3277">
        <v>0</v>
      </c>
      <c r="N3277">
        <v>0</v>
      </c>
      <c r="O3277" s="5" t="s">
        <v>313</v>
      </c>
      <c r="P3277" s="5" t="s">
        <v>314</v>
      </c>
      <c r="Q3277">
        <f>35-20</f>
        <v>15</v>
      </c>
      <c r="R3277" t="s">
        <v>64</v>
      </c>
      <c r="T3277">
        <v>19</v>
      </c>
      <c r="U3277">
        <v>87</v>
      </c>
      <c r="V3277">
        <v>17</v>
      </c>
      <c r="W3277">
        <v>13</v>
      </c>
      <c r="X3277">
        <v>28.4</v>
      </c>
      <c r="Z3277" t="s">
        <v>102</v>
      </c>
      <c r="AA3277" t="s">
        <v>201</v>
      </c>
      <c r="AB3277" t="s">
        <v>86</v>
      </c>
      <c r="AC3277" t="s">
        <v>87</v>
      </c>
      <c r="AD3277" t="s">
        <v>741</v>
      </c>
    </row>
    <row r="3278" spans="1:30" x14ac:dyDescent="0.35">
      <c r="A3278" s="4">
        <v>42598</v>
      </c>
      <c r="B3278" t="s">
        <v>30</v>
      </c>
      <c r="C3278">
        <v>304</v>
      </c>
      <c r="D3278">
        <v>10</v>
      </c>
      <c r="E3278">
        <v>1</v>
      </c>
      <c r="F3278" t="s">
        <v>315</v>
      </c>
      <c r="G3278" t="s">
        <v>32</v>
      </c>
      <c r="H3278" t="s">
        <v>33</v>
      </c>
      <c r="I3278" t="s">
        <v>43</v>
      </c>
      <c r="J3278" t="s">
        <v>44</v>
      </c>
      <c r="K3278" t="s">
        <v>88</v>
      </c>
      <c r="L3278" t="s">
        <v>45</v>
      </c>
      <c r="M3278">
        <v>0</v>
      </c>
      <c r="N3278">
        <v>0</v>
      </c>
      <c r="O3278" s="5" t="s">
        <v>321</v>
      </c>
      <c r="P3278" s="5" t="s">
        <v>322</v>
      </c>
      <c r="Q3278">
        <f>33-21</f>
        <v>12</v>
      </c>
      <c r="R3278" t="s">
        <v>46</v>
      </c>
      <c r="S3278" t="s">
        <v>39</v>
      </c>
      <c r="T3278">
        <v>20</v>
      </c>
      <c r="U3278">
        <v>85</v>
      </c>
      <c r="V3278">
        <v>17</v>
      </c>
      <c r="W3278">
        <v>13.1</v>
      </c>
      <c r="X3278">
        <v>27.8</v>
      </c>
      <c r="Z3278" t="s">
        <v>102</v>
      </c>
      <c r="AA3278" t="s">
        <v>201</v>
      </c>
      <c r="AB3278" t="s">
        <v>86</v>
      </c>
      <c r="AC3278" t="s">
        <v>87</v>
      </c>
    </row>
    <row r="3279" spans="1:30" x14ac:dyDescent="0.35">
      <c r="A3279" s="4">
        <v>42598</v>
      </c>
      <c r="B3279" t="s">
        <v>30</v>
      </c>
      <c r="C3279">
        <v>113</v>
      </c>
      <c r="D3279">
        <v>5</v>
      </c>
      <c r="E3279">
        <v>2</v>
      </c>
      <c r="F3279" t="s">
        <v>42</v>
      </c>
      <c r="G3279" t="s">
        <v>32</v>
      </c>
      <c r="H3279" t="s">
        <v>33</v>
      </c>
      <c r="I3279" t="s">
        <v>43</v>
      </c>
      <c r="J3279" t="s">
        <v>44</v>
      </c>
      <c r="K3279" t="s">
        <v>88</v>
      </c>
      <c r="L3279" t="s">
        <v>45</v>
      </c>
      <c r="M3279">
        <v>0</v>
      </c>
      <c r="N3279">
        <v>0</v>
      </c>
      <c r="O3279" s="5" t="s">
        <v>379</v>
      </c>
      <c r="P3279" s="5" t="s">
        <v>380</v>
      </c>
      <c r="Q3279">
        <f>28.5-13.5</f>
        <v>15</v>
      </c>
      <c r="R3279" t="s">
        <v>46</v>
      </c>
      <c r="S3279" t="s">
        <v>39</v>
      </c>
      <c r="T3279">
        <v>17</v>
      </c>
      <c r="U3279">
        <v>76</v>
      </c>
      <c r="V3279">
        <v>18</v>
      </c>
      <c r="W3279">
        <v>12.4</v>
      </c>
      <c r="X3279">
        <v>24.25</v>
      </c>
      <c r="AB3279" t="s">
        <v>742</v>
      </c>
      <c r="AC3279" t="s">
        <v>87</v>
      </c>
    </row>
    <row r="3280" spans="1:30" x14ac:dyDescent="0.35">
      <c r="A3280" s="4">
        <v>42598</v>
      </c>
      <c r="B3280" t="s">
        <v>30</v>
      </c>
      <c r="C3280">
        <v>113</v>
      </c>
      <c r="D3280">
        <v>8</v>
      </c>
      <c r="E3280">
        <v>2</v>
      </c>
      <c r="F3280" t="s">
        <v>42</v>
      </c>
      <c r="G3280" t="s">
        <v>32</v>
      </c>
      <c r="H3280" t="s">
        <v>33</v>
      </c>
      <c r="I3280" t="s">
        <v>43</v>
      </c>
      <c r="J3280" t="s">
        <v>44</v>
      </c>
      <c r="K3280" t="s">
        <v>113</v>
      </c>
      <c r="L3280" t="s">
        <v>37</v>
      </c>
      <c r="M3280">
        <v>0</v>
      </c>
      <c r="N3280">
        <v>0</v>
      </c>
      <c r="O3280" s="5" t="s">
        <v>383</v>
      </c>
      <c r="P3280" s="5" t="s">
        <v>384</v>
      </c>
      <c r="Q3280">
        <f>31-15</f>
        <v>16</v>
      </c>
      <c r="R3280" t="s">
        <v>64</v>
      </c>
      <c r="T3280">
        <v>19</v>
      </c>
      <c r="U3280">
        <v>83</v>
      </c>
      <c r="V3280">
        <v>16</v>
      </c>
      <c r="W3280">
        <v>13</v>
      </c>
      <c r="X3280">
        <v>25.1</v>
      </c>
      <c r="AB3280" t="s">
        <v>742</v>
      </c>
      <c r="AC3280" t="s">
        <v>87</v>
      </c>
    </row>
    <row r="3281" spans="1:30" x14ac:dyDescent="0.35">
      <c r="A3281" s="4">
        <v>42598</v>
      </c>
      <c r="B3281" t="s">
        <v>30</v>
      </c>
      <c r="C3281">
        <v>113</v>
      </c>
      <c r="D3281">
        <v>2</v>
      </c>
      <c r="E3281">
        <v>1</v>
      </c>
      <c r="F3281" t="s">
        <v>42</v>
      </c>
      <c r="G3281" t="s">
        <v>32</v>
      </c>
      <c r="H3281" t="s">
        <v>33</v>
      </c>
      <c r="I3281" t="s">
        <v>43</v>
      </c>
      <c r="J3281" t="s">
        <v>44</v>
      </c>
      <c r="K3281" t="s">
        <v>88</v>
      </c>
      <c r="L3281" t="s">
        <v>45</v>
      </c>
      <c r="M3281">
        <v>0</v>
      </c>
      <c r="N3281">
        <v>0</v>
      </c>
      <c r="O3281" s="5" t="s">
        <v>387</v>
      </c>
      <c r="P3281" s="5" t="s">
        <v>388</v>
      </c>
      <c r="Q3281">
        <f>26-14.5</f>
        <v>11.5</v>
      </c>
      <c r="R3281" t="s">
        <v>46</v>
      </c>
      <c r="S3281" t="s">
        <v>39</v>
      </c>
      <c r="T3281">
        <v>18</v>
      </c>
      <c r="V3281">
        <v>14</v>
      </c>
      <c r="W3281">
        <v>12.2</v>
      </c>
      <c r="X3281">
        <v>23.5</v>
      </c>
      <c r="Z3281" t="s">
        <v>39</v>
      </c>
      <c r="AB3281" t="s">
        <v>743</v>
      </c>
      <c r="AC3281" t="s">
        <v>87</v>
      </c>
    </row>
    <row r="3282" spans="1:30" x14ac:dyDescent="0.35">
      <c r="A3282" s="4">
        <v>42598</v>
      </c>
      <c r="B3282" t="s">
        <v>30</v>
      </c>
      <c r="C3282">
        <v>112</v>
      </c>
      <c r="D3282">
        <v>4</v>
      </c>
      <c r="E3282">
        <v>2</v>
      </c>
      <c r="F3282" t="s">
        <v>42</v>
      </c>
      <c r="G3282" t="s">
        <v>32</v>
      </c>
      <c r="H3282" t="s">
        <v>33</v>
      </c>
      <c r="I3282" t="s">
        <v>43</v>
      </c>
      <c r="J3282" t="s">
        <v>44</v>
      </c>
      <c r="K3282" t="s">
        <v>113</v>
      </c>
      <c r="L3282" t="s">
        <v>37</v>
      </c>
      <c r="M3282">
        <v>0</v>
      </c>
      <c r="N3282">
        <v>0</v>
      </c>
      <c r="O3282" s="5" t="s">
        <v>391</v>
      </c>
      <c r="P3282" s="5" t="s">
        <v>452</v>
      </c>
      <c r="Q3282">
        <f>36-17.5</f>
        <v>18.5</v>
      </c>
      <c r="R3282" t="s">
        <v>64</v>
      </c>
      <c r="T3282">
        <v>18</v>
      </c>
      <c r="U3282">
        <v>88</v>
      </c>
      <c r="V3282">
        <v>17.5</v>
      </c>
      <c r="W3282">
        <v>13</v>
      </c>
      <c r="X3282">
        <v>26.3</v>
      </c>
      <c r="Z3282" t="s">
        <v>102</v>
      </c>
      <c r="AB3282" t="s">
        <v>742</v>
      </c>
      <c r="AC3282" t="s">
        <v>87</v>
      </c>
    </row>
    <row r="3283" spans="1:30" x14ac:dyDescent="0.35">
      <c r="A3283" s="4">
        <v>42598</v>
      </c>
      <c r="B3283" t="s">
        <v>30</v>
      </c>
      <c r="C3283">
        <v>111</v>
      </c>
      <c r="D3283">
        <v>8</v>
      </c>
      <c r="E3283">
        <v>1</v>
      </c>
      <c r="F3283" t="s">
        <v>42</v>
      </c>
      <c r="G3283" t="s">
        <v>32</v>
      </c>
      <c r="H3283" t="s">
        <v>33</v>
      </c>
      <c r="I3283" t="s">
        <v>43</v>
      </c>
      <c r="J3283" t="s">
        <v>44</v>
      </c>
      <c r="K3283" t="s">
        <v>113</v>
      </c>
      <c r="L3283" t="s">
        <v>37</v>
      </c>
      <c r="M3283">
        <v>0</v>
      </c>
      <c r="N3283">
        <v>0</v>
      </c>
      <c r="O3283" s="5" t="s">
        <v>489</v>
      </c>
      <c r="P3283" s="5" t="s">
        <v>490</v>
      </c>
      <c r="Q3283">
        <f>30.5-12.5</f>
        <v>18</v>
      </c>
      <c r="R3283" t="s">
        <v>64</v>
      </c>
      <c r="T3283">
        <v>19</v>
      </c>
      <c r="U3283">
        <v>92</v>
      </c>
      <c r="V3283">
        <v>20</v>
      </c>
      <c r="W3283">
        <v>13</v>
      </c>
      <c r="X3283">
        <v>27.8</v>
      </c>
      <c r="Z3283" t="s">
        <v>39</v>
      </c>
      <c r="AA3283" t="s">
        <v>201</v>
      </c>
      <c r="AB3283" t="s">
        <v>742</v>
      </c>
      <c r="AC3283" t="s">
        <v>87</v>
      </c>
    </row>
    <row r="3284" spans="1:30" x14ac:dyDescent="0.35">
      <c r="A3284" s="4">
        <v>42598</v>
      </c>
      <c r="B3284" t="s">
        <v>30</v>
      </c>
      <c r="C3284">
        <v>112</v>
      </c>
      <c r="D3284">
        <v>6</v>
      </c>
      <c r="E3284">
        <v>1</v>
      </c>
      <c r="F3284" t="s">
        <v>42</v>
      </c>
      <c r="G3284" t="s">
        <v>32</v>
      </c>
      <c r="H3284" t="s">
        <v>33</v>
      </c>
      <c r="I3284" t="s">
        <v>43</v>
      </c>
      <c r="J3284" t="s">
        <v>35</v>
      </c>
      <c r="K3284" t="s">
        <v>36</v>
      </c>
      <c r="L3284" t="s">
        <v>45</v>
      </c>
      <c r="M3284">
        <v>0</v>
      </c>
      <c r="N3284">
        <v>1</v>
      </c>
      <c r="O3284" s="5" t="s">
        <v>744</v>
      </c>
      <c r="P3284" s="5" t="s">
        <v>745</v>
      </c>
      <c r="Q3284">
        <f>35-15</f>
        <v>20</v>
      </c>
      <c r="R3284" t="s">
        <v>145</v>
      </c>
      <c r="S3284" t="s">
        <v>102</v>
      </c>
      <c r="T3284">
        <v>18</v>
      </c>
      <c r="U3284">
        <v>78</v>
      </c>
      <c r="V3284">
        <v>16</v>
      </c>
      <c r="W3284">
        <v>12.7</v>
      </c>
      <c r="X3284">
        <v>26.6</v>
      </c>
      <c r="Y3284" t="s">
        <v>746</v>
      </c>
      <c r="Z3284" t="s">
        <v>102</v>
      </c>
      <c r="AB3284" t="s">
        <v>747</v>
      </c>
      <c r="AC3284" t="s">
        <v>87</v>
      </c>
    </row>
    <row r="3285" spans="1:30" x14ac:dyDescent="0.35">
      <c r="A3285" s="4">
        <v>42598</v>
      </c>
      <c r="B3285" t="s">
        <v>30</v>
      </c>
      <c r="C3285">
        <v>201</v>
      </c>
      <c r="D3285">
        <v>6</v>
      </c>
      <c r="E3285">
        <v>1</v>
      </c>
      <c r="F3285" t="s">
        <v>315</v>
      </c>
      <c r="G3285" t="s">
        <v>32</v>
      </c>
      <c r="H3285" t="s">
        <v>33</v>
      </c>
      <c r="I3285" t="s">
        <v>43</v>
      </c>
      <c r="J3285" t="s">
        <v>44</v>
      </c>
      <c r="K3285" t="s">
        <v>36</v>
      </c>
      <c r="L3285" t="s">
        <v>45</v>
      </c>
      <c r="M3285">
        <v>0</v>
      </c>
      <c r="N3285">
        <v>0</v>
      </c>
      <c r="O3285" s="5" t="s">
        <v>748</v>
      </c>
      <c r="P3285" s="5" t="s">
        <v>749</v>
      </c>
      <c r="Q3285">
        <f>33-14</f>
        <v>19</v>
      </c>
      <c r="R3285" t="s">
        <v>143</v>
      </c>
      <c r="S3285" t="s">
        <v>102</v>
      </c>
      <c r="T3285">
        <v>19</v>
      </c>
      <c r="U3285">
        <v>89</v>
      </c>
      <c r="V3285">
        <v>17</v>
      </c>
      <c r="W3285">
        <v>13.1</v>
      </c>
      <c r="X3285">
        <v>29.2</v>
      </c>
      <c r="Z3285" t="s">
        <v>102</v>
      </c>
      <c r="AA3285" t="s">
        <v>201</v>
      </c>
      <c r="AB3285" t="s">
        <v>86</v>
      </c>
      <c r="AC3285" t="s">
        <v>87</v>
      </c>
    </row>
    <row r="3286" spans="1:30" x14ac:dyDescent="0.35">
      <c r="A3286" s="4">
        <v>42598</v>
      </c>
      <c r="B3286" t="s">
        <v>30</v>
      </c>
      <c r="C3286">
        <v>203</v>
      </c>
      <c r="D3286">
        <v>6</v>
      </c>
      <c r="E3286">
        <v>1</v>
      </c>
      <c r="F3286" t="s">
        <v>315</v>
      </c>
      <c r="G3286" t="s">
        <v>32</v>
      </c>
      <c r="H3286" t="s">
        <v>33</v>
      </c>
      <c r="I3286" t="s">
        <v>43</v>
      </c>
      <c r="J3286" t="s">
        <v>44</v>
      </c>
      <c r="K3286" t="s">
        <v>36</v>
      </c>
      <c r="L3286" t="s">
        <v>37</v>
      </c>
      <c r="M3286">
        <v>0</v>
      </c>
      <c r="N3286">
        <v>0</v>
      </c>
      <c r="O3286" s="5" t="s">
        <v>750</v>
      </c>
      <c r="P3286" s="5" t="s">
        <v>751</v>
      </c>
      <c r="Q3286">
        <f>34-14</f>
        <v>20</v>
      </c>
      <c r="R3286" t="s">
        <v>64</v>
      </c>
      <c r="T3286">
        <v>20</v>
      </c>
      <c r="U3286">
        <v>100</v>
      </c>
      <c r="V3286">
        <v>16</v>
      </c>
      <c r="W3286">
        <v>13.2</v>
      </c>
      <c r="X3286">
        <v>27.1</v>
      </c>
      <c r="Z3286" t="s">
        <v>102</v>
      </c>
      <c r="AA3286" t="s">
        <v>201</v>
      </c>
      <c r="AB3286" t="s">
        <v>86</v>
      </c>
      <c r="AC3286" t="s">
        <v>87</v>
      </c>
    </row>
    <row r="3287" spans="1:30" x14ac:dyDescent="0.35">
      <c r="A3287" s="4">
        <v>42598</v>
      </c>
      <c r="B3287" t="s">
        <v>30</v>
      </c>
      <c r="C3287">
        <v>112</v>
      </c>
      <c r="D3287">
        <v>2</v>
      </c>
      <c r="E3287">
        <v>2</v>
      </c>
      <c r="F3287" t="s">
        <v>42</v>
      </c>
      <c r="G3287" t="s">
        <v>32</v>
      </c>
      <c r="H3287" t="s">
        <v>33</v>
      </c>
      <c r="I3287" t="s">
        <v>43</v>
      </c>
      <c r="J3287" t="s">
        <v>44</v>
      </c>
      <c r="K3287" t="s">
        <v>36</v>
      </c>
      <c r="L3287" t="s">
        <v>37</v>
      </c>
      <c r="M3287">
        <v>0</v>
      </c>
      <c r="N3287">
        <v>0</v>
      </c>
      <c r="O3287" s="5" t="s">
        <v>462</v>
      </c>
      <c r="P3287" s="5" t="s">
        <v>463</v>
      </c>
      <c r="Q3287">
        <f>38.5-18.5</f>
        <v>20</v>
      </c>
      <c r="R3287" t="s">
        <v>38</v>
      </c>
      <c r="T3287">
        <v>19</v>
      </c>
      <c r="U3287">
        <v>95</v>
      </c>
      <c r="V3287">
        <v>20</v>
      </c>
      <c r="W3287">
        <v>13.2</v>
      </c>
      <c r="X3287">
        <v>26.7</v>
      </c>
      <c r="Z3287" t="s">
        <v>102</v>
      </c>
      <c r="AB3287" t="s">
        <v>742</v>
      </c>
      <c r="AC3287" t="s">
        <v>87</v>
      </c>
    </row>
    <row r="3288" spans="1:30" x14ac:dyDescent="0.35">
      <c r="A3288" s="4">
        <v>42598</v>
      </c>
      <c r="B3288" t="s">
        <v>30</v>
      </c>
      <c r="C3288">
        <v>112</v>
      </c>
      <c r="D3288">
        <v>10</v>
      </c>
      <c r="E3288">
        <v>2</v>
      </c>
      <c r="F3288" t="s">
        <v>42</v>
      </c>
      <c r="G3288" t="s">
        <v>32</v>
      </c>
      <c r="H3288" t="s">
        <v>33</v>
      </c>
      <c r="I3288" t="s">
        <v>43</v>
      </c>
      <c r="J3288" t="s">
        <v>44</v>
      </c>
      <c r="K3288" t="s">
        <v>36</v>
      </c>
      <c r="L3288" t="s">
        <v>37</v>
      </c>
      <c r="M3288">
        <v>0</v>
      </c>
      <c r="N3288">
        <v>0</v>
      </c>
      <c r="O3288" s="5" t="s">
        <v>404</v>
      </c>
      <c r="P3288" s="5" t="s">
        <v>405</v>
      </c>
      <c r="Q3288">
        <f>35.5-14</f>
        <v>21.5</v>
      </c>
      <c r="R3288" t="s">
        <v>64</v>
      </c>
      <c r="T3288">
        <v>20</v>
      </c>
      <c r="U3288">
        <v>88</v>
      </c>
      <c r="V3288">
        <v>18</v>
      </c>
      <c r="W3288">
        <v>13.4</v>
      </c>
      <c r="X3288">
        <v>25.9</v>
      </c>
      <c r="AB3288" t="s">
        <v>742</v>
      </c>
      <c r="AC3288" t="s">
        <v>87</v>
      </c>
    </row>
    <row r="3289" spans="1:30" x14ac:dyDescent="0.35">
      <c r="A3289" s="4">
        <v>42598</v>
      </c>
      <c r="B3289" t="s">
        <v>30</v>
      </c>
      <c r="C3289">
        <v>203</v>
      </c>
      <c r="D3289">
        <v>10</v>
      </c>
      <c r="E3289">
        <v>1</v>
      </c>
      <c r="F3289" t="s">
        <v>315</v>
      </c>
      <c r="G3289" t="s">
        <v>32</v>
      </c>
      <c r="H3289" t="s">
        <v>33</v>
      </c>
      <c r="I3289" t="s">
        <v>43</v>
      </c>
      <c r="J3289" t="s">
        <v>44</v>
      </c>
      <c r="K3289" t="s">
        <v>36</v>
      </c>
      <c r="L3289" t="s">
        <v>45</v>
      </c>
      <c r="M3289">
        <v>0</v>
      </c>
      <c r="N3289">
        <v>0</v>
      </c>
      <c r="O3289" s="5" t="s">
        <v>328</v>
      </c>
      <c r="P3289" s="5" t="s">
        <v>329</v>
      </c>
      <c r="Q3289">
        <f>35-15</f>
        <v>20</v>
      </c>
      <c r="R3289" t="s">
        <v>143</v>
      </c>
      <c r="S3289" t="s">
        <v>102</v>
      </c>
      <c r="T3289">
        <v>20</v>
      </c>
      <c r="U3289">
        <v>85</v>
      </c>
      <c r="V3289">
        <v>14</v>
      </c>
      <c r="W3289">
        <v>13.1</v>
      </c>
      <c r="X3289">
        <v>27.2</v>
      </c>
      <c r="Z3289" t="s">
        <v>102</v>
      </c>
      <c r="AA3289" t="s">
        <v>201</v>
      </c>
      <c r="AB3289" t="s">
        <v>86</v>
      </c>
      <c r="AC3289" t="s">
        <v>87</v>
      </c>
    </row>
    <row r="3290" spans="1:30" x14ac:dyDescent="0.35">
      <c r="A3290" s="4">
        <v>42598</v>
      </c>
      <c r="B3290" t="s">
        <v>30</v>
      </c>
      <c r="C3290">
        <v>203</v>
      </c>
      <c r="D3290">
        <v>8</v>
      </c>
      <c r="E3290">
        <v>2</v>
      </c>
      <c r="F3290" t="s">
        <v>315</v>
      </c>
      <c r="G3290" t="s">
        <v>32</v>
      </c>
      <c r="H3290" t="s">
        <v>33</v>
      </c>
      <c r="I3290" t="s">
        <v>43</v>
      </c>
      <c r="J3290" t="s">
        <v>44</v>
      </c>
      <c r="K3290" t="s">
        <v>113</v>
      </c>
      <c r="L3290" t="s">
        <v>37</v>
      </c>
      <c r="M3290">
        <v>0</v>
      </c>
      <c r="N3290">
        <v>0</v>
      </c>
      <c r="O3290" s="5" t="s">
        <v>752</v>
      </c>
      <c r="P3290" s="5" t="s">
        <v>753</v>
      </c>
      <c r="Q3290">
        <f>31.5-14.5</f>
        <v>17</v>
      </c>
      <c r="R3290" t="s">
        <v>64</v>
      </c>
      <c r="T3290">
        <v>19</v>
      </c>
      <c r="U3290">
        <v>96</v>
      </c>
      <c r="V3290">
        <v>15</v>
      </c>
      <c r="W3290">
        <v>13</v>
      </c>
      <c r="X3290">
        <v>27.5</v>
      </c>
      <c r="Z3290" t="s">
        <v>102</v>
      </c>
      <c r="AA3290" t="s">
        <v>201</v>
      </c>
      <c r="AB3290" t="s">
        <v>86</v>
      </c>
      <c r="AC3290" t="s">
        <v>87</v>
      </c>
    </row>
    <row r="3291" spans="1:30" x14ac:dyDescent="0.35">
      <c r="A3291" s="4">
        <v>42598</v>
      </c>
      <c r="B3291" t="s">
        <v>30</v>
      </c>
      <c r="C3291">
        <v>113</v>
      </c>
      <c r="D3291">
        <v>2</v>
      </c>
      <c r="E3291">
        <v>2</v>
      </c>
      <c r="F3291" t="s">
        <v>42</v>
      </c>
      <c r="G3291" t="s">
        <v>32</v>
      </c>
      <c r="H3291" t="s">
        <v>33</v>
      </c>
      <c r="I3291" t="s">
        <v>43</v>
      </c>
      <c r="J3291" t="s">
        <v>44</v>
      </c>
      <c r="K3291" t="s">
        <v>36</v>
      </c>
      <c r="L3291" t="s">
        <v>37</v>
      </c>
      <c r="M3291">
        <v>0</v>
      </c>
      <c r="N3291">
        <v>0</v>
      </c>
      <c r="O3291" s="5" t="s">
        <v>464</v>
      </c>
      <c r="P3291" s="5" t="s">
        <v>465</v>
      </c>
      <c r="Q3291">
        <f>34-16</f>
        <v>18</v>
      </c>
      <c r="R3291" t="s">
        <v>38</v>
      </c>
      <c r="T3291">
        <v>20</v>
      </c>
      <c r="V3291">
        <v>17</v>
      </c>
      <c r="W3291">
        <v>13.1</v>
      </c>
      <c r="X3291">
        <v>27.1</v>
      </c>
      <c r="Y3291" t="s">
        <v>754</v>
      </c>
      <c r="AB3291" t="s">
        <v>743</v>
      </c>
      <c r="AC3291" t="s">
        <v>87</v>
      </c>
      <c r="AD3291" t="s">
        <v>755</v>
      </c>
    </row>
    <row r="3292" spans="1:30" x14ac:dyDescent="0.35">
      <c r="A3292" s="4">
        <v>42598</v>
      </c>
      <c r="B3292" t="s">
        <v>30</v>
      </c>
      <c r="C3292">
        <v>201</v>
      </c>
      <c r="D3292">
        <v>1</v>
      </c>
      <c r="E3292">
        <v>1</v>
      </c>
      <c r="F3292" t="s">
        <v>315</v>
      </c>
      <c r="G3292" t="s">
        <v>32</v>
      </c>
      <c r="H3292" t="s">
        <v>33</v>
      </c>
      <c r="I3292" t="s">
        <v>43</v>
      </c>
      <c r="J3292" t="s">
        <v>44</v>
      </c>
      <c r="K3292" t="s">
        <v>113</v>
      </c>
      <c r="L3292" t="s">
        <v>45</v>
      </c>
      <c r="M3292">
        <v>0</v>
      </c>
      <c r="N3292">
        <v>0</v>
      </c>
      <c r="O3292" s="5" t="s">
        <v>756</v>
      </c>
      <c r="P3292" s="5" t="s">
        <v>757</v>
      </c>
      <c r="Q3292">
        <f>31-14</f>
        <v>17</v>
      </c>
      <c r="R3292" t="s">
        <v>143</v>
      </c>
      <c r="S3292" t="s">
        <v>102</v>
      </c>
      <c r="T3292">
        <v>19</v>
      </c>
      <c r="U3292">
        <v>84</v>
      </c>
      <c r="V3292">
        <v>16</v>
      </c>
      <c r="W3292">
        <v>13.1</v>
      </c>
      <c r="X3292">
        <v>28</v>
      </c>
      <c r="Z3292" t="s">
        <v>102</v>
      </c>
      <c r="AB3292" t="s">
        <v>86</v>
      </c>
      <c r="AC3292" t="s">
        <v>87</v>
      </c>
      <c r="AD3292" t="s">
        <v>758</v>
      </c>
    </row>
    <row r="3293" spans="1:30" x14ac:dyDescent="0.35">
      <c r="A3293" s="4">
        <v>42598</v>
      </c>
      <c r="B3293" t="s">
        <v>30</v>
      </c>
      <c r="C3293">
        <v>202</v>
      </c>
      <c r="D3293">
        <v>5</v>
      </c>
      <c r="E3293">
        <v>1</v>
      </c>
      <c r="F3293" t="s">
        <v>315</v>
      </c>
      <c r="G3293" t="s">
        <v>32</v>
      </c>
      <c r="H3293" t="s">
        <v>33</v>
      </c>
      <c r="I3293" t="s">
        <v>43</v>
      </c>
      <c r="J3293" t="s">
        <v>44</v>
      </c>
      <c r="K3293" t="s">
        <v>113</v>
      </c>
      <c r="L3293" t="s">
        <v>37</v>
      </c>
      <c r="M3293">
        <v>0</v>
      </c>
      <c r="N3293">
        <v>0</v>
      </c>
      <c r="O3293" s="5" t="s">
        <v>759</v>
      </c>
      <c r="P3293" s="5" t="s">
        <v>760</v>
      </c>
      <c r="R3293" t="s">
        <v>64</v>
      </c>
      <c r="T3293">
        <v>18</v>
      </c>
      <c r="U3293">
        <v>81</v>
      </c>
      <c r="V3293">
        <v>17</v>
      </c>
      <c r="W3293">
        <v>12.9</v>
      </c>
      <c r="X3293">
        <v>26.7</v>
      </c>
      <c r="Z3293" t="s">
        <v>102</v>
      </c>
      <c r="AA3293" t="s">
        <v>201</v>
      </c>
      <c r="AB3293" t="s">
        <v>86</v>
      </c>
      <c r="AC3293" t="s">
        <v>87</v>
      </c>
    </row>
    <row r="3294" spans="1:30" x14ac:dyDescent="0.35">
      <c r="A3294" s="4">
        <v>42598</v>
      </c>
      <c r="B3294" t="s">
        <v>30</v>
      </c>
      <c r="C3294">
        <v>304</v>
      </c>
      <c r="D3294">
        <v>1</v>
      </c>
      <c r="E3294">
        <v>2</v>
      </c>
      <c r="F3294" t="s">
        <v>315</v>
      </c>
      <c r="G3294" t="s">
        <v>32</v>
      </c>
      <c r="H3294" t="s">
        <v>33</v>
      </c>
      <c r="I3294" t="s">
        <v>43</v>
      </c>
      <c r="J3294" t="s">
        <v>44</v>
      </c>
      <c r="K3294" t="s">
        <v>113</v>
      </c>
      <c r="L3294" t="s">
        <v>37</v>
      </c>
      <c r="M3294">
        <v>0</v>
      </c>
      <c r="N3294">
        <v>0</v>
      </c>
      <c r="O3294" s="5" t="s">
        <v>412</v>
      </c>
      <c r="P3294" s="5" t="s">
        <v>413</v>
      </c>
      <c r="Q3294">
        <f>41-23</f>
        <v>18</v>
      </c>
      <c r="R3294" t="s">
        <v>64</v>
      </c>
      <c r="Z3294" t="s">
        <v>102</v>
      </c>
      <c r="AA3294" t="s">
        <v>201</v>
      </c>
      <c r="AB3294" t="s">
        <v>742</v>
      </c>
      <c r="AC3294" t="s">
        <v>87</v>
      </c>
      <c r="AD3294" t="s">
        <v>761</v>
      </c>
    </row>
    <row r="3295" spans="1:30" x14ac:dyDescent="0.35">
      <c r="A3295" s="4">
        <v>42598</v>
      </c>
      <c r="B3295" t="s">
        <v>30</v>
      </c>
      <c r="C3295">
        <v>203</v>
      </c>
      <c r="D3295">
        <v>10</v>
      </c>
      <c r="E3295">
        <v>2</v>
      </c>
      <c r="F3295" t="s">
        <v>315</v>
      </c>
      <c r="G3295" t="s">
        <v>32</v>
      </c>
      <c r="H3295" t="s">
        <v>33</v>
      </c>
      <c r="I3295" t="s">
        <v>43</v>
      </c>
      <c r="J3295" t="s">
        <v>44</v>
      </c>
      <c r="K3295" t="s">
        <v>113</v>
      </c>
      <c r="L3295" t="s">
        <v>45</v>
      </c>
      <c r="M3295">
        <v>0</v>
      </c>
      <c r="N3295">
        <v>0</v>
      </c>
      <c r="O3295" s="5" t="s">
        <v>252</v>
      </c>
      <c r="P3295" s="5" t="s">
        <v>762</v>
      </c>
      <c r="Q3295">
        <f>33-17</f>
        <v>16</v>
      </c>
      <c r="R3295" t="s">
        <v>46</v>
      </c>
      <c r="S3295" t="s">
        <v>39</v>
      </c>
      <c r="T3295">
        <v>18.5</v>
      </c>
      <c r="U3295">
        <v>88</v>
      </c>
      <c r="V3295">
        <v>16</v>
      </c>
      <c r="W3295">
        <v>13.1</v>
      </c>
      <c r="X3295">
        <v>28.7</v>
      </c>
      <c r="Z3295" t="s">
        <v>102</v>
      </c>
      <c r="AA3295" t="s">
        <v>201</v>
      </c>
      <c r="AB3295" t="s">
        <v>86</v>
      </c>
      <c r="AC3295" t="s">
        <v>87</v>
      </c>
    </row>
    <row r="3296" spans="1:30" x14ac:dyDescent="0.35">
      <c r="A3296" s="4">
        <v>42598</v>
      </c>
      <c r="B3296" t="s">
        <v>30</v>
      </c>
      <c r="C3296">
        <v>203</v>
      </c>
      <c r="D3296">
        <v>2</v>
      </c>
      <c r="E3296">
        <v>1</v>
      </c>
      <c r="F3296" t="s">
        <v>315</v>
      </c>
      <c r="G3296" t="s">
        <v>32</v>
      </c>
      <c r="H3296" t="s">
        <v>33</v>
      </c>
      <c r="I3296" t="s">
        <v>43</v>
      </c>
      <c r="J3296" t="s">
        <v>44</v>
      </c>
      <c r="K3296" t="s">
        <v>113</v>
      </c>
      <c r="L3296" t="s">
        <v>45</v>
      </c>
      <c r="M3296">
        <v>0</v>
      </c>
      <c r="N3296">
        <v>0</v>
      </c>
      <c r="O3296" s="5" t="s">
        <v>763</v>
      </c>
      <c r="P3296" s="5" t="s">
        <v>764</v>
      </c>
      <c r="Q3296">
        <v>15.75</v>
      </c>
      <c r="R3296" t="s">
        <v>46</v>
      </c>
      <c r="S3296" t="s">
        <v>39</v>
      </c>
      <c r="T3296">
        <v>18.75</v>
      </c>
      <c r="U3296">
        <v>88.5</v>
      </c>
      <c r="V3296">
        <v>15.5</v>
      </c>
      <c r="W3296">
        <v>13.15</v>
      </c>
      <c r="X3296">
        <v>27.45</v>
      </c>
      <c r="Z3296" t="s">
        <v>102</v>
      </c>
      <c r="AA3296" t="s">
        <v>201</v>
      </c>
      <c r="AB3296" t="s">
        <v>86</v>
      </c>
      <c r="AC3296" t="s">
        <v>87</v>
      </c>
    </row>
    <row r="3297" spans="1:30" x14ac:dyDescent="0.35">
      <c r="A3297" s="4">
        <v>42598</v>
      </c>
      <c r="B3297" t="s">
        <v>30</v>
      </c>
      <c r="C3297">
        <v>203</v>
      </c>
      <c r="D3297">
        <v>2</v>
      </c>
      <c r="E3297">
        <v>2</v>
      </c>
      <c r="F3297" t="s">
        <v>315</v>
      </c>
      <c r="G3297" t="s">
        <v>32</v>
      </c>
      <c r="H3297" t="s">
        <v>33</v>
      </c>
      <c r="I3297" t="s">
        <v>43</v>
      </c>
      <c r="J3297" t="s">
        <v>44</v>
      </c>
      <c r="K3297" t="s">
        <v>113</v>
      </c>
      <c r="L3297" t="s">
        <v>45</v>
      </c>
      <c r="M3297">
        <v>0</v>
      </c>
      <c r="N3297">
        <v>0</v>
      </c>
      <c r="O3297" s="5" t="s">
        <v>765</v>
      </c>
      <c r="P3297" s="5" t="s">
        <v>766</v>
      </c>
      <c r="Q3297">
        <f>31.5-15.5</f>
        <v>16</v>
      </c>
      <c r="R3297" t="s">
        <v>46</v>
      </c>
      <c r="S3297" t="s">
        <v>39</v>
      </c>
      <c r="T3297">
        <v>18</v>
      </c>
      <c r="U3297">
        <v>87</v>
      </c>
      <c r="V3297">
        <v>16</v>
      </c>
      <c r="W3297">
        <v>13.1</v>
      </c>
      <c r="X3297">
        <v>27.4</v>
      </c>
      <c r="Z3297" t="s">
        <v>102</v>
      </c>
      <c r="AA3297" t="s">
        <v>201</v>
      </c>
      <c r="AB3297" t="s">
        <v>86</v>
      </c>
      <c r="AC3297" t="s">
        <v>87</v>
      </c>
    </row>
    <row r="3298" spans="1:30" x14ac:dyDescent="0.35">
      <c r="A3298" s="4">
        <v>42598</v>
      </c>
      <c r="B3298" t="s">
        <v>30</v>
      </c>
      <c r="C3298">
        <v>201</v>
      </c>
      <c r="D3298">
        <v>6</v>
      </c>
      <c r="E3298">
        <v>2</v>
      </c>
      <c r="F3298" t="s">
        <v>315</v>
      </c>
      <c r="G3298" t="s">
        <v>32</v>
      </c>
      <c r="H3298" t="s">
        <v>33</v>
      </c>
      <c r="I3298" t="s">
        <v>43</v>
      </c>
      <c r="J3298" t="s">
        <v>44</v>
      </c>
      <c r="K3298" t="s">
        <v>113</v>
      </c>
      <c r="L3298" t="s">
        <v>37</v>
      </c>
      <c r="M3298">
        <v>0</v>
      </c>
      <c r="N3298">
        <v>0</v>
      </c>
      <c r="O3298" s="5" t="s">
        <v>767</v>
      </c>
      <c r="P3298" s="5" t="s">
        <v>768</v>
      </c>
      <c r="Q3298">
        <f>33-17.5</f>
        <v>15.5</v>
      </c>
      <c r="R3298" t="s">
        <v>38</v>
      </c>
      <c r="T3298">
        <v>19</v>
      </c>
      <c r="U3298">
        <v>86</v>
      </c>
      <c r="V3298">
        <v>14</v>
      </c>
      <c r="W3298">
        <v>13.1</v>
      </c>
      <c r="X3298">
        <v>27.8</v>
      </c>
      <c r="Z3298" t="s">
        <v>102</v>
      </c>
      <c r="AA3298" t="s">
        <v>201</v>
      </c>
      <c r="AB3298" t="s">
        <v>86</v>
      </c>
      <c r="AC3298" t="s">
        <v>87</v>
      </c>
    </row>
    <row r="3299" spans="1:30" x14ac:dyDescent="0.35">
      <c r="A3299" s="4">
        <v>42598</v>
      </c>
      <c r="B3299" t="s">
        <v>30</v>
      </c>
      <c r="C3299">
        <v>201</v>
      </c>
      <c r="D3299">
        <v>4</v>
      </c>
      <c r="E3299">
        <v>2</v>
      </c>
      <c r="F3299" t="s">
        <v>315</v>
      </c>
      <c r="G3299" t="s">
        <v>32</v>
      </c>
      <c r="H3299" t="s">
        <v>33</v>
      </c>
      <c r="I3299" t="s">
        <v>43</v>
      </c>
      <c r="J3299" t="s">
        <v>44</v>
      </c>
      <c r="K3299" t="s">
        <v>113</v>
      </c>
      <c r="L3299" t="s">
        <v>37</v>
      </c>
      <c r="M3299">
        <v>0</v>
      </c>
      <c r="N3299">
        <v>0</v>
      </c>
      <c r="O3299" s="5" t="s">
        <v>769</v>
      </c>
      <c r="P3299" s="5" t="s">
        <v>770</v>
      </c>
      <c r="Q3299">
        <f>32-14</f>
        <v>18</v>
      </c>
      <c r="R3299" t="s">
        <v>38</v>
      </c>
      <c r="T3299">
        <v>18</v>
      </c>
      <c r="U3299">
        <v>81</v>
      </c>
      <c r="V3299">
        <v>14</v>
      </c>
      <c r="W3299">
        <v>13</v>
      </c>
      <c r="X3299">
        <v>27.2</v>
      </c>
      <c r="Y3299" t="s">
        <v>771</v>
      </c>
      <c r="Z3299" t="s">
        <v>102</v>
      </c>
      <c r="AA3299" t="s">
        <v>201</v>
      </c>
      <c r="AB3299" t="s">
        <v>772</v>
      </c>
      <c r="AC3299" t="s">
        <v>87</v>
      </c>
      <c r="AD3299" t="s">
        <v>773</v>
      </c>
    </row>
    <row r="3300" spans="1:30" x14ac:dyDescent="0.35">
      <c r="A3300" s="4">
        <v>42598</v>
      </c>
      <c r="B3300" t="s">
        <v>30</v>
      </c>
      <c r="C3300">
        <v>113</v>
      </c>
      <c r="D3300">
        <v>3</v>
      </c>
      <c r="E3300">
        <v>1</v>
      </c>
      <c r="F3300" t="s">
        <v>42</v>
      </c>
      <c r="G3300" t="s">
        <v>32</v>
      </c>
      <c r="H3300" t="s">
        <v>33</v>
      </c>
      <c r="I3300" t="s">
        <v>43</v>
      </c>
      <c r="J3300" t="s">
        <v>44</v>
      </c>
      <c r="K3300" t="s">
        <v>113</v>
      </c>
      <c r="L3300" t="s">
        <v>45</v>
      </c>
      <c r="M3300">
        <v>0</v>
      </c>
      <c r="N3300">
        <v>0</v>
      </c>
      <c r="O3300" s="5" t="s">
        <v>506</v>
      </c>
      <c r="P3300" s="5" t="s">
        <v>507</v>
      </c>
      <c r="Q3300">
        <f>29-14</f>
        <v>15</v>
      </c>
      <c r="R3300" t="s">
        <v>46</v>
      </c>
      <c r="S3300" t="s">
        <v>39</v>
      </c>
      <c r="T3300">
        <v>19</v>
      </c>
      <c r="V3300">
        <v>17</v>
      </c>
      <c r="W3300">
        <v>12.8</v>
      </c>
      <c r="X3300">
        <v>26</v>
      </c>
      <c r="AB3300" t="s">
        <v>743</v>
      </c>
      <c r="AC3300" t="s">
        <v>87</v>
      </c>
    </row>
    <row r="3301" spans="1:30" x14ac:dyDescent="0.35">
      <c r="A3301" s="4">
        <v>42598</v>
      </c>
      <c r="B3301" t="s">
        <v>30</v>
      </c>
      <c r="C3301">
        <v>113</v>
      </c>
      <c r="D3301">
        <v>10</v>
      </c>
      <c r="E3301">
        <v>2</v>
      </c>
      <c r="F3301" t="s">
        <v>42</v>
      </c>
      <c r="G3301" t="s">
        <v>32</v>
      </c>
      <c r="H3301" t="s">
        <v>33</v>
      </c>
      <c r="I3301" t="s">
        <v>43</v>
      </c>
      <c r="J3301" t="s">
        <v>44</v>
      </c>
      <c r="K3301" t="s">
        <v>113</v>
      </c>
      <c r="L3301" t="s">
        <v>45</v>
      </c>
      <c r="M3301">
        <v>0</v>
      </c>
      <c r="N3301">
        <v>0</v>
      </c>
      <c r="O3301" s="5" t="s">
        <v>417</v>
      </c>
      <c r="P3301" s="5" t="s">
        <v>418</v>
      </c>
      <c r="Q3301">
        <f>28-13.5</f>
        <v>14.5</v>
      </c>
      <c r="R3301" t="s">
        <v>64</v>
      </c>
      <c r="T3301">
        <v>18.5</v>
      </c>
      <c r="V3301">
        <v>17</v>
      </c>
      <c r="W3301">
        <v>12.5</v>
      </c>
      <c r="X3301">
        <v>25</v>
      </c>
      <c r="AB3301" t="s">
        <v>742</v>
      </c>
      <c r="AC3301" t="s">
        <v>87</v>
      </c>
    </row>
    <row r="3302" spans="1:30" x14ac:dyDescent="0.35">
      <c r="A3302" s="4">
        <v>42598</v>
      </c>
      <c r="B3302" t="s">
        <v>30</v>
      </c>
      <c r="C3302">
        <v>201</v>
      </c>
      <c r="D3302">
        <v>4</v>
      </c>
      <c r="E3302">
        <v>1</v>
      </c>
      <c r="F3302" t="s">
        <v>315</v>
      </c>
      <c r="G3302" t="s">
        <v>32</v>
      </c>
      <c r="H3302" t="s">
        <v>33</v>
      </c>
      <c r="I3302" t="s">
        <v>43</v>
      </c>
      <c r="J3302" t="s">
        <v>44</v>
      </c>
      <c r="K3302" t="s">
        <v>113</v>
      </c>
      <c r="L3302" t="s">
        <v>37</v>
      </c>
      <c r="M3302">
        <v>0</v>
      </c>
      <c r="N3302">
        <v>0</v>
      </c>
      <c r="O3302" s="5" t="s">
        <v>774</v>
      </c>
      <c r="P3302" s="5" t="s">
        <v>775</v>
      </c>
      <c r="Q3302">
        <f>28.5-14</f>
        <v>14.5</v>
      </c>
      <c r="R3302" t="s">
        <v>64</v>
      </c>
      <c r="T3302">
        <v>18</v>
      </c>
      <c r="U3302">
        <v>82</v>
      </c>
      <c r="V3302">
        <v>17</v>
      </c>
      <c r="W3302">
        <v>13</v>
      </c>
      <c r="X3302">
        <v>26</v>
      </c>
      <c r="Z3302" t="s">
        <v>102</v>
      </c>
      <c r="AA3302" t="s">
        <v>201</v>
      </c>
      <c r="AB3302" t="s">
        <v>86</v>
      </c>
      <c r="AC3302" t="s">
        <v>87</v>
      </c>
    </row>
    <row r="3303" spans="1:30" x14ac:dyDescent="0.35">
      <c r="A3303" s="4">
        <v>42598</v>
      </c>
      <c r="B3303" t="s">
        <v>30</v>
      </c>
      <c r="C3303">
        <v>201</v>
      </c>
      <c r="D3303">
        <v>10</v>
      </c>
      <c r="E3303">
        <v>2</v>
      </c>
      <c r="F3303" t="s">
        <v>315</v>
      </c>
      <c r="G3303" t="s">
        <v>32</v>
      </c>
      <c r="H3303" t="s">
        <v>33</v>
      </c>
      <c r="I3303" t="s">
        <v>43</v>
      </c>
      <c r="J3303" t="s">
        <v>48</v>
      </c>
      <c r="K3303" t="s">
        <v>88</v>
      </c>
      <c r="L3303" t="s">
        <v>45</v>
      </c>
      <c r="M3303">
        <v>1</v>
      </c>
      <c r="N3303">
        <v>0</v>
      </c>
      <c r="O3303" s="5" t="s">
        <v>333</v>
      </c>
      <c r="P3303" s="5" t="s">
        <v>776</v>
      </c>
      <c r="Q3303">
        <f>29.5-16</f>
        <v>13.5</v>
      </c>
      <c r="R3303" t="s">
        <v>46</v>
      </c>
      <c r="S3303" t="s">
        <v>39</v>
      </c>
      <c r="T3303">
        <v>17.5</v>
      </c>
      <c r="U3303">
        <v>75</v>
      </c>
      <c r="V3303">
        <v>16</v>
      </c>
      <c r="W3303">
        <v>12.9</v>
      </c>
      <c r="X3303">
        <v>26.1</v>
      </c>
      <c r="Z3303" t="s">
        <v>102</v>
      </c>
      <c r="AA3303" t="s">
        <v>201</v>
      </c>
      <c r="AB3303" t="s">
        <v>86</v>
      </c>
      <c r="AC3303" t="s">
        <v>87</v>
      </c>
      <c r="AD3303" t="s">
        <v>777</v>
      </c>
    </row>
    <row r="3304" spans="1:30" x14ac:dyDescent="0.35">
      <c r="A3304" s="4">
        <v>42598</v>
      </c>
      <c r="B3304" t="s">
        <v>30</v>
      </c>
      <c r="C3304">
        <v>202</v>
      </c>
      <c r="D3304">
        <v>2</v>
      </c>
      <c r="E3304">
        <v>1</v>
      </c>
      <c r="F3304" t="s">
        <v>315</v>
      </c>
      <c r="G3304" t="s">
        <v>32</v>
      </c>
      <c r="H3304" t="s">
        <v>33</v>
      </c>
      <c r="I3304" t="s">
        <v>43</v>
      </c>
      <c r="J3304" t="s">
        <v>44</v>
      </c>
      <c r="K3304" t="s">
        <v>113</v>
      </c>
      <c r="L3304" t="s">
        <v>37</v>
      </c>
      <c r="M3304">
        <v>0</v>
      </c>
      <c r="N3304">
        <v>0</v>
      </c>
      <c r="O3304" s="5" t="s">
        <v>778</v>
      </c>
      <c r="P3304" s="5" t="s">
        <v>779</v>
      </c>
      <c r="Q3304">
        <f>37-19</f>
        <v>18</v>
      </c>
      <c r="R3304" t="s">
        <v>64</v>
      </c>
      <c r="T3304">
        <v>19</v>
      </c>
      <c r="U3304">
        <v>87</v>
      </c>
      <c r="V3304">
        <v>16</v>
      </c>
      <c r="W3304">
        <v>12.9</v>
      </c>
      <c r="X3304">
        <v>27.5</v>
      </c>
      <c r="Z3304" t="s">
        <v>102</v>
      </c>
      <c r="AB3304" t="s">
        <v>86</v>
      </c>
      <c r="AC3304" t="s">
        <v>87</v>
      </c>
    </row>
    <row r="3305" spans="1:30" x14ac:dyDescent="0.35">
      <c r="A3305" s="4">
        <v>42598</v>
      </c>
      <c r="B3305" t="s">
        <v>30</v>
      </c>
      <c r="C3305">
        <v>111</v>
      </c>
      <c r="D3305">
        <v>9</v>
      </c>
      <c r="E3305">
        <v>1</v>
      </c>
      <c r="F3305" t="s">
        <v>42</v>
      </c>
      <c r="G3305" t="s">
        <v>32</v>
      </c>
      <c r="H3305" t="s">
        <v>33</v>
      </c>
      <c r="I3305" t="s">
        <v>43</v>
      </c>
      <c r="J3305" t="s">
        <v>44</v>
      </c>
      <c r="K3305" t="s">
        <v>88</v>
      </c>
      <c r="L3305" t="s">
        <v>37</v>
      </c>
      <c r="M3305">
        <v>0</v>
      </c>
      <c r="N3305">
        <v>0</v>
      </c>
      <c r="O3305" s="5" t="s">
        <v>471</v>
      </c>
      <c r="P3305" s="5" t="s">
        <v>472</v>
      </c>
      <c r="Q3305">
        <f>28.5-13</f>
        <v>15.5</v>
      </c>
      <c r="R3305" t="s">
        <v>64</v>
      </c>
      <c r="T3305">
        <v>20</v>
      </c>
      <c r="V3305">
        <v>16</v>
      </c>
      <c r="W3305">
        <v>13</v>
      </c>
      <c r="X3305">
        <v>28</v>
      </c>
      <c r="Z3305" t="s">
        <v>102</v>
      </c>
      <c r="AB3305" t="s">
        <v>742</v>
      </c>
      <c r="AC3305" t="s">
        <v>87</v>
      </c>
    </row>
    <row r="3306" spans="1:30" x14ac:dyDescent="0.35">
      <c r="A3306" s="4">
        <v>42598</v>
      </c>
      <c r="B3306" t="s">
        <v>30</v>
      </c>
      <c r="C3306">
        <v>113</v>
      </c>
      <c r="D3306">
        <v>5</v>
      </c>
      <c r="E3306">
        <v>1</v>
      </c>
      <c r="F3306" t="s">
        <v>42</v>
      </c>
      <c r="G3306" t="s">
        <v>32</v>
      </c>
      <c r="H3306" t="s">
        <v>33</v>
      </c>
      <c r="I3306" t="s">
        <v>780</v>
      </c>
      <c r="J3306" t="s">
        <v>35</v>
      </c>
      <c r="K3306" t="s">
        <v>113</v>
      </c>
      <c r="L3306" t="s">
        <v>45</v>
      </c>
      <c r="M3306">
        <v>0</v>
      </c>
      <c r="N3306">
        <v>1</v>
      </c>
      <c r="O3306" s="5" t="s">
        <v>781</v>
      </c>
      <c r="P3306" s="5"/>
      <c r="Q3306">
        <f>30-13</f>
        <v>17</v>
      </c>
      <c r="R3306" t="s">
        <v>46</v>
      </c>
      <c r="S3306" t="s">
        <v>39</v>
      </c>
      <c r="T3306">
        <v>17</v>
      </c>
      <c r="W3306">
        <v>14.6</v>
      </c>
      <c r="X3306">
        <v>26.4</v>
      </c>
      <c r="Z3306" t="s">
        <v>102</v>
      </c>
      <c r="AB3306" t="s">
        <v>742</v>
      </c>
      <c r="AC3306" t="s">
        <v>87</v>
      </c>
    </row>
    <row r="3307" spans="1:30" x14ac:dyDescent="0.35">
      <c r="A3307" s="4">
        <v>42598</v>
      </c>
      <c r="B3307" t="s">
        <v>30</v>
      </c>
      <c r="C3307">
        <v>202</v>
      </c>
      <c r="D3307">
        <v>9</v>
      </c>
      <c r="E3307">
        <v>1</v>
      </c>
      <c r="F3307" t="s">
        <v>315</v>
      </c>
      <c r="G3307" t="s">
        <v>32</v>
      </c>
      <c r="H3307" t="s">
        <v>33</v>
      </c>
      <c r="I3307" t="s">
        <v>58</v>
      </c>
      <c r="J3307" t="s">
        <v>35</v>
      </c>
      <c r="K3307" t="s">
        <v>113</v>
      </c>
      <c r="L3307" t="s">
        <v>37</v>
      </c>
      <c r="M3307">
        <v>0</v>
      </c>
      <c r="N3307">
        <v>1</v>
      </c>
      <c r="O3307" s="5" t="s">
        <v>782</v>
      </c>
      <c r="P3307" s="5"/>
      <c r="Q3307">
        <f>28-13</f>
        <v>15</v>
      </c>
      <c r="R3307" t="s">
        <v>64</v>
      </c>
      <c r="T3307">
        <v>18</v>
      </c>
      <c r="W3307">
        <v>12.8</v>
      </c>
      <c r="X3307">
        <v>26.3</v>
      </c>
      <c r="Z3307" t="s">
        <v>102</v>
      </c>
      <c r="AA3307" t="s">
        <v>201</v>
      </c>
      <c r="AB3307" t="s">
        <v>86</v>
      </c>
      <c r="AC3307" t="s">
        <v>87</v>
      </c>
    </row>
    <row r="3308" spans="1:30" x14ac:dyDescent="0.35">
      <c r="A3308" s="4">
        <v>42598</v>
      </c>
      <c r="B3308" t="s">
        <v>30</v>
      </c>
      <c r="C3308">
        <v>304</v>
      </c>
      <c r="D3308">
        <v>5</v>
      </c>
      <c r="E3308">
        <v>2</v>
      </c>
      <c r="F3308" t="s">
        <v>315</v>
      </c>
      <c r="G3308" t="s">
        <v>32</v>
      </c>
      <c r="H3308" t="s">
        <v>33</v>
      </c>
      <c r="I3308" t="s">
        <v>58</v>
      </c>
      <c r="J3308" t="s">
        <v>35</v>
      </c>
      <c r="K3308" t="s">
        <v>36</v>
      </c>
      <c r="L3308" t="s">
        <v>37</v>
      </c>
      <c r="M3308">
        <v>0</v>
      </c>
      <c r="N3308">
        <v>1</v>
      </c>
      <c r="O3308" s="5" t="s">
        <v>783</v>
      </c>
      <c r="P3308" s="5"/>
      <c r="Q3308">
        <f>34-15.5</f>
        <v>18.5</v>
      </c>
      <c r="R3308" t="s">
        <v>38</v>
      </c>
      <c r="Z3308" t="s">
        <v>102</v>
      </c>
      <c r="AA3308" t="s">
        <v>201</v>
      </c>
      <c r="AB3308" t="s">
        <v>742</v>
      </c>
      <c r="AC3308" t="s">
        <v>87</v>
      </c>
      <c r="AD3308" t="s">
        <v>761</v>
      </c>
    </row>
    <row r="3309" spans="1:30" x14ac:dyDescent="0.35">
      <c r="A3309" s="4">
        <v>42598</v>
      </c>
      <c r="B3309" t="s">
        <v>30</v>
      </c>
      <c r="C3309">
        <v>304</v>
      </c>
      <c r="D3309">
        <v>6</v>
      </c>
      <c r="E3309">
        <v>1</v>
      </c>
      <c r="F3309" t="s">
        <v>315</v>
      </c>
      <c r="G3309" t="s">
        <v>32</v>
      </c>
      <c r="H3309" t="s">
        <v>33</v>
      </c>
      <c r="I3309" t="s">
        <v>58</v>
      </c>
      <c r="J3309" t="s">
        <v>44</v>
      </c>
      <c r="K3309" t="s">
        <v>36</v>
      </c>
      <c r="L3309" t="s">
        <v>45</v>
      </c>
      <c r="M3309">
        <v>0</v>
      </c>
      <c r="N3309">
        <v>0</v>
      </c>
      <c r="O3309" s="5" t="s">
        <v>340</v>
      </c>
      <c r="P3309" s="5"/>
      <c r="Q3309">
        <f>46-21</f>
        <v>25</v>
      </c>
      <c r="R3309" t="s">
        <v>143</v>
      </c>
      <c r="S3309" t="s">
        <v>102</v>
      </c>
      <c r="T3309">
        <v>18</v>
      </c>
      <c r="W3309">
        <v>13</v>
      </c>
      <c r="X3309">
        <v>28.2</v>
      </c>
      <c r="Z3309" t="s">
        <v>102</v>
      </c>
      <c r="AA3309" t="s">
        <v>201</v>
      </c>
      <c r="AB3309" t="s">
        <v>86</v>
      </c>
      <c r="AC3309" t="s">
        <v>87</v>
      </c>
      <c r="AD3309" t="s">
        <v>784</v>
      </c>
    </row>
    <row r="3310" spans="1:30" x14ac:dyDescent="0.35">
      <c r="A3310" s="4">
        <v>42598</v>
      </c>
      <c r="B3310" t="s">
        <v>30</v>
      </c>
      <c r="C3310">
        <v>402</v>
      </c>
      <c r="D3310">
        <v>9</v>
      </c>
      <c r="E3310">
        <v>2</v>
      </c>
      <c r="F3310" t="s">
        <v>42</v>
      </c>
      <c r="G3310" t="s">
        <v>32</v>
      </c>
      <c r="H3310" t="s">
        <v>33</v>
      </c>
      <c r="I3310" t="s">
        <v>58</v>
      </c>
      <c r="J3310" t="s">
        <v>44</v>
      </c>
      <c r="K3310" t="s">
        <v>36</v>
      </c>
      <c r="L3310" t="s">
        <v>45</v>
      </c>
      <c r="M3310">
        <v>0</v>
      </c>
      <c r="N3310">
        <v>0</v>
      </c>
      <c r="O3310" s="5" t="s">
        <v>342</v>
      </c>
      <c r="P3310" s="5"/>
      <c r="Q3310">
        <f>45-18</f>
        <v>27</v>
      </c>
      <c r="R3310" t="s">
        <v>145</v>
      </c>
      <c r="S3310" t="s">
        <v>102</v>
      </c>
      <c r="T3310">
        <v>16</v>
      </c>
      <c r="W3310">
        <v>13</v>
      </c>
      <c r="X3310">
        <v>29.3</v>
      </c>
      <c r="Z3310" t="s">
        <v>102</v>
      </c>
      <c r="AB3310" t="s">
        <v>742</v>
      </c>
      <c r="AC3310" t="s">
        <v>87</v>
      </c>
      <c r="AD3310" t="s">
        <v>785</v>
      </c>
    </row>
    <row r="3311" spans="1:30" x14ac:dyDescent="0.35">
      <c r="A3311" s="4">
        <v>42598</v>
      </c>
      <c r="B3311" t="s">
        <v>30</v>
      </c>
      <c r="C3311">
        <v>402</v>
      </c>
      <c r="D3311">
        <v>1</v>
      </c>
      <c r="E3311">
        <v>1</v>
      </c>
      <c r="F3311" t="s">
        <v>42</v>
      </c>
      <c r="G3311" t="s">
        <v>32</v>
      </c>
      <c r="H3311" t="s">
        <v>33</v>
      </c>
      <c r="I3311" t="s">
        <v>58</v>
      </c>
      <c r="J3311" t="s">
        <v>35</v>
      </c>
      <c r="K3311" t="s">
        <v>88</v>
      </c>
      <c r="L3311" t="s">
        <v>37</v>
      </c>
      <c r="M3311">
        <v>0</v>
      </c>
      <c r="N3311">
        <v>1</v>
      </c>
      <c r="O3311" s="5" t="s">
        <v>786</v>
      </c>
      <c r="P3311" s="5"/>
      <c r="Q3311">
        <f>32.5-15</f>
        <v>17.5</v>
      </c>
      <c r="R3311" t="s">
        <v>64</v>
      </c>
      <c r="T3311">
        <v>17</v>
      </c>
      <c r="W3311">
        <v>13.05</v>
      </c>
      <c r="X3311">
        <v>25.4</v>
      </c>
      <c r="Y3311" t="s">
        <v>787</v>
      </c>
      <c r="Z3311" t="s">
        <v>102</v>
      </c>
      <c r="AB3311" t="s">
        <v>742</v>
      </c>
      <c r="AC3311" t="s">
        <v>87</v>
      </c>
    </row>
    <row r="3312" spans="1:30" x14ac:dyDescent="0.35">
      <c r="A3312" s="4">
        <v>42598</v>
      </c>
      <c r="B3312" t="s">
        <v>30</v>
      </c>
      <c r="C3312">
        <v>402</v>
      </c>
      <c r="D3312">
        <v>2</v>
      </c>
      <c r="E3312">
        <v>2</v>
      </c>
      <c r="F3312" t="s">
        <v>42</v>
      </c>
      <c r="G3312" t="s">
        <v>32</v>
      </c>
      <c r="H3312" t="s">
        <v>33</v>
      </c>
      <c r="I3312" t="s">
        <v>58</v>
      </c>
      <c r="J3312" t="s">
        <v>35</v>
      </c>
      <c r="K3312" t="s">
        <v>36</v>
      </c>
      <c r="L3312" t="s">
        <v>45</v>
      </c>
      <c r="M3312">
        <v>0</v>
      </c>
      <c r="N3312">
        <v>1</v>
      </c>
      <c r="O3312" s="5" t="s">
        <v>788</v>
      </c>
      <c r="P3312" s="5"/>
      <c r="Q3312">
        <f>47-21.5</f>
        <v>25.5</v>
      </c>
      <c r="R3312" t="s">
        <v>74</v>
      </c>
      <c r="S3312" t="s">
        <v>102</v>
      </c>
      <c r="T3312">
        <v>17</v>
      </c>
      <c r="W3312">
        <v>13.75</v>
      </c>
      <c r="X3312">
        <v>29</v>
      </c>
      <c r="Z3312" t="s">
        <v>102</v>
      </c>
      <c r="AB3312" t="s">
        <v>742</v>
      </c>
      <c r="AC3312" t="s">
        <v>87</v>
      </c>
    </row>
    <row r="3313" spans="1:30" x14ac:dyDescent="0.35">
      <c r="A3313" s="4">
        <v>42598</v>
      </c>
      <c r="B3313" t="s">
        <v>30</v>
      </c>
      <c r="C3313">
        <v>402</v>
      </c>
      <c r="D3313">
        <v>7</v>
      </c>
      <c r="E3313">
        <v>2</v>
      </c>
      <c r="F3313" t="s">
        <v>42</v>
      </c>
      <c r="G3313" t="s">
        <v>32</v>
      </c>
      <c r="H3313" t="s">
        <v>33</v>
      </c>
      <c r="I3313" t="s">
        <v>58</v>
      </c>
      <c r="J3313" t="s">
        <v>35</v>
      </c>
      <c r="K3313" t="s">
        <v>88</v>
      </c>
      <c r="L3313" t="s">
        <v>37</v>
      </c>
      <c r="M3313">
        <v>0</v>
      </c>
      <c r="N3313">
        <v>1</v>
      </c>
      <c r="O3313" s="5" t="s">
        <v>789</v>
      </c>
      <c r="P3313" s="5"/>
      <c r="Q3313">
        <f>35-18</f>
        <v>17</v>
      </c>
      <c r="R3313" t="s">
        <v>64</v>
      </c>
      <c r="T3313">
        <v>17.5</v>
      </c>
      <c r="W3313">
        <v>12.5</v>
      </c>
      <c r="X3313">
        <v>25.8</v>
      </c>
      <c r="Z3313" t="s">
        <v>102</v>
      </c>
      <c r="AB3313" t="s">
        <v>742</v>
      </c>
      <c r="AC3313" t="s">
        <v>87</v>
      </c>
      <c r="AD3313" t="s">
        <v>127</v>
      </c>
    </row>
    <row r="3314" spans="1:30" x14ac:dyDescent="0.35">
      <c r="A3314" s="4">
        <v>42598</v>
      </c>
      <c r="B3314" t="s">
        <v>30</v>
      </c>
      <c r="C3314">
        <v>203</v>
      </c>
      <c r="D3314">
        <v>5</v>
      </c>
      <c r="E3314">
        <v>1</v>
      </c>
      <c r="F3314" t="s">
        <v>315</v>
      </c>
      <c r="G3314" t="s">
        <v>32</v>
      </c>
      <c r="H3314" t="s">
        <v>33</v>
      </c>
      <c r="I3314" t="s">
        <v>58</v>
      </c>
      <c r="J3314" t="s">
        <v>35</v>
      </c>
      <c r="K3314" t="s">
        <v>88</v>
      </c>
      <c r="L3314" t="s">
        <v>45</v>
      </c>
      <c r="M3314">
        <v>0</v>
      </c>
      <c r="N3314">
        <v>1</v>
      </c>
      <c r="O3314" s="5" t="s">
        <v>790</v>
      </c>
      <c r="P3314" s="5"/>
      <c r="Q3314">
        <f>27.5-13</f>
        <v>14.5</v>
      </c>
      <c r="R3314" t="s">
        <v>46</v>
      </c>
      <c r="S3314" t="s">
        <v>39</v>
      </c>
      <c r="Z3314" t="s">
        <v>102</v>
      </c>
      <c r="AA3314" t="s">
        <v>201</v>
      </c>
      <c r="AB3314" t="s">
        <v>86</v>
      </c>
      <c r="AC3314" t="s">
        <v>87</v>
      </c>
      <c r="AD3314" t="s">
        <v>791</v>
      </c>
    </row>
    <row r="3315" spans="1:30" x14ac:dyDescent="0.35">
      <c r="A3315" s="4">
        <v>42598</v>
      </c>
      <c r="B3315" t="s">
        <v>30</v>
      </c>
      <c r="C3315">
        <v>402</v>
      </c>
      <c r="D3315">
        <v>2</v>
      </c>
      <c r="E3315">
        <v>1</v>
      </c>
      <c r="F3315" t="s">
        <v>42</v>
      </c>
      <c r="G3315" t="s">
        <v>32</v>
      </c>
      <c r="H3315" t="s">
        <v>33</v>
      </c>
      <c r="I3315" t="s">
        <v>58</v>
      </c>
      <c r="J3315" t="s">
        <v>44</v>
      </c>
      <c r="K3315" t="s">
        <v>36</v>
      </c>
      <c r="L3315" t="s">
        <v>37</v>
      </c>
      <c r="M3315">
        <v>0</v>
      </c>
      <c r="N3315">
        <v>0</v>
      </c>
      <c r="O3315" s="5" t="s">
        <v>792</v>
      </c>
      <c r="P3315" s="5"/>
      <c r="Q3315">
        <f>42-15.5</f>
        <v>26.5</v>
      </c>
      <c r="R3315" t="s">
        <v>38</v>
      </c>
      <c r="T3315">
        <v>15.5</v>
      </c>
      <c r="W3315">
        <v>13.4</v>
      </c>
      <c r="X3315">
        <v>25.8</v>
      </c>
      <c r="Z3315" t="s">
        <v>102</v>
      </c>
      <c r="AA3315" t="s">
        <v>793</v>
      </c>
      <c r="AB3315" t="s">
        <v>742</v>
      </c>
      <c r="AC3315" t="s">
        <v>87</v>
      </c>
    </row>
    <row r="3316" spans="1:30" x14ac:dyDescent="0.35">
      <c r="A3316" s="4">
        <v>42598</v>
      </c>
      <c r="B3316" t="s">
        <v>30</v>
      </c>
      <c r="C3316">
        <v>201</v>
      </c>
      <c r="D3316">
        <v>7</v>
      </c>
      <c r="E3316">
        <v>2</v>
      </c>
      <c r="F3316" t="s">
        <v>315</v>
      </c>
      <c r="G3316" t="s">
        <v>32</v>
      </c>
      <c r="H3316" t="s">
        <v>33</v>
      </c>
      <c r="I3316" t="s">
        <v>58</v>
      </c>
      <c r="J3316" t="s">
        <v>35</v>
      </c>
      <c r="K3316" t="s">
        <v>36</v>
      </c>
      <c r="L3316" t="s">
        <v>45</v>
      </c>
      <c r="M3316">
        <v>0</v>
      </c>
      <c r="N3316">
        <v>1</v>
      </c>
      <c r="O3316" s="5" t="s">
        <v>794</v>
      </c>
      <c r="P3316" s="5"/>
      <c r="Q3316">
        <f>38-14</f>
        <v>24</v>
      </c>
      <c r="R3316" t="s">
        <v>143</v>
      </c>
      <c r="S3316" t="s">
        <v>102</v>
      </c>
      <c r="T3316">
        <v>17</v>
      </c>
      <c r="W3316">
        <v>13.2</v>
      </c>
      <c r="X3316">
        <v>28.2</v>
      </c>
      <c r="Z3316" t="s">
        <v>102</v>
      </c>
      <c r="AA3316" t="s">
        <v>201</v>
      </c>
      <c r="AB3316" t="s">
        <v>86</v>
      </c>
      <c r="AC3316" t="s">
        <v>87</v>
      </c>
      <c r="AD3316" t="s">
        <v>795</v>
      </c>
    </row>
    <row r="3317" spans="1:30" x14ac:dyDescent="0.35">
      <c r="A3317" s="4">
        <v>42598</v>
      </c>
      <c r="B3317" t="s">
        <v>30</v>
      </c>
      <c r="C3317">
        <v>201</v>
      </c>
      <c r="D3317">
        <v>3</v>
      </c>
      <c r="E3317">
        <v>2</v>
      </c>
      <c r="F3317" t="s">
        <v>315</v>
      </c>
      <c r="G3317" t="s">
        <v>32</v>
      </c>
      <c r="H3317" t="s">
        <v>33</v>
      </c>
      <c r="I3317" t="s">
        <v>58</v>
      </c>
      <c r="J3317" t="s">
        <v>44</v>
      </c>
      <c r="K3317" t="s">
        <v>36</v>
      </c>
      <c r="L3317" t="s">
        <v>45</v>
      </c>
      <c r="M3317">
        <v>0</v>
      </c>
      <c r="N3317">
        <v>0</v>
      </c>
      <c r="O3317" s="5" t="s">
        <v>796</v>
      </c>
      <c r="P3317" s="5"/>
      <c r="Q3317">
        <f>41-13</f>
        <v>28</v>
      </c>
      <c r="R3317" t="s">
        <v>143</v>
      </c>
      <c r="S3317" t="s">
        <v>102</v>
      </c>
      <c r="T3317">
        <v>18</v>
      </c>
      <c r="W3317">
        <v>13.2</v>
      </c>
      <c r="X3317">
        <v>26.3</v>
      </c>
      <c r="Z3317" t="s">
        <v>102</v>
      </c>
      <c r="AA3317" t="s">
        <v>201</v>
      </c>
      <c r="AB3317" t="s">
        <v>86</v>
      </c>
      <c r="AC3317" t="s">
        <v>87</v>
      </c>
    </row>
    <row r="3318" spans="1:30" x14ac:dyDescent="0.35">
      <c r="A3318" s="4">
        <v>42598</v>
      </c>
      <c r="B3318" t="s">
        <v>30</v>
      </c>
      <c r="C3318">
        <v>203</v>
      </c>
      <c r="D3318">
        <v>6</v>
      </c>
      <c r="E3318">
        <v>2</v>
      </c>
      <c r="F3318" t="s">
        <v>315</v>
      </c>
      <c r="G3318" t="s">
        <v>32</v>
      </c>
      <c r="H3318" t="s">
        <v>33</v>
      </c>
      <c r="I3318" t="s">
        <v>58</v>
      </c>
      <c r="J3318" t="s">
        <v>44</v>
      </c>
      <c r="K3318" t="s">
        <v>36</v>
      </c>
      <c r="L3318" t="s">
        <v>37</v>
      </c>
      <c r="M3318">
        <v>0</v>
      </c>
      <c r="N3318">
        <v>0</v>
      </c>
      <c r="O3318" s="5" t="s">
        <v>797</v>
      </c>
      <c r="P3318" s="5"/>
      <c r="Q3318">
        <f>36-13</f>
        <v>23</v>
      </c>
      <c r="R3318" t="s">
        <v>64</v>
      </c>
      <c r="T3318">
        <v>17</v>
      </c>
      <c r="W3318">
        <v>12.9</v>
      </c>
      <c r="X3318">
        <v>26.4</v>
      </c>
      <c r="Z3318" t="s">
        <v>102</v>
      </c>
      <c r="AA3318" t="s">
        <v>201</v>
      </c>
      <c r="AB3318" t="s">
        <v>86</v>
      </c>
      <c r="AC3318" t="s">
        <v>87</v>
      </c>
      <c r="AD3318" t="s">
        <v>798</v>
      </c>
    </row>
    <row r="3319" spans="1:30" x14ac:dyDescent="0.35">
      <c r="A3319" s="4">
        <v>42598</v>
      </c>
      <c r="B3319" t="s">
        <v>30</v>
      </c>
      <c r="C3319">
        <v>304</v>
      </c>
      <c r="D3319">
        <v>2</v>
      </c>
      <c r="E3319">
        <v>2</v>
      </c>
      <c r="F3319" t="s">
        <v>315</v>
      </c>
      <c r="G3319" t="s">
        <v>32</v>
      </c>
      <c r="H3319" t="s">
        <v>33</v>
      </c>
      <c r="I3319" t="s">
        <v>58</v>
      </c>
      <c r="J3319" t="s">
        <v>44</v>
      </c>
      <c r="K3319" t="s">
        <v>36</v>
      </c>
      <c r="L3319" t="s">
        <v>45</v>
      </c>
      <c r="M3319">
        <v>0</v>
      </c>
      <c r="N3319">
        <v>0</v>
      </c>
      <c r="O3319" s="5" t="s">
        <v>799</v>
      </c>
      <c r="P3319" s="5"/>
      <c r="Q3319">
        <f>41-21.5</f>
        <v>19.5</v>
      </c>
      <c r="R3319" t="s">
        <v>46</v>
      </c>
      <c r="S3319" t="s">
        <v>39</v>
      </c>
      <c r="Z3319" t="s">
        <v>102</v>
      </c>
      <c r="AA3319" t="s">
        <v>201</v>
      </c>
      <c r="AB3319" t="s">
        <v>742</v>
      </c>
      <c r="AC3319" t="s">
        <v>87</v>
      </c>
      <c r="AD3319" t="s">
        <v>761</v>
      </c>
    </row>
    <row r="3320" spans="1:30" x14ac:dyDescent="0.35">
      <c r="A3320" s="4">
        <v>42598</v>
      </c>
      <c r="B3320" t="s">
        <v>30</v>
      </c>
      <c r="C3320">
        <v>304</v>
      </c>
      <c r="D3320">
        <v>5</v>
      </c>
      <c r="E3320">
        <v>1</v>
      </c>
      <c r="F3320" t="s">
        <v>315</v>
      </c>
      <c r="G3320" t="s">
        <v>32</v>
      </c>
      <c r="H3320" t="s">
        <v>33</v>
      </c>
      <c r="I3320" t="s">
        <v>58</v>
      </c>
      <c r="J3320" t="s">
        <v>44</v>
      </c>
      <c r="K3320" t="s">
        <v>36</v>
      </c>
      <c r="L3320" t="s">
        <v>37</v>
      </c>
      <c r="M3320">
        <v>0</v>
      </c>
      <c r="N3320">
        <v>0</v>
      </c>
      <c r="O3320" s="5" t="s">
        <v>800</v>
      </c>
      <c r="P3320" s="5"/>
      <c r="Q3320">
        <f>42-14</f>
        <v>28</v>
      </c>
      <c r="R3320" t="s">
        <v>38</v>
      </c>
      <c r="Z3320" t="s">
        <v>102</v>
      </c>
      <c r="AA3320" t="s">
        <v>201</v>
      </c>
      <c r="AB3320" t="s">
        <v>742</v>
      </c>
      <c r="AC3320" t="s">
        <v>87</v>
      </c>
      <c r="AD3320" t="s">
        <v>761</v>
      </c>
    </row>
    <row r="3321" spans="1:30" x14ac:dyDescent="0.35">
      <c r="A3321" s="4">
        <v>42598</v>
      </c>
      <c r="B3321" t="s">
        <v>30</v>
      </c>
      <c r="C3321">
        <v>202</v>
      </c>
      <c r="D3321">
        <v>5</v>
      </c>
      <c r="E3321">
        <v>2</v>
      </c>
      <c r="F3321" t="s">
        <v>315</v>
      </c>
      <c r="G3321" t="s">
        <v>32</v>
      </c>
      <c r="H3321" t="s">
        <v>33</v>
      </c>
      <c r="I3321" t="s">
        <v>58</v>
      </c>
      <c r="J3321" t="s">
        <v>44</v>
      </c>
      <c r="K3321" t="s">
        <v>36</v>
      </c>
      <c r="L3321" t="s">
        <v>45</v>
      </c>
      <c r="M3321">
        <v>0</v>
      </c>
      <c r="N3321">
        <v>0</v>
      </c>
      <c r="O3321" s="5" t="s">
        <v>801</v>
      </c>
      <c r="P3321" s="5"/>
      <c r="Q3321">
        <f>47-17</f>
        <v>30</v>
      </c>
      <c r="R3321" t="s">
        <v>143</v>
      </c>
      <c r="S3321" t="s">
        <v>102</v>
      </c>
      <c r="T3321">
        <v>17.5</v>
      </c>
      <c r="W3321">
        <v>13.1</v>
      </c>
      <c r="X3321">
        <v>27.2</v>
      </c>
      <c r="Z3321" t="s">
        <v>102</v>
      </c>
      <c r="AA3321" t="s">
        <v>802</v>
      </c>
      <c r="AB3321" t="s">
        <v>86</v>
      </c>
      <c r="AC3321" t="s">
        <v>87</v>
      </c>
    </row>
    <row r="3322" spans="1:30" x14ac:dyDescent="0.35">
      <c r="A3322" s="4">
        <v>42598</v>
      </c>
      <c r="B3322" t="s">
        <v>30</v>
      </c>
      <c r="C3322">
        <v>201</v>
      </c>
      <c r="D3322">
        <v>10</v>
      </c>
      <c r="E3322">
        <v>1</v>
      </c>
      <c r="F3322" t="s">
        <v>315</v>
      </c>
      <c r="G3322" t="s">
        <v>32</v>
      </c>
      <c r="H3322" t="s">
        <v>33</v>
      </c>
      <c r="I3322" t="s">
        <v>58</v>
      </c>
      <c r="J3322" t="s">
        <v>122</v>
      </c>
      <c r="O3322" s="5"/>
      <c r="P3322" s="5"/>
    </row>
    <row r="3323" spans="1:30" x14ac:dyDescent="0.35">
      <c r="A3323" s="4">
        <v>42598</v>
      </c>
      <c r="B3323" t="s">
        <v>30</v>
      </c>
      <c r="C3323">
        <v>202</v>
      </c>
      <c r="D3323">
        <v>9</v>
      </c>
      <c r="E3323">
        <v>2</v>
      </c>
      <c r="F3323" t="s">
        <v>315</v>
      </c>
      <c r="G3323" t="s">
        <v>32</v>
      </c>
      <c r="H3323" t="s">
        <v>33</v>
      </c>
      <c r="I3323" t="s">
        <v>65</v>
      </c>
      <c r="J3323" t="s">
        <v>35</v>
      </c>
      <c r="K3323" t="s">
        <v>36</v>
      </c>
      <c r="L3323" t="s">
        <v>37</v>
      </c>
      <c r="M3323">
        <v>0</v>
      </c>
      <c r="N3323">
        <v>1</v>
      </c>
      <c r="O3323" s="5" t="s">
        <v>803</v>
      </c>
      <c r="P3323" s="5"/>
      <c r="Q3323">
        <f>200-48</f>
        <v>152</v>
      </c>
      <c r="R3323" t="s">
        <v>38</v>
      </c>
      <c r="T3323">
        <v>41</v>
      </c>
      <c r="Z3323" t="s">
        <v>102</v>
      </c>
      <c r="AA3323" t="s">
        <v>201</v>
      </c>
      <c r="AB3323" t="s">
        <v>86</v>
      </c>
      <c r="AC3323" t="s">
        <v>87</v>
      </c>
      <c r="AD3323" t="s">
        <v>804</v>
      </c>
    </row>
    <row r="3324" spans="1:30" x14ac:dyDescent="0.35">
      <c r="A3324" s="4">
        <v>42598</v>
      </c>
      <c r="B3324" t="s">
        <v>30</v>
      </c>
      <c r="C3324">
        <v>203</v>
      </c>
      <c r="D3324">
        <v>7</v>
      </c>
      <c r="E3324">
        <v>1</v>
      </c>
      <c r="F3324" t="s">
        <v>315</v>
      </c>
      <c r="G3324" t="s">
        <v>32</v>
      </c>
      <c r="H3324" t="s">
        <v>33</v>
      </c>
      <c r="I3324" t="s">
        <v>55</v>
      </c>
      <c r="J3324" t="s">
        <v>66</v>
      </c>
      <c r="O3324" s="5"/>
      <c r="P3324" s="5"/>
    </row>
    <row r="3325" spans="1:30" x14ac:dyDescent="0.35">
      <c r="A3325" s="4">
        <v>42598</v>
      </c>
      <c r="B3325" t="s">
        <v>30</v>
      </c>
      <c r="C3325">
        <v>202</v>
      </c>
      <c r="D3325">
        <v>6</v>
      </c>
      <c r="E3325">
        <v>1</v>
      </c>
      <c r="F3325" t="s">
        <v>315</v>
      </c>
      <c r="G3325" t="s">
        <v>32</v>
      </c>
      <c r="H3325" t="s">
        <v>33</v>
      </c>
      <c r="I3325" t="s">
        <v>55</v>
      </c>
      <c r="J3325" t="s">
        <v>66</v>
      </c>
      <c r="O3325" s="5"/>
      <c r="P3325" s="5"/>
    </row>
    <row r="3326" spans="1:30" x14ac:dyDescent="0.35">
      <c r="A3326" s="4">
        <v>42598</v>
      </c>
      <c r="B3326" t="s">
        <v>30</v>
      </c>
      <c r="C3326">
        <v>111</v>
      </c>
      <c r="D3326">
        <v>3</v>
      </c>
      <c r="E3326">
        <v>2</v>
      </c>
      <c r="F3326" t="s">
        <v>42</v>
      </c>
      <c r="G3326" t="s">
        <v>32</v>
      </c>
      <c r="H3326" t="s">
        <v>33</v>
      </c>
      <c r="I3326" t="s">
        <v>55</v>
      </c>
      <c r="J3326" t="s">
        <v>66</v>
      </c>
      <c r="O3326" s="5"/>
      <c r="P3326" s="5"/>
    </row>
    <row r="3327" spans="1:30" x14ac:dyDescent="0.35">
      <c r="A3327" s="4">
        <v>42598</v>
      </c>
      <c r="B3327" t="s">
        <v>30</v>
      </c>
      <c r="C3327">
        <v>112</v>
      </c>
      <c r="D3327">
        <v>6</v>
      </c>
      <c r="E3327">
        <v>2</v>
      </c>
      <c r="F3327" t="s">
        <v>42</v>
      </c>
      <c r="G3327" t="s">
        <v>32</v>
      </c>
      <c r="H3327" t="s">
        <v>33</v>
      </c>
      <c r="I3327" t="s">
        <v>55</v>
      </c>
      <c r="J3327" t="s">
        <v>66</v>
      </c>
      <c r="O3327" s="5"/>
      <c r="P3327" s="5"/>
    </row>
    <row r="3328" spans="1:30" x14ac:dyDescent="0.35">
      <c r="A3328" s="4">
        <v>42598</v>
      </c>
      <c r="B3328" t="s">
        <v>30</v>
      </c>
      <c r="C3328">
        <v>402</v>
      </c>
      <c r="D3328">
        <v>9</v>
      </c>
      <c r="E3328">
        <v>1</v>
      </c>
      <c r="F3328" t="s">
        <v>42</v>
      </c>
      <c r="G3328" t="s">
        <v>32</v>
      </c>
      <c r="H3328" t="s">
        <v>33</v>
      </c>
      <c r="I3328" t="s">
        <v>55</v>
      </c>
      <c r="J3328" t="s">
        <v>66</v>
      </c>
      <c r="O3328" s="5"/>
      <c r="P3328" s="5"/>
    </row>
    <row r="3329" spans="1:16" x14ac:dyDescent="0.35">
      <c r="A3329" s="4">
        <v>42598</v>
      </c>
      <c r="B3329" t="s">
        <v>30</v>
      </c>
      <c r="C3329">
        <v>111</v>
      </c>
      <c r="D3329">
        <v>2</v>
      </c>
      <c r="E3329">
        <v>1</v>
      </c>
      <c r="F3329" t="s">
        <v>42</v>
      </c>
      <c r="G3329" t="s">
        <v>32</v>
      </c>
      <c r="H3329" t="s">
        <v>33</v>
      </c>
      <c r="I3329" t="s">
        <v>84</v>
      </c>
      <c r="O3329" s="5"/>
      <c r="P3329" s="5"/>
    </row>
    <row r="3330" spans="1:16" x14ac:dyDescent="0.35">
      <c r="A3330" s="4">
        <v>42598</v>
      </c>
      <c r="B3330" t="s">
        <v>30</v>
      </c>
      <c r="C3330">
        <v>111</v>
      </c>
      <c r="D3330">
        <v>10</v>
      </c>
      <c r="E3330">
        <v>1</v>
      </c>
      <c r="F3330" t="s">
        <v>42</v>
      </c>
      <c r="G3330" t="s">
        <v>32</v>
      </c>
      <c r="H3330" t="s">
        <v>33</v>
      </c>
      <c r="I3330" t="s">
        <v>84</v>
      </c>
      <c r="O3330" s="5"/>
      <c r="P3330" s="5"/>
    </row>
    <row r="3331" spans="1:16" x14ac:dyDescent="0.35">
      <c r="A3331" s="4">
        <v>42598</v>
      </c>
      <c r="B3331" t="s">
        <v>30</v>
      </c>
      <c r="C3331">
        <v>201</v>
      </c>
      <c r="D3331">
        <v>3</v>
      </c>
      <c r="E3331">
        <v>1</v>
      </c>
      <c r="F3331" t="s">
        <v>315</v>
      </c>
      <c r="G3331" t="s">
        <v>32</v>
      </c>
      <c r="H3331" t="s">
        <v>33</v>
      </c>
      <c r="I3331" t="s">
        <v>59</v>
      </c>
      <c r="O3331" s="5"/>
      <c r="P3331" s="5"/>
    </row>
    <row r="3332" spans="1:16" x14ac:dyDescent="0.35">
      <c r="A3332" s="4">
        <v>42598</v>
      </c>
      <c r="B3332" t="s">
        <v>30</v>
      </c>
      <c r="C3332">
        <v>201</v>
      </c>
      <c r="D3332">
        <v>5</v>
      </c>
      <c r="E3332">
        <v>1</v>
      </c>
      <c r="F3332" t="s">
        <v>315</v>
      </c>
      <c r="G3332" t="s">
        <v>32</v>
      </c>
      <c r="H3332" t="s">
        <v>33</v>
      </c>
      <c r="I3332" t="s">
        <v>59</v>
      </c>
      <c r="O3332" s="5"/>
      <c r="P3332" s="5"/>
    </row>
    <row r="3333" spans="1:16" x14ac:dyDescent="0.35">
      <c r="A3333" s="4">
        <v>42598</v>
      </c>
      <c r="B3333" t="s">
        <v>30</v>
      </c>
      <c r="C3333">
        <v>201</v>
      </c>
      <c r="D3333">
        <v>5</v>
      </c>
      <c r="E3333">
        <v>2</v>
      </c>
      <c r="F3333" t="s">
        <v>315</v>
      </c>
      <c r="G3333" t="s">
        <v>32</v>
      </c>
      <c r="H3333" t="s">
        <v>33</v>
      </c>
      <c r="I3333" t="s">
        <v>59</v>
      </c>
      <c r="O3333" s="5"/>
      <c r="P3333" s="5"/>
    </row>
    <row r="3334" spans="1:16" x14ac:dyDescent="0.35">
      <c r="A3334" s="4">
        <v>42598</v>
      </c>
      <c r="B3334" t="s">
        <v>30</v>
      </c>
      <c r="C3334">
        <v>201</v>
      </c>
      <c r="D3334">
        <v>7</v>
      </c>
      <c r="E3334">
        <v>1</v>
      </c>
      <c r="F3334" t="s">
        <v>315</v>
      </c>
      <c r="G3334" t="s">
        <v>32</v>
      </c>
      <c r="H3334" t="s">
        <v>33</v>
      </c>
      <c r="I3334" t="s">
        <v>59</v>
      </c>
      <c r="O3334" s="5"/>
      <c r="P3334" s="5"/>
    </row>
    <row r="3335" spans="1:16" x14ac:dyDescent="0.35">
      <c r="A3335" s="4">
        <v>42598</v>
      </c>
      <c r="B3335" t="s">
        <v>30</v>
      </c>
      <c r="C3335">
        <v>201</v>
      </c>
      <c r="D3335">
        <v>8</v>
      </c>
      <c r="E3335">
        <v>1</v>
      </c>
      <c r="F3335" t="s">
        <v>315</v>
      </c>
      <c r="G3335" t="s">
        <v>32</v>
      </c>
      <c r="H3335" t="s">
        <v>33</v>
      </c>
      <c r="I3335" t="s">
        <v>59</v>
      </c>
      <c r="O3335" s="5"/>
      <c r="P3335" s="5"/>
    </row>
    <row r="3336" spans="1:16" x14ac:dyDescent="0.35">
      <c r="A3336" s="4">
        <v>42598</v>
      </c>
      <c r="B3336" t="s">
        <v>30</v>
      </c>
      <c r="C3336">
        <v>201</v>
      </c>
      <c r="D3336">
        <v>8</v>
      </c>
      <c r="E3336">
        <v>2</v>
      </c>
      <c r="F3336" t="s">
        <v>315</v>
      </c>
      <c r="G3336" t="s">
        <v>32</v>
      </c>
      <c r="H3336" t="s">
        <v>33</v>
      </c>
      <c r="I3336" t="s">
        <v>59</v>
      </c>
      <c r="O3336" s="5"/>
      <c r="P3336" s="5"/>
    </row>
    <row r="3337" spans="1:16" x14ac:dyDescent="0.35">
      <c r="A3337" s="4">
        <v>42598</v>
      </c>
      <c r="B3337" t="s">
        <v>30</v>
      </c>
      <c r="C3337">
        <v>201</v>
      </c>
      <c r="D3337">
        <v>9</v>
      </c>
      <c r="E3337">
        <v>1</v>
      </c>
      <c r="F3337" t="s">
        <v>315</v>
      </c>
      <c r="G3337" t="s">
        <v>32</v>
      </c>
      <c r="H3337" t="s">
        <v>33</v>
      </c>
      <c r="I3337" t="s">
        <v>59</v>
      </c>
      <c r="O3337" s="5"/>
      <c r="P3337" s="5"/>
    </row>
    <row r="3338" spans="1:16" x14ac:dyDescent="0.35">
      <c r="A3338" s="4">
        <v>42598</v>
      </c>
      <c r="B3338" t="s">
        <v>30</v>
      </c>
      <c r="C3338">
        <v>203</v>
      </c>
      <c r="D3338">
        <v>1</v>
      </c>
      <c r="E3338">
        <v>1</v>
      </c>
      <c r="F3338" t="s">
        <v>315</v>
      </c>
      <c r="G3338" t="s">
        <v>32</v>
      </c>
      <c r="H3338" t="s">
        <v>33</v>
      </c>
      <c r="I3338" t="s">
        <v>59</v>
      </c>
      <c r="O3338" s="5"/>
      <c r="P3338" s="5"/>
    </row>
    <row r="3339" spans="1:16" x14ac:dyDescent="0.35">
      <c r="A3339" s="4">
        <v>42598</v>
      </c>
      <c r="B3339" t="s">
        <v>30</v>
      </c>
      <c r="C3339">
        <v>203</v>
      </c>
      <c r="D3339">
        <v>1</v>
      </c>
      <c r="E3339">
        <v>2</v>
      </c>
      <c r="F3339" t="s">
        <v>315</v>
      </c>
      <c r="G3339" t="s">
        <v>32</v>
      </c>
      <c r="H3339" t="s">
        <v>33</v>
      </c>
      <c r="I3339" t="s">
        <v>59</v>
      </c>
      <c r="O3339" s="5"/>
      <c r="P3339" s="5"/>
    </row>
    <row r="3340" spans="1:16" x14ac:dyDescent="0.35">
      <c r="A3340" s="4">
        <v>42598</v>
      </c>
      <c r="B3340" t="s">
        <v>30</v>
      </c>
      <c r="C3340">
        <v>203</v>
      </c>
      <c r="D3340">
        <v>5</v>
      </c>
      <c r="E3340">
        <v>2</v>
      </c>
      <c r="F3340" t="s">
        <v>315</v>
      </c>
      <c r="G3340" t="s">
        <v>32</v>
      </c>
      <c r="H3340" t="s">
        <v>33</v>
      </c>
      <c r="I3340" t="s">
        <v>59</v>
      </c>
      <c r="O3340" s="5"/>
      <c r="P3340" s="5"/>
    </row>
    <row r="3341" spans="1:16" x14ac:dyDescent="0.35">
      <c r="A3341" s="4">
        <v>42598</v>
      </c>
      <c r="B3341" t="s">
        <v>30</v>
      </c>
      <c r="C3341">
        <v>203</v>
      </c>
      <c r="D3341">
        <v>8</v>
      </c>
      <c r="E3341">
        <v>1</v>
      </c>
      <c r="F3341" t="s">
        <v>315</v>
      </c>
      <c r="G3341" t="s">
        <v>32</v>
      </c>
      <c r="H3341" t="s">
        <v>33</v>
      </c>
      <c r="I3341" t="s">
        <v>59</v>
      </c>
      <c r="O3341" s="5"/>
      <c r="P3341" s="5"/>
    </row>
    <row r="3342" spans="1:16" x14ac:dyDescent="0.35">
      <c r="A3342" s="4">
        <v>42598</v>
      </c>
      <c r="B3342" t="s">
        <v>30</v>
      </c>
      <c r="C3342">
        <v>203</v>
      </c>
      <c r="D3342">
        <v>9</v>
      </c>
      <c r="E3342">
        <v>1</v>
      </c>
      <c r="F3342" t="s">
        <v>315</v>
      </c>
      <c r="G3342" t="s">
        <v>32</v>
      </c>
      <c r="H3342" t="s">
        <v>33</v>
      </c>
      <c r="I3342" t="s">
        <v>59</v>
      </c>
      <c r="O3342" s="5"/>
      <c r="P3342" s="5"/>
    </row>
    <row r="3343" spans="1:16" x14ac:dyDescent="0.35">
      <c r="A3343" s="4">
        <v>42598</v>
      </c>
      <c r="B3343" t="s">
        <v>30</v>
      </c>
      <c r="C3343">
        <v>202</v>
      </c>
      <c r="D3343">
        <v>1</v>
      </c>
      <c r="E3343">
        <v>1</v>
      </c>
      <c r="F3343" t="s">
        <v>315</v>
      </c>
      <c r="G3343" t="s">
        <v>32</v>
      </c>
      <c r="H3343" t="s">
        <v>33</v>
      </c>
      <c r="I3343" t="s">
        <v>59</v>
      </c>
      <c r="O3343" s="5"/>
      <c r="P3343" s="5"/>
    </row>
    <row r="3344" spans="1:16" x14ac:dyDescent="0.35">
      <c r="A3344" s="4">
        <v>42598</v>
      </c>
      <c r="B3344" t="s">
        <v>30</v>
      </c>
      <c r="C3344">
        <v>202</v>
      </c>
      <c r="D3344">
        <v>1</v>
      </c>
      <c r="E3344">
        <v>2</v>
      </c>
      <c r="F3344" t="s">
        <v>315</v>
      </c>
      <c r="G3344" t="s">
        <v>32</v>
      </c>
      <c r="H3344" t="s">
        <v>33</v>
      </c>
      <c r="I3344" t="s">
        <v>59</v>
      </c>
      <c r="O3344" s="5"/>
      <c r="P3344" s="5"/>
    </row>
    <row r="3345" spans="1:16" x14ac:dyDescent="0.35">
      <c r="A3345" s="4">
        <v>42598</v>
      </c>
      <c r="B3345" t="s">
        <v>30</v>
      </c>
      <c r="C3345">
        <v>202</v>
      </c>
      <c r="D3345">
        <v>3</v>
      </c>
      <c r="E3345">
        <v>1</v>
      </c>
      <c r="F3345" t="s">
        <v>315</v>
      </c>
      <c r="G3345" t="s">
        <v>32</v>
      </c>
      <c r="H3345" t="s">
        <v>33</v>
      </c>
      <c r="I3345" t="s">
        <v>59</v>
      </c>
      <c r="O3345" s="5"/>
      <c r="P3345" s="5"/>
    </row>
    <row r="3346" spans="1:16" x14ac:dyDescent="0.35">
      <c r="A3346" s="4">
        <v>42598</v>
      </c>
      <c r="B3346" t="s">
        <v>30</v>
      </c>
      <c r="C3346">
        <v>202</v>
      </c>
      <c r="D3346">
        <v>3</v>
      </c>
      <c r="E3346">
        <v>2</v>
      </c>
      <c r="F3346" t="s">
        <v>315</v>
      </c>
      <c r="G3346" t="s">
        <v>32</v>
      </c>
      <c r="H3346" t="s">
        <v>33</v>
      </c>
      <c r="I3346" t="s">
        <v>59</v>
      </c>
      <c r="O3346" s="5"/>
      <c r="P3346" s="5"/>
    </row>
    <row r="3347" spans="1:16" x14ac:dyDescent="0.35">
      <c r="A3347" s="4">
        <v>42598</v>
      </c>
      <c r="B3347" t="s">
        <v>30</v>
      </c>
      <c r="C3347">
        <v>202</v>
      </c>
      <c r="D3347">
        <v>4</v>
      </c>
      <c r="E3347">
        <v>1</v>
      </c>
      <c r="F3347" t="s">
        <v>315</v>
      </c>
      <c r="G3347" t="s">
        <v>32</v>
      </c>
      <c r="H3347" t="s">
        <v>33</v>
      </c>
      <c r="I3347" t="s">
        <v>59</v>
      </c>
      <c r="O3347" s="5"/>
      <c r="P3347" s="5"/>
    </row>
    <row r="3348" spans="1:16" x14ac:dyDescent="0.35">
      <c r="A3348" s="4">
        <v>42598</v>
      </c>
      <c r="B3348" t="s">
        <v>30</v>
      </c>
      <c r="C3348">
        <v>202</v>
      </c>
      <c r="D3348">
        <v>4</v>
      </c>
      <c r="E3348">
        <v>2</v>
      </c>
      <c r="F3348" t="s">
        <v>315</v>
      </c>
      <c r="G3348" t="s">
        <v>32</v>
      </c>
      <c r="H3348" t="s">
        <v>33</v>
      </c>
      <c r="I3348" t="s">
        <v>59</v>
      </c>
      <c r="O3348" s="5"/>
      <c r="P3348" s="5"/>
    </row>
    <row r="3349" spans="1:16" x14ac:dyDescent="0.35">
      <c r="A3349" s="4">
        <v>42598</v>
      </c>
      <c r="B3349" t="s">
        <v>30</v>
      </c>
      <c r="C3349">
        <v>202</v>
      </c>
      <c r="D3349">
        <v>7</v>
      </c>
      <c r="E3349">
        <v>1</v>
      </c>
      <c r="F3349" t="s">
        <v>315</v>
      </c>
      <c r="G3349" t="s">
        <v>32</v>
      </c>
      <c r="H3349" t="s">
        <v>33</v>
      </c>
      <c r="I3349" t="s">
        <v>59</v>
      </c>
      <c r="O3349" s="5"/>
      <c r="P3349" s="5"/>
    </row>
    <row r="3350" spans="1:16" x14ac:dyDescent="0.35">
      <c r="A3350" s="4">
        <v>42598</v>
      </c>
      <c r="B3350" t="s">
        <v>30</v>
      </c>
      <c r="C3350">
        <v>202</v>
      </c>
      <c r="D3350">
        <v>8</v>
      </c>
      <c r="E3350">
        <v>1</v>
      </c>
      <c r="F3350" t="s">
        <v>315</v>
      </c>
      <c r="G3350" t="s">
        <v>32</v>
      </c>
      <c r="H3350" t="s">
        <v>33</v>
      </c>
      <c r="I3350" t="s">
        <v>59</v>
      </c>
      <c r="O3350" s="5"/>
      <c r="P3350" s="5"/>
    </row>
    <row r="3351" spans="1:16" x14ac:dyDescent="0.35">
      <c r="A3351" s="4">
        <v>42598</v>
      </c>
      <c r="B3351" t="s">
        <v>30</v>
      </c>
      <c r="C3351">
        <v>304</v>
      </c>
      <c r="D3351">
        <v>7</v>
      </c>
      <c r="E3351">
        <v>1</v>
      </c>
      <c r="F3351" t="s">
        <v>315</v>
      </c>
      <c r="G3351" t="s">
        <v>32</v>
      </c>
      <c r="H3351" t="s">
        <v>33</v>
      </c>
      <c r="I3351" t="s">
        <v>59</v>
      </c>
      <c r="O3351" s="5"/>
      <c r="P3351" s="5"/>
    </row>
    <row r="3352" spans="1:16" x14ac:dyDescent="0.35">
      <c r="A3352" s="4">
        <v>42598</v>
      </c>
      <c r="B3352" t="s">
        <v>30</v>
      </c>
      <c r="C3352">
        <v>304</v>
      </c>
      <c r="D3352">
        <v>6</v>
      </c>
      <c r="E3352">
        <v>2</v>
      </c>
      <c r="F3352" t="s">
        <v>315</v>
      </c>
      <c r="G3352" t="s">
        <v>32</v>
      </c>
      <c r="H3352" t="s">
        <v>33</v>
      </c>
      <c r="I3352" t="s">
        <v>59</v>
      </c>
      <c r="O3352" s="5"/>
      <c r="P3352" s="5"/>
    </row>
    <row r="3353" spans="1:16" x14ac:dyDescent="0.35">
      <c r="A3353" s="4">
        <v>42598</v>
      </c>
      <c r="B3353" t="s">
        <v>30</v>
      </c>
      <c r="C3353">
        <v>304</v>
      </c>
      <c r="D3353">
        <v>2</v>
      </c>
      <c r="E3353">
        <v>1</v>
      </c>
      <c r="F3353" t="s">
        <v>315</v>
      </c>
      <c r="G3353" t="s">
        <v>32</v>
      </c>
      <c r="H3353" t="s">
        <v>33</v>
      </c>
      <c r="I3353" t="s">
        <v>59</v>
      </c>
      <c r="O3353" s="5"/>
      <c r="P3353" s="5"/>
    </row>
    <row r="3354" spans="1:16" x14ac:dyDescent="0.35">
      <c r="A3354" s="4">
        <v>42598</v>
      </c>
      <c r="B3354" t="s">
        <v>30</v>
      </c>
      <c r="C3354">
        <v>304</v>
      </c>
      <c r="D3354">
        <v>1</v>
      </c>
      <c r="E3354">
        <v>1</v>
      </c>
      <c r="F3354" t="s">
        <v>315</v>
      </c>
      <c r="G3354" t="s">
        <v>32</v>
      </c>
      <c r="H3354" t="s">
        <v>33</v>
      </c>
      <c r="I3354" t="s">
        <v>59</v>
      </c>
      <c r="O3354" s="5"/>
      <c r="P3354" s="5"/>
    </row>
    <row r="3355" spans="1:16" x14ac:dyDescent="0.35">
      <c r="A3355" s="4">
        <v>42598</v>
      </c>
      <c r="B3355" t="s">
        <v>30</v>
      </c>
      <c r="C3355">
        <v>111</v>
      </c>
      <c r="D3355">
        <v>6</v>
      </c>
      <c r="E3355">
        <v>1</v>
      </c>
      <c r="F3355" t="s">
        <v>42</v>
      </c>
      <c r="G3355" t="s">
        <v>32</v>
      </c>
      <c r="H3355" t="s">
        <v>33</v>
      </c>
      <c r="I3355" t="s">
        <v>59</v>
      </c>
      <c r="O3355" s="5"/>
      <c r="P3355" s="5"/>
    </row>
    <row r="3356" spans="1:16" x14ac:dyDescent="0.35">
      <c r="A3356" s="4">
        <v>42598</v>
      </c>
      <c r="B3356" t="s">
        <v>30</v>
      </c>
      <c r="C3356">
        <v>111</v>
      </c>
      <c r="D3356">
        <v>5</v>
      </c>
      <c r="E3356">
        <v>1</v>
      </c>
      <c r="F3356" t="s">
        <v>42</v>
      </c>
      <c r="G3356" t="s">
        <v>32</v>
      </c>
      <c r="H3356" t="s">
        <v>33</v>
      </c>
      <c r="I3356" t="s">
        <v>59</v>
      </c>
      <c r="O3356" s="5"/>
      <c r="P3356" s="5"/>
    </row>
    <row r="3357" spans="1:16" x14ac:dyDescent="0.35">
      <c r="A3357" s="4">
        <v>42598</v>
      </c>
      <c r="B3357" t="s">
        <v>30</v>
      </c>
      <c r="C3357">
        <v>111</v>
      </c>
      <c r="D3357">
        <v>5</v>
      </c>
      <c r="E3357">
        <v>2</v>
      </c>
      <c r="F3357" t="s">
        <v>42</v>
      </c>
      <c r="G3357" t="s">
        <v>32</v>
      </c>
      <c r="H3357" t="s">
        <v>33</v>
      </c>
      <c r="I3357" t="s">
        <v>59</v>
      </c>
      <c r="O3357" s="5"/>
      <c r="P3357" s="5"/>
    </row>
    <row r="3358" spans="1:16" x14ac:dyDescent="0.35">
      <c r="A3358" s="4">
        <v>42598</v>
      </c>
      <c r="B3358" t="s">
        <v>30</v>
      </c>
      <c r="C3358">
        <v>111</v>
      </c>
      <c r="D3358">
        <v>4</v>
      </c>
      <c r="E3358">
        <v>1</v>
      </c>
      <c r="F3358" t="s">
        <v>42</v>
      </c>
      <c r="G3358" t="s">
        <v>32</v>
      </c>
      <c r="H3358" t="s">
        <v>33</v>
      </c>
      <c r="I3358" t="s">
        <v>59</v>
      </c>
      <c r="O3358" s="5"/>
      <c r="P3358" s="5"/>
    </row>
    <row r="3359" spans="1:16" x14ac:dyDescent="0.35">
      <c r="A3359" s="4">
        <v>42598</v>
      </c>
      <c r="B3359" t="s">
        <v>30</v>
      </c>
      <c r="C3359">
        <v>112</v>
      </c>
      <c r="D3359">
        <v>2</v>
      </c>
      <c r="E3359">
        <v>1</v>
      </c>
      <c r="F3359" t="s">
        <v>42</v>
      </c>
      <c r="G3359" t="s">
        <v>32</v>
      </c>
      <c r="H3359" t="s">
        <v>33</v>
      </c>
      <c r="I3359" t="s">
        <v>59</v>
      </c>
      <c r="O3359" s="5"/>
      <c r="P3359" s="5"/>
    </row>
    <row r="3360" spans="1:16" x14ac:dyDescent="0.35">
      <c r="A3360" s="4">
        <v>42598</v>
      </c>
      <c r="B3360" t="s">
        <v>30</v>
      </c>
      <c r="C3360">
        <v>112</v>
      </c>
      <c r="D3360">
        <v>5</v>
      </c>
      <c r="E3360">
        <v>1</v>
      </c>
      <c r="F3360" t="s">
        <v>42</v>
      </c>
      <c r="G3360" t="s">
        <v>32</v>
      </c>
      <c r="H3360" t="s">
        <v>33</v>
      </c>
      <c r="I3360" t="s">
        <v>59</v>
      </c>
      <c r="O3360" s="5"/>
      <c r="P3360" s="5"/>
    </row>
    <row r="3361" spans="1:16" x14ac:dyDescent="0.35">
      <c r="A3361" s="4">
        <v>42598</v>
      </c>
      <c r="B3361" t="s">
        <v>30</v>
      </c>
      <c r="C3361">
        <v>112</v>
      </c>
      <c r="D3361">
        <v>5</v>
      </c>
      <c r="E3361">
        <v>2</v>
      </c>
      <c r="F3361" t="s">
        <v>42</v>
      </c>
      <c r="G3361" t="s">
        <v>32</v>
      </c>
      <c r="H3361" t="s">
        <v>33</v>
      </c>
      <c r="I3361" t="s">
        <v>59</v>
      </c>
      <c r="O3361" s="5"/>
      <c r="P3361" s="5"/>
    </row>
    <row r="3362" spans="1:16" x14ac:dyDescent="0.35">
      <c r="A3362" s="4">
        <v>42598</v>
      </c>
      <c r="B3362" t="s">
        <v>30</v>
      </c>
      <c r="C3362">
        <v>112</v>
      </c>
      <c r="D3362">
        <v>7</v>
      </c>
      <c r="E3362">
        <v>1</v>
      </c>
      <c r="F3362" t="s">
        <v>42</v>
      </c>
      <c r="G3362" t="s">
        <v>32</v>
      </c>
      <c r="H3362" t="s">
        <v>33</v>
      </c>
      <c r="I3362" t="s">
        <v>59</v>
      </c>
      <c r="O3362" s="5"/>
      <c r="P3362" s="5"/>
    </row>
    <row r="3363" spans="1:16" x14ac:dyDescent="0.35">
      <c r="A3363" s="4">
        <v>42598</v>
      </c>
      <c r="B3363" t="s">
        <v>30</v>
      </c>
      <c r="C3363">
        <v>112</v>
      </c>
      <c r="D3363">
        <v>10</v>
      </c>
      <c r="E3363">
        <v>1</v>
      </c>
      <c r="F3363" t="s">
        <v>42</v>
      </c>
      <c r="G3363" t="s">
        <v>32</v>
      </c>
      <c r="H3363" t="s">
        <v>33</v>
      </c>
      <c r="I3363" t="s">
        <v>59</v>
      </c>
      <c r="O3363" s="5"/>
      <c r="P3363" s="5"/>
    </row>
    <row r="3364" spans="1:16" x14ac:dyDescent="0.35">
      <c r="A3364" s="4">
        <v>42598</v>
      </c>
      <c r="B3364" t="s">
        <v>30</v>
      </c>
      <c r="C3364">
        <v>113</v>
      </c>
      <c r="D3364">
        <v>1</v>
      </c>
      <c r="E3364">
        <v>1</v>
      </c>
      <c r="F3364" t="s">
        <v>42</v>
      </c>
      <c r="G3364" t="s">
        <v>32</v>
      </c>
      <c r="H3364" t="s">
        <v>33</v>
      </c>
      <c r="I3364" t="s">
        <v>59</v>
      </c>
      <c r="O3364" s="5"/>
      <c r="P3364" s="5"/>
    </row>
    <row r="3365" spans="1:16" x14ac:dyDescent="0.35">
      <c r="A3365" s="4">
        <v>42598</v>
      </c>
      <c r="B3365" t="s">
        <v>30</v>
      </c>
      <c r="C3365">
        <v>113</v>
      </c>
      <c r="D3365">
        <v>1</v>
      </c>
      <c r="E3365">
        <v>2</v>
      </c>
      <c r="F3365" t="s">
        <v>42</v>
      </c>
      <c r="G3365" t="s">
        <v>32</v>
      </c>
      <c r="H3365" t="s">
        <v>33</v>
      </c>
      <c r="I3365" t="s">
        <v>59</v>
      </c>
      <c r="O3365" s="5"/>
      <c r="P3365" s="5"/>
    </row>
    <row r="3366" spans="1:16" x14ac:dyDescent="0.35">
      <c r="A3366" s="4">
        <v>42598</v>
      </c>
      <c r="B3366" t="s">
        <v>30</v>
      </c>
      <c r="C3366">
        <v>113</v>
      </c>
      <c r="D3366">
        <v>4</v>
      </c>
      <c r="E3366">
        <v>1</v>
      </c>
      <c r="F3366" t="s">
        <v>42</v>
      </c>
      <c r="G3366" t="s">
        <v>32</v>
      </c>
      <c r="H3366" t="s">
        <v>33</v>
      </c>
      <c r="I3366" t="s">
        <v>59</v>
      </c>
      <c r="O3366" s="5"/>
      <c r="P3366" s="5"/>
    </row>
    <row r="3367" spans="1:16" x14ac:dyDescent="0.35">
      <c r="A3367" s="4">
        <v>42598</v>
      </c>
      <c r="B3367" t="s">
        <v>30</v>
      </c>
      <c r="C3367">
        <v>113</v>
      </c>
      <c r="D3367">
        <v>4</v>
      </c>
      <c r="E3367">
        <v>2</v>
      </c>
      <c r="F3367" t="s">
        <v>42</v>
      </c>
      <c r="G3367" t="s">
        <v>32</v>
      </c>
      <c r="H3367" t="s">
        <v>33</v>
      </c>
      <c r="I3367" t="s">
        <v>59</v>
      </c>
      <c r="O3367" s="5"/>
      <c r="P3367" s="5"/>
    </row>
    <row r="3368" spans="1:16" x14ac:dyDescent="0.35">
      <c r="A3368" s="4">
        <v>42598</v>
      </c>
      <c r="B3368" t="s">
        <v>30</v>
      </c>
      <c r="C3368">
        <v>113</v>
      </c>
      <c r="D3368">
        <v>6</v>
      </c>
      <c r="E3368">
        <v>1</v>
      </c>
      <c r="F3368" t="s">
        <v>42</v>
      </c>
      <c r="G3368" t="s">
        <v>32</v>
      </c>
      <c r="H3368" t="s">
        <v>33</v>
      </c>
      <c r="I3368" t="s">
        <v>59</v>
      </c>
      <c r="O3368" s="5"/>
      <c r="P3368" s="5"/>
    </row>
    <row r="3369" spans="1:16" x14ac:dyDescent="0.35">
      <c r="A3369" s="4">
        <v>42598</v>
      </c>
      <c r="B3369" t="s">
        <v>30</v>
      </c>
      <c r="C3369">
        <v>113</v>
      </c>
      <c r="D3369">
        <v>6</v>
      </c>
      <c r="E3369">
        <v>2</v>
      </c>
      <c r="F3369" t="s">
        <v>42</v>
      </c>
      <c r="G3369" t="s">
        <v>32</v>
      </c>
      <c r="H3369" t="s">
        <v>33</v>
      </c>
      <c r="I3369" t="s">
        <v>59</v>
      </c>
      <c r="O3369" s="5"/>
      <c r="P3369" s="5"/>
    </row>
    <row r="3370" spans="1:16" x14ac:dyDescent="0.35">
      <c r="A3370" s="4">
        <v>42598</v>
      </c>
      <c r="B3370" t="s">
        <v>30</v>
      </c>
      <c r="C3370">
        <v>113</v>
      </c>
      <c r="D3370">
        <v>7</v>
      </c>
      <c r="E3370">
        <v>1</v>
      </c>
      <c r="F3370" t="s">
        <v>42</v>
      </c>
      <c r="G3370" t="s">
        <v>32</v>
      </c>
      <c r="H3370" t="s">
        <v>33</v>
      </c>
      <c r="I3370" t="s">
        <v>59</v>
      </c>
      <c r="O3370" s="5"/>
      <c r="P3370" s="5"/>
    </row>
    <row r="3371" spans="1:16" x14ac:dyDescent="0.35">
      <c r="A3371" s="4">
        <v>42598</v>
      </c>
      <c r="B3371" t="s">
        <v>30</v>
      </c>
      <c r="C3371">
        <v>113</v>
      </c>
      <c r="D3371">
        <v>7</v>
      </c>
      <c r="E3371">
        <v>2</v>
      </c>
      <c r="F3371" t="s">
        <v>42</v>
      </c>
      <c r="G3371" t="s">
        <v>32</v>
      </c>
      <c r="H3371" t="s">
        <v>33</v>
      </c>
      <c r="I3371" t="s">
        <v>59</v>
      </c>
      <c r="O3371" s="5"/>
      <c r="P3371" s="5"/>
    </row>
    <row r="3372" spans="1:16" x14ac:dyDescent="0.35">
      <c r="A3372" s="4">
        <v>42598</v>
      </c>
      <c r="B3372" t="s">
        <v>30</v>
      </c>
      <c r="C3372">
        <v>113</v>
      </c>
      <c r="D3372">
        <v>8</v>
      </c>
      <c r="E3372">
        <v>1</v>
      </c>
      <c r="F3372" t="s">
        <v>42</v>
      </c>
      <c r="G3372" t="s">
        <v>32</v>
      </c>
      <c r="H3372" t="s">
        <v>33</v>
      </c>
      <c r="I3372" t="s">
        <v>59</v>
      </c>
      <c r="O3372" s="5"/>
      <c r="P3372" s="5"/>
    </row>
    <row r="3373" spans="1:16" x14ac:dyDescent="0.35">
      <c r="A3373" s="4">
        <v>42598</v>
      </c>
      <c r="B3373" t="s">
        <v>30</v>
      </c>
      <c r="C3373">
        <v>113</v>
      </c>
      <c r="D3373">
        <v>9</v>
      </c>
      <c r="E3373">
        <v>1</v>
      </c>
      <c r="F3373" t="s">
        <v>42</v>
      </c>
      <c r="G3373" t="s">
        <v>32</v>
      </c>
      <c r="H3373" t="s">
        <v>33</v>
      </c>
      <c r="I3373" t="s">
        <v>59</v>
      </c>
      <c r="O3373" s="5"/>
      <c r="P3373" s="5"/>
    </row>
    <row r="3374" spans="1:16" x14ac:dyDescent="0.35">
      <c r="A3374" s="4">
        <v>42598</v>
      </c>
      <c r="B3374" t="s">
        <v>30</v>
      </c>
      <c r="C3374">
        <v>113</v>
      </c>
      <c r="D3374">
        <v>9</v>
      </c>
      <c r="E3374">
        <v>2</v>
      </c>
      <c r="F3374" t="s">
        <v>42</v>
      </c>
      <c r="G3374" t="s">
        <v>32</v>
      </c>
      <c r="H3374" t="s">
        <v>33</v>
      </c>
      <c r="I3374" t="s">
        <v>59</v>
      </c>
      <c r="O3374" s="5"/>
      <c r="P3374" s="5"/>
    </row>
    <row r="3375" spans="1:16" x14ac:dyDescent="0.35">
      <c r="A3375" s="4">
        <v>42598</v>
      </c>
      <c r="B3375" t="s">
        <v>30</v>
      </c>
      <c r="C3375">
        <v>113</v>
      </c>
      <c r="D3375">
        <v>10</v>
      </c>
      <c r="E3375">
        <v>1</v>
      </c>
      <c r="F3375" t="s">
        <v>42</v>
      </c>
      <c r="G3375" t="s">
        <v>32</v>
      </c>
      <c r="H3375" t="s">
        <v>33</v>
      </c>
      <c r="I3375" t="s">
        <v>59</v>
      </c>
      <c r="O3375" s="5"/>
      <c r="P3375" s="5"/>
    </row>
    <row r="3376" spans="1:16" x14ac:dyDescent="0.35">
      <c r="A3376" s="4">
        <v>42598</v>
      </c>
      <c r="B3376" t="s">
        <v>30</v>
      </c>
      <c r="C3376">
        <v>402</v>
      </c>
      <c r="D3376">
        <v>1</v>
      </c>
      <c r="E3376">
        <v>2</v>
      </c>
      <c r="F3376" t="s">
        <v>42</v>
      </c>
      <c r="G3376" t="s">
        <v>32</v>
      </c>
      <c r="H3376" t="s">
        <v>33</v>
      </c>
      <c r="I3376" t="s">
        <v>59</v>
      </c>
      <c r="O3376" s="5"/>
      <c r="P3376" s="5"/>
    </row>
    <row r="3377" spans="1:30" x14ac:dyDescent="0.35">
      <c r="A3377" s="4">
        <v>42598</v>
      </c>
      <c r="B3377" t="s">
        <v>30</v>
      </c>
      <c r="C3377">
        <v>402</v>
      </c>
      <c r="D3377">
        <v>3</v>
      </c>
      <c r="E3377">
        <v>1</v>
      </c>
      <c r="F3377" t="s">
        <v>42</v>
      </c>
      <c r="G3377" t="s">
        <v>32</v>
      </c>
      <c r="H3377" t="s">
        <v>33</v>
      </c>
      <c r="I3377" t="s">
        <v>59</v>
      </c>
      <c r="O3377" s="5"/>
      <c r="P3377" s="5"/>
    </row>
    <row r="3378" spans="1:30" x14ac:dyDescent="0.35">
      <c r="A3378" s="4">
        <v>42598</v>
      </c>
      <c r="B3378" t="s">
        <v>30</v>
      </c>
      <c r="C3378">
        <v>402</v>
      </c>
      <c r="D3378">
        <v>3</v>
      </c>
      <c r="E3378">
        <v>2</v>
      </c>
      <c r="F3378" t="s">
        <v>42</v>
      </c>
      <c r="G3378" t="s">
        <v>32</v>
      </c>
      <c r="H3378" t="s">
        <v>33</v>
      </c>
      <c r="I3378" t="s">
        <v>59</v>
      </c>
      <c r="O3378" s="5"/>
      <c r="P3378" s="5"/>
    </row>
    <row r="3379" spans="1:30" x14ac:dyDescent="0.35">
      <c r="A3379" s="4">
        <v>42598</v>
      </c>
      <c r="B3379" t="s">
        <v>30</v>
      </c>
      <c r="C3379">
        <v>402</v>
      </c>
      <c r="D3379">
        <v>4</v>
      </c>
      <c r="E3379">
        <v>1</v>
      </c>
      <c r="F3379" t="s">
        <v>42</v>
      </c>
      <c r="G3379" t="s">
        <v>32</v>
      </c>
      <c r="H3379" t="s">
        <v>33</v>
      </c>
      <c r="I3379" t="s">
        <v>59</v>
      </c>
      <c r="O3379" s="5"/>
      <c r="P3379" s="5"/>
    </row>
    <row r="3380" spans="1:30" x14ac:dyDescent="0.35">
      <c r="A3380" s="4">
        <v>42598</v>
      </c>
      <c r="B3380" t="s">
        <v>30</v>
      </c>
      <c r="C3380">
        <v>402</v>
      </c>
      <c r="D3380">
        <v>4</v>
      </c>
      <c r="E3380">
        <v>2</v>
      </c>
      <c r="F3380" t="s">
        <v>42</v>
      </c>
      <c r="G3380" t="s">
        <v>32</v>
      </c>
      <c r="H3380" t="s">
        <v>33</v>
      </c>
      <c r="I3380" t="s">
        <v>59</v>
      </c>
      <c r="O3380" s="5"/>
      <c r="P3380" s="5"/>
    </row>
    <row r="3381" spans="1:30" x14ac:dyDescent="0.35">
      <c r="A3381" s="4">
        <v>42598</v>
      </c>
      <c r="B3381" t="s">
        <v>30</v>
      </c>
      <c r="C3381">
        <v>402</v>
      </c>
      <c r="D3381">
        <v>7</v>
      </c>
      <c r="E3381">
        <v>1</v>
      </c>
      <c r="F3381" t="s">
        <v>42</v>
      </c>
      <c r="G3381" t="s">
        <v>32</v>
      </c>
      <c r="H3381" t="s">
        <v>33</v>
      </c>
      <c r="I3381" t="s">
        <v>59</v>
      </c>
      <c r="O3381" s="5"/>
      <c r="P3381" s="5"/>
    </row>
    <row r="3382" spans="1:30" x14ac:dyDescent="0.35">
      <c r="A3382" s="4">
        <v>42598</v>
      </c>
      <c r="B3382" t="s">
        <v>30</v>
      </c>
      <c r="C3382">
        <v>111</v>
      </c>
      <c r="D3382">
        <v>3</v>
      </c>
      <c r="E3382">
        <v>1</v>
      </c>
      <c r="F3382" t="s">
        <v>42</v>
      </c>
      <c r="G3382" t="s">
        <v>32</v>
      </c>
      <c r="H3382" t="s">
        <v>33</v>
      </c>
      <c r="I3382" t="s">
        <v>805</v>
      </c>
      <c r="J3382" t="s">
        <v>139</v>
      </c>
      <c r="O3382" s="5"/>
      <c r="P3382" s="5"/>
    </row>
    <row r="3383" spans="1:30" x14ac:dyDescent="0.35">
      <c r="A3383" s="4">
        <v>42598</v>
      </c>
      <c r="B3383" t="s">
        <v>30</v>
      </c>
      <c r="C3383">
        <v>202</v>
      </c>
      <c r="D3383">
        <v>6</v>
      </c>
      <c r="E3383">
        <v>2</v>
      </c>
      <c r="F3383" t="s">
        <v>315</v>
      </c>
      <c r="G3383" t="s">
        <v>32</v>
      </c>
      <c r="H3383" t="s">
        <v>33</v>
      </c>
      <c r="I3383" t="s">
        <v>94</v>
      </c>
      <c r="J3383" t="s">
        <v>35</v>
      </c>
      <c r="K3383" t="s">
        <v>113</v>
      </c>
      <c r="L3383" t="s">
        <v>45</v>
      </c>
      <c r="M3383">
        <v>0</v>
      </c>
      <c r="N3383">
        <v>1</v>
      </c>
      <c r="O3383" s="5" t="s">
        <v>806</v>
      </c>
      <c r="P3383" s="5"/>
      <c r="Q3383">
        <f>33-16.5</f>
        <v>16.5</v>
      </c>
      <c r="R3383" t="s">
        <v>46</v>
      </c>
      <c r="S3383" t="s">
        <v>39</v>
      </c>
      <c r="T3383">
        <v>29.5</v>
      </c>
      <c r="W3383">
        <v>13</v>
      </c>
      <c r="X3383">
        <v>24.9</v>
      </c>
      <c r="Z3383" t="s">
        <v>102</v>
      </c>
      <c r="AA3383" t="s">
        <v>201</v>
      </c>
      <c r="AB3383" t="s">
        <v>86</v>
      </c>
      <c r="AC3383" t="s">
        <v>87</v>
      </c>
      <c r="AD3383" t="s">
        <v>807</v>
      </c>
    </row>
    <row r="3384" spans="1:30" x14ac:dyDescent="0.35">
      <c r="A3384" s="4">
        <v>42598</v>
      </c>
      <c r="B3384" t="s">
        <v>30</v>
      </c>
      <c r="C3384">
        <v>112</v>
      </c>
      <c r="D3384">
        <v>7</v>
      </c>
      <c r="E3384">
        <v>2</v>
      </c>
      <c r="F3384" t="s">
        <v>42</v>
      </c>
      <c r="G3384" t="s">
        <v>32</v>
      </c>
      <c r="H3384" t="s">
        <v>33</v>
      </c>
      <c r="I3384" t="s">
        <v>94</v>
      </c>
      <c r="J3384" t="s">
        <v>44</v>
      </c>
      <c r="K3384" t="s">
        <v>36</v>
      </c>
      <c r="L3384" t="s">
        <v>37</v>
      </c>
      <c r="M3384">
        <v>0</v>
      </c>
      <c r="N3384">
        <v>0</v>
      </c>
      <c r="O3384" s="5" t="s">
        <v>435</v>
      </c>
      <c r="P3384" s="5"/>
      <c r="Q3384">
        <v>20</v>
      </c>
      <c r="R3384" t="s">
        <v>38</v>
      </c>
      <c r="T3384">
        <v>28</v>
      </c>
      <c r="W3384">
        <v>12.9</v>
      </c>
      <c r="X3384">
        <v>25.3</v>
      </c>
      <c r="Z3384" t="s">
        <v>102</v>
      </c>
      <c r="AB3384" t="s">
        <v>742</v>
      </c>
      <c r="AC3384" t="s">
        <v>87</v>
      </c>
    </row>
    <row r="3385" spans="1:30" x14ac:dyDescent="0.35">
      <c r="A3385" s="4">
        <v>42598</v>
      </c>
      <c r="B3385" t="s">
        <v>30</v>
      </c>
      <c r="C3385">
        <v>112</v>
      </c>
      <c r="D3385">
        <v>3</v>
      </c>
      <c r="E3385">
        <v>1</v>
      </c>
      <c r="F3385" t="s">
        <v>42</v>
      </c>
      <c r="G3385" t="s">
        <v>32</v>
      </c>
      <c r="H3385" t="s">
        <v>33</v>
      </c>
      <c r="I3385" t="s">
        <v>94</v>
      </c>
      <c r="J3385" t="s">
        <v>35</v>
      </c>
      <c r="K3385" t="s">
        <v>36</v>
      </c>
      <c r="L3385" t="s">
        <v>45</v>
      </c>
      <c r="M3385">
        <v>0</v>
      </c>
      <c r="N3385">
        <v>1</v>
      </c>
      <c r="O3385" s="5" t="s">
        <v>808</v>
      </c>
      <c r="P3385" s="5"/>
      <c r="Q3385">
        <f>32-12.5</f>
        <v>19.5</v>
      </c>
      <c r="R3385" t="s">
        <v>77</v>
      </c>
      <c r="S3385" t="s">
        <v>39</v>
      </c>
      <c r="T3385">
        <v>28</v>
      </c>
      <c r="W3385">
        <v>12.75</v>
      </c>
      <c r="X3385">
        <v>24.25</v>
      </c>
      <c r="Z3385" t="s">
        <v>39</v>
      </c>
      <c r="AB3385" t="s">
        <v>742</v>
      </c>
      <c r="AC3385" t="s">
        <v>87</v>
      </c>
    </row>
    <row r="3386" spans="1:30" x14ac:dyDescent="0.35">
      <c r="A3386" s="4">
        <v>42598</v>
      </c>
      <c r="B3386" t="s">
        <v>30</v>
      </c>
      <c r="C3386">
        <v>112</v>
      </c>
      <c r="D3386">
        <v>8</v>
      </c>
      <c r="E3386">
        <v>2</v>
      </c>
      <c r="F3386" t="s">
        <v>42</v>
      </c>
      <c r="G3386" t="s">
        <v>32</v>
      </c>
      <c r="H3386" t="s">
        <v>33</v>
      </c>
      <c r="I3386" t="s">
        <v>94</v>
      </c>
      <c r="J3386" t="s">
        <v>35</v>
      </c>
      <c r="K3386" t="s">
        <v>113</v>
      </c>
      <c r="L3386" t="s">
        <v>45</v>
      </c>
      <c r="M3386">
        <v>0</v>
      </c>
      <c r="N3386">
        <v>1</v>
      </c>
      <c r="O3386" s="5" t="s">
        <v>809</v>
      </c>
      <c r="P3386" s="5"/>
      <c r="Q3386">
        <f>31-13.5</f>
        <v>17.5</v>
      </c>
      <c r="R3386" t="s">
        <v>46</v>
      </c>
      <c r="S3386" t="s">
        <v>39</v>
      </c>
      <c r="T3386">
        <v>29</v>
      </c>
      <c r="W3386">
        <v>12.5</v>
      </c>
      <c r="X3386">
        <v>25</v>
      </c>
      <c r="Z3386" t="s">
        <v>102</v>
      </c>
      <c r="AB3386" t="s">
        <v>742</v>
      </c>
      <c r="AC3386" t="s">
        <v>87</v>
      </c>
    </row>
    <row r="3387" spans="1:30" x14ac:dyDescent="0.35">
      <c r="A3387" s="4">
        <v>42598</v>
      </c>
      <c r="B3387" t="s">
        <v>30</v>
      </c>
      <c r="C3387">
        <v>402</v>
      </c>
      <c r="D3387">
        <v>8</v>
      </c>
      <c r="E3387">
        <v>2</v>
      </c>
      <c r="F3387" t="s">
        <v>42</v>
      </c>
      <c r="G3387" t="s">
        <v>32</v>
      </c>
      <c r="H3387" t="s">
        <v>33</v>
      </c>
      <c r="I3387" t="s">
        <v>94</v>
      </c>
      <c r="J3387" t="s">
        <v>35</v>
      </c>
      <c r="K3387" t="s">
        <v>36</v>
      </c>
      <c r="L3387" t="s">
        <v>37</v>
      </c>
      <c r="M3387">
        <v>0</v>
      </c>
      <c r="N3387">
        <v>1</v>
      </c>
      <c r="O3387" s="5" t="s">
        <v>810</v>
      </c>
      <c r="P3387" s="5"/>
      <c r="Q3387">
        <f>38-19</f>
        <v>19</v>
      </c>
      <c r="R3387" t="s">
        <v>64</v>
      </c>
      <c r="T3387">
        <v>28</v>
      </c>
      <c r="W3387">
        <v>12.8</v>
      </c>
      <c r="X3387">
        <v>25.2</v>
      </c>
      <c r="Z3387" t="s">
        <v>102</v>
      </c>
      <c r="AB3387" t="s">
        <v>742</v>
      </c>
      <c r="AC3387" t="s">
        <v>87</v>
      </c>
    </row>
    <row r="3388" spans="1:30" x14ac:dyDescent="0.35">
      <c r="A3388" s="4">
        <v>42598</v>
      </c>
      <c r="B3388" t="s">
        <v>30</v>
      </c>
      <c r="C3388">
        <v>203</v>
      </c>
      <c r="D3388">
        <v>4</v>
      </c>
      <c r="E3388">
        <v>1</v>
      </c>
      <c r="F3388" t="s">
        <v>315</v>
      </c>
      <c r="G3388" t="s">
        <v>32</v>
      </c>
      <c r="H3388" t="s">
        <v>33</v>
      </c>
      <c r="I3388" t="s">
        <v>94</v>
      </c>
      <c r="J3388" t="s">
        <v>35</v>
      </c>
      <c r="K3388" t="s">
        <v>113</v>
      </c>
      <c r="L3388" t="s">
        <v>37</v>
      </c>
      <c r="M3388">
        <v>0</v>
      </c>
      <c r="N3388">
        <v>1</v>
      </c>
      <c r="O3388" s="5" t="s">
        <v>811</v>
      </c>
      <c r="P3388" s="5"/>
      <c r="Q3388">
        <f>29-13</f>
        <v>16</v>
      </c>
      <c r="R3388" t="s">
        <v>64</v>
      </c>
      <c r="T3388">
        <v>28</v>
      </c>
      <c r="W3388">
        <v>13</v>
      </c>
      <c r="X3388">
        <v>24.8</v>
      </c>
      <c r="Z3388" t="s">
        <v>102</v>
      </c>
      <c r="AA3388" t="s">
        <v>201</v>
      </c>
      <c r="AB3388" t="s">
        <v>86</v>
      </c>
      <c r="AC3388" t="s">
        <v>87</v>
      </c>
    </row>
    <row r="3389" spans="1:30" x14ac:dyDescent="0.35">
      <c r="A3389" s="4">
        <v>42598</v>
      </c>
      <c r="B3389" t="s">
        <v>30</v>
      </c>
      <c r="C3389">
        <v>112</v>
      </c>
      <c r="D3389">
        <v>8</v>
      </c>
      <c r="E3389">
        <v>1</v>
      </c>
      <c r="F3389" t="s">
        <v>42</v>
      </c>
      <c r="G3389" t="s">
        <v>32</v>
      </c>
      <c r="H3389" t="s">
        <v>33</v>
      </c>
      <c r="I3389" t="s">
        <v>94</v>
      </c>
      <c r="J3389" t="s">
        <v>44</v>
      </c>
      <c r="K3389" t="s">
        <v>36</v>
      </c>
      <c r="L3389" t="s">
        <v>37</v>
      </c>
      <c r="M3389">
        <v>0</v>
      </c>
      <c r="N3389">
        <v>0</v>
      </c>
      <c r="O3389" s="5" t="s">
        <v>441</v>
      </c>
      <c r="P3389" s="5"/>
      <c r="Q3389">
        <f>45-18</f>
        <v>27</v>
      </c>
      <c r="R3389" t="s">
        <v>38</v>
      </c>
      <c r="T3389">
        <v>29.5</v>
      </c>
      <c r="W3389">
        <v>13.3</v>
      </c>
      <c r="X3389">
        <v>26</v>
      </c>
      <c r="AB3389" t="s">
        <v>742</v>
      </c>
      <c r="AC3389" t="s">
        <v>87</v>
      </c>
      <c r="AD3389" t="s">
        <v>812</v>
      </c>
    </row>
    <row r="3390" spans="1:30" x14ac:dyDescent="0.35">
      <c r="A3390" s="4">
        <v>42598</v>
      </c>
      <c r="B3390" t="s">
        <v>30</v>
      </c>
      <c r="C3390">
        <v>112</v>
      </c>
      <c r="D3390">
        <v>4</v>
      </c>
      <c r="E3390">
        <v>1</v>
      </c>
      <c r="F3390" t="s">
        <v>42</v>
      </c>
      <c r="G3390" t="s">
        <v>32</v>
      </c>
      <c r="H3390" t="s">
        <v>33</v>
      </c>
      <c r="I3390" t="s">
        <v>94</v>
      </c>
      <c r="J3390" t="s">
        <v>44</v>
      </c>
      <c r="K3390" t="s">
        <v>36</v>
      </c>
      <c r="L3390" t="s">
        <v>45</v>
      </c>
      <c r="M3390">
        <v>0</v>
      </c>
      <c r="N3390">
        <v>0</v>
      </c>
      <c r="O3390" s="5" t="s">
        <v>442</v>
      </c>
      <c r="P3390" s="5"/>
      <c r="Q3390">
        <f>42-15</f>
        <v>27</v>
      </c>
      <c r="R3390" t="s">
        <v>74</v>
      </c>
      <c r="S3390" t="s">
        <v>102</v>
      </c>
      <c r="T3390">
        <v>28.5</v>
      </c>
      <c r="W3390">
        <v>12.7</v>
      </c>
      <c r="AB3390" t="s">
        <v>742</v>
      </c>
      <c r="AC3390" t="s">
        <v>87</v>
      </c>
      <c r="AD3390" t="s">
        <v>813</v>
      </c>
    </row>
    <row r="3391" spans="1:30" x14ac:dyDescent="0.35">
      <c r="A3391" s="4">
        <v>42598</v>
      </c>
      <c r="B3391" t="s">
        <v>30</v>
      </c>
      <c r="C3391">
        <v>203</v>
      </c>
      <c r="D3391">
        <v>3</v>
      </c>
      <c r="E3391">
        <v>1</v>
      </c>
      <c r="F3391" t="s">
        <v>315</v>
      </c>
      <c r="G3391" t="s">
        <v>32</v>
      </c>
      <c r="H3391" t="s">
        <v>33</v>
      </c>
      <c r="I3391" t="s">
        <v>94</v>
      </c>
      <c r="J3391" t="s">
        <v>44</v>
      </c>
      <c r="K3391" t="s">
        <v>36</v>
      </c>
      <c r="L3391" t="s">
        <v>45</v>
      </c>
      <c r="M3391">
        <v>0</v>
      </c>
      <c r="N3391">
        <v>0</v>
      </c>
      <c r="O3391" s="5"/>
      <c r="P3391" s="5" t="s">
        <v>814</v>
      </c>
      <c r="Q3391">
        <f>40-13.5</f>
        <v>26.5</v>
      </c>
      <c r="R3391" t="s">
        <v>143</v>
      </c>
      <c r="S3391" t="s">
        <v>102</v>
      </c>
      <c r="Z3391" t="s">
        <v>102</v>
      </c>
      <c r="AA3391" t="s">
        <v>201</v>
      </c>
      <c r="AB3391" t="s">
        <v>86</v>
      </c>
      <c r="AC3391" t="s">
        <v>87</v>
      </c>
    </row>
    <row r="3392" spans="1:30" x14ac:dyDescent="0.35">
      <c r="A3392" s="4">
        <v>42599</v>
      </c>
      <c r="B3392" t="s">
        <v>30</v>
      </c>
      <c r="C3392">
        <v>203</v>
      </c>
      <c r="D3392">
        <v>10</v>
      </c>
      <c r="E3392">
        <v>2</v>
      </c>
      <c r="F3392" t="s">
        <v>315</v>
      </c>
      <c r="G3392" t="s">
        <v>32</v>
      </c>
      <c r="H3392" t="s">
        <v>33</v>
      </c>
      <c r="I3392" t="s">
        <v>43</v>
      </c>
      <c r="J3392" t="s">
        <v>44</v>
      </c>
      <c r="K3392" t="s">
        <v>88</v>
      </c>
      <c r="L3392" t="s">
        <v>45</v>
      </c>
      <c r="M3392">
        <v>0</v>
      </c>
      <c r="N3392">
        <v>0</v>
      </c>
      <c r="O3392" s="5" t="s">
        <v>738</v>
      </c>
      <c r="P3392" s="5" t="s">
        <v>739</v>
      </c>
      <c r="Q3392">
        <f>32-21.5</f>
        <v>10.5</v>
      </c>
      <c r="R3392" t="s">
        <v>46</v>
      </c>
      <c r="S3392" t="s">
        <v>39</v>
      </c>
      <c r="T3392">
        <v>17.5</v>
      </c>
      <c r="U3392">
        <v>72</v>
      </c>
      <c r="V3392">
        <v>15</v>
      </c>
      <c r="W3392">
        <v>12.8</v>
      </c>
      <c r="X3392">
        <v>24.8</v>
      </c>
      <c r="Z3392" t="s">
        <v>102</v>
      </c>
      <c r="AA3392" t="s">
        <v>201</v>
      </c>
      <c r="AB3392" t="s">
        <v>86</v>
      </c>
      <c r="AC3392" t="s">
        <v>41</v>
      </c>
    </row>
    <row r="3393" spans="1:30" x14ac:dyDescent="0.35">
      <c r="A3393" s="4">
        <v>42599</v>
      </c>
      <c r="B3393" t="s">
        <v>30</v>
      </c>
      <c r="C3393">
        <v>203</v>
      </c>
      <c r="D3393">
        <v>2</v>
      </c>
      <c r="E3393">
        <v>1</v>
      </c>
      <c r="F3393" t="s">
        <v>315</v>
      </c>
      <c r="G3393" t="s">
        <v>32</v>
      </c>
      <c r="H3393" t="s">
        <v>33</v>
      </c>
      <c r="I3393" t="s">
        <v>43</v>
      </c>
      <c r="J3393" t="s">
        <v>35</v>
      </c>
      <c r="K3393" t="s">
        <v>88</v>
      </c>
      <c r="L3393" t="s">
        <v>45</v>
      </c>
      <c r="M3393">
        <v>0</v>
      </c>
      <c r="N3393">
        <v>1</v>
      </c>
      <c r="O3393" s="5" t="s">
        <v>815</v>
      </c>
      <c r="P3393" s="5" t="s">
        <v>816</v>
      </c>
      <c r="Q3393">
        <f>27.5-14</f>
        <v>13.5</v>
      </c>
      <c r="R3393" t="s">
        <v>46</v>
      </c>
      <c r="S3393" t="s">
        <v>102</v>
      </c>
      <c r="T3393">
        <v>18.5</v>
      </c>
      <c r="U3393">
        <v>88</v>
      </c>
      <c r="V3393">
        <v>15</v>
      </c>
      <c r="W3393">
        <v>12.9</v>
      </c>
      <c r="X3393">
        <v>27</v>
      </c>
      <c r="Z3393" t="s">
        <v>39</v>
      </c>
      <c r="AB3393" t="s">
        <v>86</v>
      </c>
      <c r="AC3393" t="s">
        <v>41</v>
      </c>
      <c r="AD3393" t="s">
        <v>740</v>
      </c>
    </row>
    <row r="3394" spans="1:30" x14ac:dyDescent="0.35">
      <c r="A3394" s="4">
        <v>42599</v>
      </c>
      <c r="B3394" t="s">
        <v>30</v>
      </c>
      <c r="C3394">
        <v>304</v>
      </c>
      <c r="D3394">
        <v>10</v>
      </c>
      <c r="E3394">
        <v>2</v>
      </c>
      <c r="F3394" t="s">
        <v>315</v>
      </c>
      <c r="G3394" t="s">
        <v>32</v>
      </c>
      <c r="H3394" t="s">
        <v>33</v>
      </c>
      <c r="I3394" t="s">
        <v>43</v>
      </c>
      <c r="J3394" s="5" t="s">
        <v>44</v>
      </c>
      <c r="K3394" s="5" t="s">
        <v>88</v>
      </c>
      <c r="L3394" t="s">
        <v>45</v>
      </c>
      <c r="M3394">
        <v>0</v>
      </c>
      <c r="N3394">
        <v>0</v>
      </c>
      <c r="O3394" s="5" t="s">
        <v>321</v>
      </c>
      <c r="P3394" s="5" t="s">
        <v>322</v>
      </c>
      <c r="Q3394">
        <f>43-27</f>
        <v>16</v>
      </c>
      <c r="R3394" t="s">
        <v>46</v>
      </c>
      <c r="S3394" t="s">
        <v>39</v>
      </c>
      <c r="T3394">
        <v>20</v>
      </c>
      <c r="U3394">
        <v>79</v>
      </c>
      <c r="V3394">
        <v>15</v>
      </c>
      <c r="W3394">
        <v>13.4</v>
      </c>
      <c r="X3394">
        <v>27.4</v>
      </c>
      <c r="Z3394" t="s">
        <v>102</v>
      </c>
      <c r="AB3394" t="s">
        <v>86</v>
      </c>
      <c r="AC3394" t="s">
        <v>41</v>
      </c>
    </row>
    <row r="3395" spans="1:30" x14ac:dyDescent="0.35">
      <c r="A3395" s="4">
        <v>42599</v>
      </c>
      <c r="B3395" t="s">
        <v>30</v>
      </c>
      <c r="C3395">
        <v>113</v>
      </c>
      <c r="D3395">
        <v>8</v>
      </c>
      <c r="E3395">
        <v>1</v>
      </c>
      <c r="F3395" t="s">
        <v>42</v>
      </c>
      <c r="G3395" t="s">
        <v>32</v>
      </c>
      <c r="H3395" t="s">
        <v>33</v>
      </c>
      <c r="I3395" t="s">
        <v>43</v>
      </c>
      <c r="J3395" t="s">
        <v>44</v>
      </c>
      <c r="K3395" t="s">
        <v>88</v>
      </c>
      <c r="L3395" t="s">
        <v>45</v>
      </c>
      <c r="M3395">
        <v>0</v>
      </c>
      <c r="N3395">
        <v>0</v>
      </c>
      <c r="O3395" s="5" t="s">
        <v>379</v>
      </c>
      <c r="P3395" s="5" t="s">
        <v>380</v>
      </c>
      <c r="Q3395">
        <f>29-14.5</f>
        <v>14.5</v>
      </c>
      <c r="R3395" t="s">
        <v>46</v>
      </c>
      <c r="S3395" t="s">
        <v>39</v>
      </c>
      <c r="T3395">
        <v>18</v>
      </c>
      <c r="U3395">
        <v>75</v>
      </c>
      <c r="V3395">
        <v>19</v>
      </c>
      <c r="W3395">
        <v>12.3</v>
      </c>
      <c r="X3395">
        <v>25.3</v>
      </c>
      <c r="AB3395" t="s">
        <v>86</v>
      </c>
      <c r="AC3395" t="s">
        <v>41</v>
      </c>
    </row>
    <row r="3396" spans="1:30" x14ac:dyDescent="0.35">
      <c r="A3396" s="4">
        <v>42599</v>
      </c>
      <c r="B3396" t="s">
        <v>30</v>
      </c>
      <c r="C3396">
        <v>112</v>
      </c>
      <c r="D3396">
        <v>4</v>
      </c>
      <c r="E3396">
        <v>1</v>
      </c>
      <c r="F3396" t="s">
        <v>42</v>
      </c>
      <c r="G3396" t="s">
        <v>32</v>
      </c>
      <c r="H3396" t="s">
        <v>33</v>
      </c>
      <c r="I3396" t="s">
        <v>43</v>
      </c>
      <c r="J3396" t="s">
        <v>44</v>
      </c>
      <c r="K3396" t="s">
        <v>113</v>
      </c>
      <c r="L3396" t="s">
        <v>37</v>
      </c>
      <c r="M3396">
        <v>0</v>
      </c>
      <c r="N3396">
        <v>0</v>
      </c>
      <c r="O3396" s="5" t="s">
        <v>391</v>
      </c>
      <c r="P3396" s="5" t="s">
        <v>452</v>
      </c>
      <c r="Q3396">
        <f>32-14</f>
        <v>18</v>
      </c>
      <c r="R3396" t="s">
        <v>38</v>
      </c>
      <c r="T3396">
        <v>17</v>
      </c>
      <c r="U3396">
        <v>84</v>
      </c>
      <c r="V3396">
        <v>17</v>
      </c>
      <c r="W3396">
        <v>13</v>
      </c>
      <c r="X3396">
        <v>26.7</v>
      </c>
      <c r="Z3396" t="s">
        <v>102</v>
      </c>
      <c r="AB3396" t="s">
        <v>86</v>
      </c>
      <c r="AC3396" t="s">
        <v>41</v>
      </c>
    </row>
    <row r="3397" spans="1:30" x14ac:dyDescent="0.35">
      <c r="A3397" s="4">
        <v>42599</v>
      </c>
      <c r="B3397" t="s">
        <v>30</v>
      </c>
      <c r="C3397">
        <v>111</v>
      </c>
      <c r="D3397">
        <v>10</v>
      </c>
      <c r="E3397">
        <v>2</v>
      </c>
      <c r="F3397" t="s">
        <v>42</v>
      </c>
      <c r="G3397" t="s">
        <v>32</v>
      </c>
      <c r="H3397" t="s">
        <v>33</v>
      </c>
      <c r="I3397" t="s">
        <v>43</v>
      </c>
      <c r="J3397" t="s">
        <v>44</v>
      </c>
      <c r="K3397" t="s">
        <v>113</v>
      </c>
      <c r="L3397" t="s">
        <v>37</v>
      </c>
      <c r="M3397">
        <v>0</v>
      </c>
      <c r="N3397">
        <v>0</v>
      </c>
      <c r="O3397" s="5" t="s">
        <v>489</v>
      </c>
      <c r="P3397" s="5" t="s">
        <v>490</v>
      </c>
      <c r="Q3397">
        <f>31.5-14</f>
        <v>17.5</v>
      </c>
      <c r="R3397" t="s">
        <v>64</v>
      </c>
      <c r="T3397">
        <v>19</v>
      </c>
      <c r="U3397">
        <v>92</v>
      </c>
      <c r="V3397">
        <v>19</v>
      </c>
      <c r="W3397">
        <v>13.2</v>
      </c>
      <c r="X3397">
        <v>27.4</v>
      </c>
      <c r="AB3397" t="s">
        <v>86</v>
      </c>
      <c r="AC3397" t="s">
        <v>41</v>
      </c>
    </row>
    <row r="3398" spans="1:30" x14ac:dyDescent="0.35">
      <c r="A3398" s="4">
        <v>42599</v>
      </c>
      <c r="B3398" t="s">
        <v>30</v>
      </c>
      <c r="C3398">
        <v>113</v>
      </c>
      <c r="D3398">
        <v>10</v>
      </c>
      <c r="E3398">
        <v>2</v>
      </c>
      <c r="F3398" t="s">
        <v>42</v>
      </c>
      <c r="G3398" t="s">
        <v>32</v>
      </c>
      <c r="H3398" t="s">
        <v>33</v>
      </c>
      <c r="I3398" t="s">
        <v>43</v>
      </c>
      <c r="J3398" t="s">
        <v>44</v>
      </c>
      <c r="K3398" t="s">
        <v>88</v>
      </c>
      <c r="L3398" t="s">
        <v>37</v>
      </c>
      <c r="M3398">
        <v>0</v>
      </c>
      <c r="N3398">
        <v>0</v>
      </c>
      <c r="O3398" s="5" t="s">
        <v>495</v>
      </c>
      <c r="P3398" s="5" t="s">
        <v>496</v>
      </c>
      <c r="Q3398">
        <f>35.5-20.5</f>
        <v>15</v>
      </c>
      <c r="R3398" t="s">
        <v>64</v>
      </c>
      <c r="T3398">
        <v>17</v>
      </c>
      <c r="V3398">
        <v>16</v>
      </c>
      <c r="W3398">
        <v>12.5</v>
      </c>
      <c r="X3398">
        <v>22.6</v>
      </c>
      <c r="AB3398" t="s">
        <v>86</v>
      </c>
      <c r="AC3398" t="s">
        <v>41</v>
      </c>
    </row>
    <row r="3399" spans="1:30" x14ac:dyDescent="0.35">
      <c r="A3399" s="4">
        <v>42599</v>
      </c>
      <c r="B3399" t="s">
        <v>30</v>
      </c>
      <c r="C3399">
        <v>112</v>
      </c>
      <c r="D3399">
        <v>3</v>
      </c>
      <c r="E3399">
        <v>2</v>
      </c>
      <c r="F3399" t="s">
        <v>42</v>
      </c>
      <c r="G3399" t="s">
        <v>32</v>
      </c>
      <c r="H3399" t="s">
        <v>33</v>
      </c>
      <c r="I3399" t="s">
        <v>43</v>
      </c>
      <c r="J3399" t="s">
        <v>44</v>
      </c>
      <c r="K3399" t="s">
        <v>36</v>
      </c>
      <c r="L3399" t="s">
        <v>45</v>
      </c>
      <c r="M3399">
        <v>0</v>
      </c>
      <c r="N3399">
        <v>0</v>
      </c>
      <c r="O3399" s="5" t="s">
        <v>744</v>
      </c>
      <c r="P3399" s="5" t="s">
        <v>745</v>
      </c>
      <c r="Q3399">
        <f>32-13</f>
        <v>19</v>
      </c>
      <c r="R3399" t="s">
        <v>64</v>
      </c>
      <c r="S3399" t="s">
        <v>102</v>
      </c>
      <c r="T3399">
        <v>17</v>
      </c>
      <c r="U3399">
        <v>79.5</v>
      </c>
      <c r="V3399">
        <v>18</v>
      </c>
      <c r="W3399">
        <v>12.6</v>
      </c>
      <c r="X3399">
        <v>26.25</v>
      </c>
      <c r="Y3399" t="s">
        <v>817</v>
      </c>
      <c r="Z3399" t="s">
        <v>102</v>
      </c>
      <c r="AB3399" t="s">
        <v>86</v>
      </c>
      <c r="AC3399" t="s">
        <v>41</v>
      </c>
    </row>
    <row r="3400" spans="1:30" x14ac:dyDescent="0.35">
      <c r="A3400" s="4">
        <v>42599</v>
      </c>
      <c r="B3400" t="s">
        <v>30</v>
      </c>
      <c r="C3400">
        <v>111</v>
      </c>
      <c r="D3400">
        <v>3</v>
      </c>
      <c r="E3400">
        <v>2</v>
      </c>
      <c r="F3400" t="s">
        <v>42</v>
      </c>
      <c r="G3400" t="s">
        <v>32</v>
      </c>
      <c r="H3400" t="s">
        <v>33</v>
      </c>
      <c r="I3400" t="s">
        <v>43</v>
      </c>
      <c r="J3400" t="s">
        <v>35</v>
      </c>
      <c r="K3400" t="s">
        <v>36</v>
      </c>
      <c r="L3400" t="s">
        <v>37</v>
      </c>
      <c r="M3400">
        <v>0</v>
      </c>
      <c r="N3400">
        <v>1</v>
      </c>
      <c r="O3400" s="5" t="s">
        <v>818</v>
      </c>
      <c r="P3400" s="5" t="s">
        <v>819</v>
      </c>
      <c r="Q3400">
        <f>33-13</f>
        <v>20</v>
      </c>
      <c r="R3400" t="s">
        <v>64</v>
      </c>
      <c r="T3400">
        <v>20.5</v>
      </c>
      <c r="U3400">
        <v>94</v>
      </c>
      <c r="V3400">
        <v>16</v>
      </c>
      <c r="W3400">
        <v>13.5</v>
      </c>
      <c r="X3400">
        <v>28</v>
      </c>
      <c r="AB3400" t="s">
        <v>86</v>
      </c>
      <c r="AC3400" t="s">
        <v>41</v>
      </c>
    </row>
    <row r="3401" spans="1:30" x14ac:dyDescent="0.35">
      <c r="A3401" s="4">
        <v>42599</v>
      </c>
      <c r="B3401" t="s">
        <v>30</v>
      </c>
      <c r="C3401">
        <v>113</v>
      </c>
      <c r="D3401">
        <v>3</v>
      </c>
      <c r="E3401">
        <v>2</v>
      </c>
      <c r="F3401" t="s">
        <v>42</v>
      </c>
      <c r="G3401" t="s">
        <v>32</v>
      </c>
      <c r="H3401" t="s">
        <v>33</v>
      </c>
      <c r="I3401" t="s">
        <v>43</v>
      </c>
      <c r="J3401" t="s">
        <v>35</v>
      </c>
      <c r="K3401" t="s">
        <v>113</v>
      </c>
      <c r="L3401" t="s">
        <v>37</v>
      </c>
      <c r="M3401">
        <v>0</v>
      </c>
      <c r="N3401">
        <v>1</v>
      </c>
      <c r="O3401" s="5" t="s">
        <v>820</v>
      </c>
      <c r="P3401" s="5" t="s">
        <v>821</v>
      </c>
      <c r="Q3401">
        <f>30.5-14</f>
        <v>16.5</v>
      </c>
      <c r="R3401" t="s">
        <v>64</v>
      </c>
      <c r="T3401">
        <v>20</v>
      </c>
      <c r="U3401">
        <v>90.5</v>
      </c>
      <c r="V3401">
        <v>17.5</v>
      </c>
      <c r="W3401">
        <v>13</v>
      </c>
      <c r="X3401">
        <v>26.4</v>
      </c>
      <c r="AB3401" t="s">
        <v>86</v>
      </c>
      <c r="AC3401" t="s">
        <v>41</v>
      </c>
    </row>
    <row r="3402" spans="1:30" x14ac:dyDescent="0.35">
      <c r="A3402" s="4">
        <v>42599</v>
      </c>
      <c r="B3402" t="s">
        <v>30</v>
      </c>
      <c r="C3402">
        <v>201</v>
      </c>
      <c r="D3402">
        <v>4</v>
      </c>
      <c r="E3402">
        <v>1</v>
      </c>
      <c r="F3402" t="s">
        <v>315</v>
      </c>
      <c r="G3402" t="s">
        <v>32</v>
      </c>
      <c r="H3402" t="s">
        <v>33</v>
      </c>
      <c r="I3402" t="s">
        <v>43</v>
      </c>
      <c r="J3402" t="s">
        <v>44</v>
      </c>
      <c r="K3402" t="s">
        <v>36</v>
      </c>
      <c r="L3402" t="s">
        <v>37</v>
      </c>
      <c r="M3402">
        <v>0</v>
      </c>
      <c r="N3402">
        <v>0</v>
      </c>
      <c r="O3402" s="5" t="s">
        <v>822</v>
      </c>
      <c r="P3402" s="5" t="s">
        <v>823</v>
      </c>
      <c r="Q3402">
        <f>34-14.5</f>
        <v>19.5</v>
      </c>
      <c r="R3402" t="s">
        <v>38</v>
      </c>
      <c r="T3402">
        <v>19.5</v>
      </c>
      <c r="U3402">
        <v>89</v>
      </c>
      <c r="V3402">
        <v>15</v>
      </c>
      <c r="W3402">
        <v>13.2</v>
      </c>
      <c r="X3402">
        <v>27.9</v>
      </c>
      <c r="Z3402" t="s">
        <v>102</v>
      </c>
      <c r="AA3402" t="s">
        <v>201</v>
      </c>
      <c r="AB3402" t="s">
        <v>86</v>
      </c>
      <c r="AC3402" t="s">
        <v>41</v>
      </c>
    </row>
    <row r="3403" spans="1:30" x14ac:dyDescent="0.35">
      <c r="A3403" s="4">
        <v>42599</v>
      </c>
      <c r="B3403" t="s">
        <v>30</v>
      </c>
      <c r="C3403">
        <v>112</v>
      </c>
      <c r="D3403">
        <v>9</v>
      </c>
      <c r="E3403">
        <v>2</v>
      </c>
      <c r="F3403" t="s">
        <v>42</v>
      </c>
      <c r="G3403" t="s">
        <v>32</v>
      </c>
      <c r="H3403" t="s">
        <v>33</v>
      </c>
      <c r="I3403" t="s">
        <v>43</v>
      </c>
      <c r="J3403" t="s">
        <v>44</v>
      </c>
      <c r="K3403" t="s">
        <v>36</v>
      </c>
      <c r="L3403" t="s">
        <v>45</v>
      </c>
      <c r="M3403">
        <v>0</v>
      </c>
      <c r="N3403">
        <v>0</v>
      </c>
      <c r="O3403" s="5" t="s">
        <v>824</v>
      </c>
      <c r="P3403" s="5" t="s">
        <v>825</v>
      </c>
      <c r="Q3403">
        <f>35-14.5</f>
        <v>20.5</v>
      </c>
      <c r="R3403" t="s">
        <v>46</v>
      </c>
      <c r="S3403" t="s">
        <v>39</v>
      </c>
      <c r="T3403">
        <v>19</v>
      </c>
      <c r="U3403">
        <v>90</v>
      </c>
      <c r="V3403">
        <v>17</v>
      </c>
      <c r="W3403">
        <v>13.2</v>
      </c>
      <c r="X3403">
        <v>26.9</v>
      </c>
      <c r="AB3403" t="s">
        <v>86</v>
      </c>
      <c r="AC3403" t="s">
        <v>41</v>
      </c>
    </row>
    <row r="3404" spans="1:30" x14ac:dyDescent="0.35">
      <c r="A3404" s="4">
        <v>42599</v>
      </c>
      <c r="B3404" t="s">
        <v>30</v>
      </c>
      <c r="C3404">
        <v>111</v>
      </c>
      <c r="D3404">
        <v>7</v>
      </c>
      <c r="E3404">
        <v>1</v>
      </c>
      <c r="F3404" t="s">
        <v>42</v>
      </c>
      <c r="G3404" t="s">
        <v>32</v>
      </c>
      <c r="H3404" t="s">
        <v>33</v>
      </c>
      <c r="I3404" t="s">
        <v>43</v>
      </c>
      <c r="J3404" t="s">
        <v>44</v>
      </c>
      <c r="K3404" t="s">
        <v>36</v>
      </c>
      <c r="L3404" t="s">
        <v>37</v>
      </c>
      <c r="M3404">
        <v>0</v>
      </c>
      <c r="N3404">
        <v>0</v>
      </c>
      <c r="O3404" s="5" t="s">
        <v>402</v>
      </c>
      <c r="P3404" s="5" t="s">
        <v>403</v>
      </c>
      <c r="Q3404">
        <f>38.5-13</f>
        <v>25.5</v>
      </c>
      <c r="R3404" t="s">
        <v>38</v>
      </c>
      <c r="T3404">
        <v>20</v>
      </c>
      <c r="U3404">
        <v>92</v>
      </c>
      <c r="V3404">
        <v>19</v>
      </c>
      <c r="W3404">
        <v>13.3</v>
      </c>
      <c r="X3404">
        <v>27</v>
      </c>
      <c r="AB3404" t="s">
        <v>86</v>
      </c>
      <c r="AC3404" t="s">
        <v>41</v>
      </c>
    </row>
    <row r="3405" spans="1:30" x14ac:dyDescent="0.35">
      <c r="A3405" s="4">
        <v>42599</v>
      </c>
      <c r="B3405" t="s">
        <v>30</v>
      </c>
      <c r="C3405">
        <v>112</v>
      </c>
      <c r="D3405">
        <v>2</v>
      </c>
      <c r="E3405">
        <v>1</v>
      </c>
      <c r="F3405" t="s">
        <v>42</v>
      </c>
      <c r="G3405" t="s">
        <v>32</v>
      </c>
      <c r="H3405" t="s">
        <v>33</v>
      </c>
      <c r="I3405" t="s">
        <v>43</v>
      </c>
      <c r="J3405" t="s">
        <v>44</v>
      </c>
      <c r="K3405" t="s">
        <v>36</v>
      </c>
      <c r="L3405" t="s">
        <v>37</v>
      </c>
      <c r="M3405">
        <v>0</v>
      </c>
      <c r="N3405">
        <v>0</v>
      </c>
      <c r="O3405" s="5" t="s">
        <v>462</v>
      </c>
      <c r="P3405" s="5" t="s">
        <v>463</v>
      </c>
      <c r="Q3405">
        <f>32-13.5</f>
        <v>18.5</v>
      </c>
      <c r="R3405" t="s">
        <v>38</v>
      </c>
      <c r="T3405">
        <v>18</v>
      </c>
      <c r="U3405">
        <v>95</v>
      </c>
      <c r="V3405">
        <v>18</v>
      </c>
      <c r="W3405">
        <v>13.1</v>
      </c>
      <c r="X3405">
        <v>25.8</v>
      </c>
      <c r="Z3405" t="s">
        <v>102</v>
      </c>
      <c r="AB3405" t="s">
        <v>86</v>
      </c>
      <c r="AC3405" t="s">
        <v>41</v>
      </c>
    </row>
    <row r="3406" spans="1:30" x14ac:dyDescent="0.35">
      <c r="A3406" s="4">
        <v>42599</v>
      </c>
      <c r="B3406" t="s">
        <v>30</v>
      </c>
      <c r="C3406">
        <v>112</v>
      </c>
      <c r="D3406">
        <v>10</v>
      </c>
      <c r="E3406">
        <v>2</v>
      </c>
      <c r="F3406" t="s">
        <v>42</v>
      </c>
      <c r="G3406" t="s">
        <v>32</v>
      </c>
      <c r="H3406" t="s">
        <v>33</v>
      </c>
      <c r="I3406" t="s">
        <v>43</v>
      </c>
      <c r="J3406" t="s">
        <v>44</v>
      </c>
      <c r="K3406" t="s">
        <v>36</v>
      </c>
      <c r="L3406" t="s">
        <v>37</v>
      </c>
      <c r="M3406">
        <v>0</v>
      </c>
      <c r="N3406">
        <v>0</v>
      </c>
      <c r="O3406" s="5" t="s">
        <v>404</v>
      </c>
      <c r="P3406" s="5" t="s">
        <v>405</v>
      </c>
      <c r="Q3406">
        <f>32.5-14</f>
        <v>18.5</v>
      </c>
      <c r="R3406" t="s">
        <v>38</v>
      </c>
      <c r="T3406">
        <v>20</v>
      </c>
      <c r="U3406">
        <v>86</v>
      </c>
      <c r="V3406">
        <v>16</v>
      </c>
      <c r="W3406">
        <v>13.1</v>
      </c>
      <c r="X3406">
        <v>25.6</v>
      </c>
      <c r="AB3406" t="s">
        <v>86</v>
      </c>
      <c r="AC3406" t="s">
        <v>41</v>
      </c>
    </row>
    <row r="3407" spans="1:30" x14ac:dyDescent="0.35">
      <c r="A3407" s="4">
        <v>42599</v>
      </c>
      <c r="B3407" t="s">
        <v>30</v>
      </c>
      <c r="C3407">
        <v>203</v>
      </c>
      <c r="D3407">
        <v>8</v>
      </c>
      <c r="E3407">
        <v>1</v>
      </c>
      <c r="F3407" t="s">
        <v>315</v>
      </c>
      <c r="G3407" t="s">
        <v>32</v>
      </c>
      <c r="H3407" t="s">
        <v>33</v>
      </c>
      <c r="I3407" t="s">
        <v>43</v>
      </c>
      <c r="J3407" t="s">
        <v>44</v>
      </c>
      <c r="K3407" t="s">
        <v>36</v>
      </c>
      <c r="L3407" t="s">
        <v>45</v>
      </c>
      <c r="M3407">
        <v>0</v>
      </c>
      <c r="N3407">
        <v>0</v>
      </c>
      <c r="O3407" s="5" t="s">
        <v>328</v>
      </c>
      <c r="P3407" s="5" t="s">
        <v>329</v>
      </c>
      <c r="Q3407">
        <f>38-17</f>
        <v>21</v>
      </c>
      <c r="R3407" t="s">
        <v>46</v>
      </c>
      <c r="S3407" t="s">
        <v>39</v>
      </c>
      <c r="T3407">
        <v>19</v>
      </c>
      <c r="U3407">
        <v>82</v>
      </c>
      <c r="V3407">
        <v>15</v>
      </c>
      <c r="W3407">
        <v>13.2</v>
      </c>
      <c r="X3407">
        <v>28.9</v>
      </c>
      <c r="Y3407" t="s">
        <v>826</v>
      </c>
      <c r="Z3407" t="s">
        <v>102</v>
      </c>
      <c r="AB3407" t="s">
        <v>86</v>
      </c>
      <c r="AC3407" t="s">
        <v>41</v>
      </c>
    </row>
    <row r="3408" spans="1:30" x14ac:dyDescent="0.35">
      <c r="A3408" s="4">
        <v>42599</v>
      </c>
      <c r="B3408" t="s">
        <v>30</v>
      </c>
      <c r="C3408">
        <v>113</v>
      </c>
      <c r="D3408">
        <v>4</v>
      </c>
      <c r="E3408">
        <v>1</v>
      </c>
      <c r="F3408" t="s">
        <v>42</v>
      </c>
      <c r="G3408" t="s">
        <v>32</v>
      </c>
      <c r="H3408" t="s">
        <v>33</v>
      </c>
      <c r="I3408" t="s">
        <v>43</v>
      </c>
      <c r="J3408" t="s">
        <v>44</v>
      </c>
      <c r="K3408" t="s">
        <v>36</v>
      </c>
      <c r="L3408" t="s">
        <v>37</v>
      </c>
      <c r="M3408">
        <v>0</v>
      </c>
      <c r="N3408">
        <v>0</v>
      </c>
      <c r="O3408" s="5" t="s">
        <v>464</v>
      </c>
      <c r="P3408" s="5" t="s">
        <v>465</v>
      </c>
      <c r="Q3408">
        <f>33-14</f>
        <v>19</v>
      </c>
      <c r="R3408" t="s">
        <v>38</v>
      </c>
      <c r="T3408">
        <v>18</v>
      </c>
      <c r="V3408">
        <v>16</v>
      </c>
      <c r="W3408">
        <v>13.15</v>
      </c>
      <c r="X3408">
        <v>27.95</v>
      </c>
      <c r="AB3408" t="s">
        <v>86</v>
      </c>
      <c r="AC3408" t="s">
        <v>41</v>
      </c>
      <c r="AD3408" t="s">
        <v>827</v>
      </c>
    </row>
    <row r="3409" spans="1:30" x14ac:dyDescent="0.35">
      <c r="A3409" s="4">
        <v>42599</v>
      </c>
      <c r="B3409" t="s">
        <v>30</v>
      </c>
      <c r="C3409">
        <v>201</v>
      </c>
      <c r="D3409">
        <v>1</v>
      </c>
      <c r="E3409">
        <v>1</v>
      </c>
      <c r="F3409" t="s">
        <v>315</v>
      </c>
      <c r="G3409" t="s">
        <v>32</v>
      </c>
      <c r="H3409" t="s">
        <v>33</v>
      </c>
      <c r="I3409" t="s">
        <v>43</v>
      </c>
      <c r="J3409" t="s">
        <v>44</v>
      </c>
      <c r="K3409" t="s">
        <v>113</v>
      </c>
      <c r="L3409" t="s">
        <v>45</v>
      </c>
      <c r="M3409">
        <v>0</v>
      </c>
      <c r="N3409">
        <v>0</v>
      </c>
      <c r="O3409" s="5" t="s">
        <v>756</v>
      </c>
      <c r="P3409" s="5" t="s">
        <v>757</v>
      </c>
      <c r="Q3409">
        <f>32.5-15</f>
        <v>17.5</v>
      </c>
      <c r="R3409" t="s">
        <v>46</v>
      </c>
      <c r="S3409" t="s">
        <v>39</v>
      </c>
      <c r="T3409">
        <v>19</v>
      </c>
      <c r="U3409">
        <v>85</v>
      </c>
      <c r="V3409">
        <v>15</v>
      </c>
      <c r="W3409">
        <v>13.3</v>
      </c>
      <c r="X3409">
        <v>28.7</v>
      </c>
      <c r="Z3409" t="s">
        <v>102</v>
      </c>
      <c r="AA3409" t="s">
        <v>201</v>
      </c>
      <c r="AB3409" t="s">
        <v>86</v>
      </c>
      <c r="AC3409" t="s">
        <v>41</v>
      </c>
    </row>
    <row r="3410" spans="1:30" x14ac:dyDescent="0.35">
      <c r="A3410" s="4">
        <v>42599</v>
      </c>
      <c r="B3410" t="s">
        <v>30</v>
      </c>
      <c r="C3410">
        <v>112</v>
      </c>
      <c r="D3410">
        <v>7</v>
      </c>
      <c r="E3410">
        <v>1</v>
      </c>
      <c r="F3410" t="s">
        <v>42</v>
      </c>
      <c r="G3410" t="s">
        <v>32</v>
      </c>
      <c r="H3410" t="s">
        <v>33</v>
      </c>
      <c r="I3410" t="s">
        <v>43</v>
      </c>
      <c r="J3410" t="s">
        <v>44</v>
      </c>
      <c r="K3410" t="s">
        <v>36</v>
      </c>
      <c r="L3410" t="s">
        <v>45</v>
      </c>
      <c r="M3410">
        <v>0</v>
      </c>
      <c r="N3410">
        <v>0</v>
      </c>
      <c r="O3410" s="5" t="s">
        <v>467</v>
      </c>
      <c r="P3410" s="5" t="s">
        <v>468</v>
      </c>
      <c r="Q3410">
        <f>35-15.5</f>
        <v>19.5</v>
      </c>
      <c r="R3410" t="s">
        <v>74</v>
      </c>
      <c r="S3410" t="s">
        <v>102</v>
      </c>
      <c r="T3410">
        <v>18</v>
      </c>
      <c r="U3410">
        <v>96</v>
      </c>
      <c r="V3410">
        <v>16</v>
      </c>
      <c r="W3410">
        <v>13.1</v>
      </c>
      <c r="X3410">
        <v>27.1</v>
      </c>
      <c r="Y3410" t="s">
        <v>828</v>
      </c>
      <c r="AB3410" t="s">
        <v>86</v>
      </c>
      <c r="AC3410" t="s">
        <v>41</v>
      </c>
    </row>
    <row r="3411" spans="1:30" x14ac:dyDescent="0.35">
      <c r="A3411" s="4">
        <v>42599</v>
      </c>
      <c r="B3411" t="s">
        <v>30</v>
      </c>
      <c r="C3411">
        <v>113</v>
      </c>
      <c r="D3411">
        <v>10</v>
      </c>
      <c r="E3411">
        <v>1</v>
      </c>
      <c r="F3411" t="s">
        <v>42</v>
      </c>
      <c r="G3411" t="s">
        <v>32</v>
      </c>
      <c r="H3411" t="s">
        <v>33</v>
      </c>
      <c r="I3411" t="s">
        <v>43</v>
      </c>
      <c r="J3411" t="s">
        <v>44</v>
      </c>
      <c r="K3411" t="s">
        <v>113</v>
      </c>
      <c r="L3411" t="s">
        <v>37</v>
      </c>
      <c r="M3411">
        <v>0</v>
      </c>
      <c r="N3411">
        <v>0</v>
      </c>
      <c r="O3411" s="5" t="s">
        <v>829</v>
      </c>
      <c r="P3411" s="5" t="s">
        <v>830</v>
      </c>
      <c r="R3411" t="s">
        <v>46</v>
      </c>
      <c r="S3411" t="s">
        <v>39</v>
      </c>
      <c r="T3411">
        <v>16</v>
      </c>
      <c r="V3411">
        <v>17</v>
      </c>
      <c r="W3411">
        <v>12.9</v>
      </c>
      <c r="X3411">
        <v>24.3</v>
      </c>
      <c r="AB3411" t="s">
        <v>86</v>
      </c>
      <c r="AC3411" t="s">
        <v>41</v>
      </c>
    </row>
    <row r="3412" spans="1:30" x14ac:dyDescent="0.35">
      <c r="A3412" s="4">
        <v>42599</v>
      </c>
      <c r="B3412" t="s">
        <v>30</v>
      </c>
      <c r="C3412">
        <v>201</v>
      </c>
      <c r="D3412">
        <v>5</v>
      </c>
      <c r="E3412">
        <v>1</v>
      </c>
      <c r="F3412" t="s">
        <v>315</v>
      </c>
      <c r="G3412" t="s">
        <v>32</v>
      </c>
      <c r="H3412" t="s">
        <v>33</v>
      </c>
      <c r="I3412" t="s">
        <v>43</v>
      </c>
      <c r="J3412" t="s">
        <v>44</v>
      </c>
      <c r="K3412" t="s">
        <v>113</v>
      </c>
      <c r="L3412" t="s">
        <v>45</v>
      </c>
      <c r="M3412">
        <v>0</v>
      </c>
      <c r="N3412">
        <v>0</v>
      </c>
      <c r="O3412" s="5" t="s">
        <v>831</v>
      </c>
      <c r="P3412" s="5" t="s">
        <v>832</v>
      </c>
      <c r="Q3412">
        <f>31-14</f>
        <v>17</v>
      </c>
      <c r="R3412" t="s">
        <v>46</v>
      </c>
      <c r="S3412" t="s">
        <v>39</v>
      </c>
      <c r="T3412">
        <v>19</v>
      </c>
      <c r="U3412">
        <v>79</v>
      </c>
      <c r="V3412">
        <v>15</v>
      </c>
      <c r="W3412">
        <v>13.1</v>
      </c>
      <c r="X3412">
        <v>27.5</v>
      </c>
      <c r="Z3412" t="s">
        <v>102</v>
      </c>
      <c r="AA3412" t="s">
        <v>201</v>
      </c>
      <c r="AB3412" t="s">
        <v>86</v>
      </c>
      <c r="AC3412" t="s">
        <v>41</v>
      </c>
    </row>
    <row r="3413" spans="1:30" x14ac:dyDescent="0.35">
      <c r="A3413" s="4">
        <v>42599</v>
      </c>
      <c r="B3413" t="s">
        <v>30</v>
      </c>
      <c r="C3413">
        <v>201</v>
      </c>
      <c r="D3413">
        <v>7</v>
      </c>
      <c r="E3413">
        <v>2</v>
      </c>
      <c r="F3413" t="s">
        <v>315</v>
      </c>
      <c r="G3413" t="s">
        <v>32</v>
      </c>
      <c r="H3413" t="s">
        <v>33</v>
      </c>
      <c r="I3413" t="s">
        <v>43</v>
      </c>
      <c r="J3413" t="s">
        <v>44</v>
      </c>
      <c r="K3413" t="s">
        <v>88</v>
      </c>
      <c r="L3413" t="s">
        <v>45</v>
      </c>
      <c r="M3413">
        <v>0</v>
      </c>
      <c r="N3413">
        <v>0</v>
      </c>
      <c r="O3413" s="5" t="s">
        <v>833</v>
      </c>
      <c r="P3413" s="5" t="s">
        <v>834</v>
      </c>
      <c r="Q3413">
        <f>30-17</f>
        <v>13</v>
      </c>
      <c r="R3413" t="s">
        <v>46</v>
      </c>
      <c r="S3413" t="s">
        <v>39</v>
      </c>
      <c r="T3413">
        <v>19</v>
      </c>
      <c r="U3413">
        <v>72</v>
      </c>
      <c r="V3413">
        <v>16</v>
      </c>
      <c r="W3413">
        <v>13</v>
      </c>
      <c r="X3413">
        <v>27</v>
      </c>
      <c r="Z3413" t="s">
        <v>102</v>
      </c>
      <c r="AA3413" t="s">
        <v>201</v>
      </c>
      <c r="AB3413" t="s">
        <v>86</v>
      </c>
      <c r="AC3413" t="s">
        <v>41</v>
      </c>
    </row>
    <row r="3414" spans="1:30" x14ac:dyDescent="0.35">
      <c r="A3414" s="4">
        <v>42599</v>
      </c>
      <c r="B3414" t="s">
        <v>30</v>
      </c>
      <c r="C3414">
        <v>201</v>
      </c>
      <c r="D3414">
        <v>10</v>
      </c>
      <c r="E3414">
        <v>2</v>
      </c>
      <c r="F3414" t="s">
        <v>315</v>
      </c>
      <c r="G3414" t="s">
        <v>32</v>
      </c>
      <c r="H3414" t="s">
        <v>33</v>
      </c>
      <c r="I3414" t="s">
        <v>43</v>
      </c>
      <c r="J3414" t="s">
        <v>44</v>
      </c>
      <c r="K3414" t="s">
        <v>113</v>
      </c>
      <c r="L3414" t="s">
        <v>37</v>
      </c>
      <c r="M3414">
        <v>0</v>
      </c>
      <c r="N3414">
        <v>0</v>
      </c>
      <c r="O3414" s="5" t="s">
        <v>767</v>
      </c>
      <c r="P3414" s="5" t="s">
        <v>768</v>
      </c>
      <c r="Q3414">
        <f>32-16</f>
        <v>16</v>
      </c>
      <c r="R3414" t="s">
        <v>38</v>
      </c>
      <c r="T3414">
        <v>19</v>
      </c>
      <c r="U3414">
        <v>87</v>
      </c>
      <c r="V3414">
        <v>17</v>
      </c>
      <c r="W3414">
        <v>13.1</v>
      </c>
      <c r="X3414">
        <v>27.7</v>
      </c>
      <c r="Z3414" t="s">
        <v>102</v>
      </c>
      <c r="AA3414" t="s">
        <v>201</v>
      </c>
      <c r="AB3414" t="s">
        <v>86</v>
      </c>
      <c r="AC3414" t="s">
        <v>41</v>
      </c>
    </row>
    <row r="3415" spans="1:30" x14ac:dyDescent="0.35">
      <c r="A3415" s="4">
        <v>42599</v>
      </c>
      <c r="B3415" t="s">
        <v>30</v>
      </c>
      <c r="C3415">
        <v>201</v>
      </c>
      <c r="D3415">
        <v>7</v>
      </c>
      <c r="E3415">
        <v>1</v>
      </c>
      <c r="F3415" t="s">
        <v>315</v>
      </c>
      <c r="G3415" t="s">
        <v>32</v>
      </c>
      <c r="H3415" t="s">
        <v>33</v>
      </c>
      <c r="I3415" t="s">
        <v>43</v>
      </c>
      <c r="J3415" t="s">
        <v>44</v>
      </c>
      <c r="K3415" t="s">
        <v>113</v>
      </c>
      <c r="L3415" t="s">
        <v>37</v>
      </c>
      <c r="M3415">
        <v>0</v>
      </c>
      <c r="N3415">
        <v>0</v>
      </c>
      <c r="O3415" s="5" t="s">
        <v>769</v>
      </c>
      <c r="P3415" s="5" t="s">
        <v>770</v>
      </c>
      <c r="Q3415">
        <f>32-16</f>
        <v>16</v>
      </c>
      <c r="R3415" t="s">
        <v>38</v>
      </c>
      <c r="T3415">
        <v>19</v>
      </c>
      <c r="U3415">
        <v>83</v>
      </c>
      <c r="V3415">
        <v>16</v>
      </c>
      <c r="W3415">
        <v>13.1</v>
      </c>
      <c r="X3415">
        <v>27.3</v>
      </c>
      <c r="Z3415" t="s">
        <v>102</v>
      </c>
      <c r="AA3415" t="s">
        <v>201</v>
      </c>
      <c r="AB3415" t="s">
        <v>86</v>
      </c>
      <c r="AC3415" t="s">
        <v>41</v>
      </c>
      <c r="AD3415" t="s">
        <v>835</v>
      </c>
    </row>
    <row r="3416" spans="1:30" x14ac:dyDescent="0.35">
      <c r="A3416" s="4">
        <v>42599</v>
      </c>
      <c r="B3416" t="s">
        <v>30</v>
      </c>
      <c r="C3416">
        <v>113</v>
      </c>
      <c r="D3416">
        <v>8</v>
      </c>
      <c r="E3416">
        <v>2</v>
      </c>
      <c r="F3416" t="s">
        <v>42</v>
      </c>
      <c r="G3416" t="s">
        <v>32</v>
      </c>
      <c r="H3416" t="s">
        <v>33</v>
      </c>
      <c r="I3416" t="s">
        <v>43</v>
      </c>
      <c r="J3416" t="s">
        <v>44</v>
      </c>
      <c r="K3416" t="s">
        <v>113</v>
      </c>
      <c r="L3416" t="s">
        <v>37</v>
      </c>
      <c r="M3416">
        <v>0</v>
      </c>
      <c r="N3416">
        <v>0</v>
      </c>
      <c r="O3416" s="5" t="s">
        <v>469</v>
      </c>
      <c r="P3416" s="5" t="s">
        <v>470</v>
      </c>
      <c r="Q3416">
        <f>37-19</f>
        <v>18</v>
      </c>
      <c r="R3416" t="s">
        <v>38</v>
      </c>
      <c r="T3416">
        <v>19</v>
      </c>
      <c r="U3416">
        <v>83</v>
      </c>
      <c r="V3416">
        <v>15</v>
      </c>
      <c r="W3416">
        <v>13.25</v>
      </c>
      <c r="X3416">
        <v>29.3</v>
      </c>
      <c r="AB3416" t="s">
        <v>86</v>
      </c>
      <c r="AC3416" t="s">
        <v>41</v>
      </c>
    </row>
    <row r="3417" spans="1:30" x14ac:dyDescent="0.35">
      <c r="A3417" s="4">
        <v>42599</v>
      </c>
      <c r="B3417" t="s">
        <v>30</v>
      </c>
      <c r="C3417">
        <v>202</v>
      </c>
      <c r="D3417">
        <v>2</v>
      </c>
      <c r="E3417">
        <v>1</v>
      </c>
      <c r="F3417" t="s">
        <v>315</v>
      </c>
      <c r="G3417" t="s">
        <v>32</v>
      </c>
      <c r="H3417" t="s">
        <v>33</v>
      </c>
      <c r="I3417" t="s">
        <v>43</v>
      </c>
      <c r="J3417" t="s">
        <v>44</v>
      </c>
      <c r="K3417" t="s">
        <v>113</v>
      </c>
      <c r="L3417" t="s">
        <v>37</v>
      </c>
      <c r="M3417">
        <v>0</v>
      </c>
      <c r="N3417">
        <v>0</v>
      </c>
      <c r="O3417" s="5" t="s">
        <v>778</v>
      </c>
      <c r="P3417" s="5" t="s">
        <v>779</v>
      </c>
      <c r="Q3417">
        <f>30-14</f>
        <v>16</v>
      </c>
      <c r="R3417" t="s">
        <v>64</v>
      </c>
      <c r="T3417">
        <v>19</v>
      </c>
      <c r="U3417">
        <v>88</v>
      </c>
      <c r="V3417">
        <v>16</v>
      </c>
      <c r="W3417">
        <v>13.1</v>
      </c>
      <c r="X3417">
        <v>27</v>
      </c>
      <c r="Z3417" t="s">
        <v>102</v>
      </c>
      <c r="AB3417" t="s">
        <v>86</v>
      </c>
      <c r="AC3417" t="s">
        <v>41</v>
      </c>
    </row>
    <row r="3418" spans="1:30" x14ac:dyDescent="0.35">
      <c r="A3418" s="4">
        <v>42599</v>
      </c>
      <c r="B3418" t="s">
        <v>30</v>
      </c>
      <c r="C3418">
        <v>111</v>
      </c>
      <c r="D3418">
        <v>9</v>
      </c>
      <c r="E3418">
        <v>1</v>
      </c>
      <c r="F3418" t="s">
        <v>42</v>
      </c>
      <c r="G3418" t="s">
        <v>32</v>
      </c>
      <c r="H3418" t="s">
        <v>33</v>
      </c>
      <c r="I3418" t="s">
        <v>43</v>
      </c>
      <c r="J3418" t="s">
        <v>44</v>
      </c>
      <c r="K3418" t="s">
        <v>88</v>
      </c>
      <c r="L3418" t="s">
        <v>37</v>
      </c>
      <c r="M3418">
        <v>0</v>
      </c>
      <c r="N3418">
        <v>0</v>
      </c>
      <c r="O3418" s="5" t="s">
        <v>471</v>
      </c>
      <c r="P3418" s="5" t="s">
        <v>472</v>
      </c>
      <c r="Q3418">
        <f>27.3-13</f>
        <v>14.3</v>
      </c>
      <c r="R3418" t="s">
        <v>64</v>
      </c>
      <c r="T3418">
        <v>19</v>
      </c>
      <c r="V3418">
        <v>16</v>
      </c>
      <c r="W3418">
        <v>13</v>
      </c>
      <c r="X3418">
        <v>25.4</v>
      </c>
      <c r="Z3418" t="s">
        <v>102</v>
      </c>
      <c r="AB3418" t="s">
        <v>86</v>
      </c>
      <c r="AC3418" t="s">
        <v>41</v>
      </c>
    </row>
    <row r="3419" spans="1:30" x14ac:dyDescent="0.35">
      <c r="A3419" s="4">
        <v>42599</v>
      </c>
      <c r="B3419" t="s">
        <v>30</v>
      </c>
      <c r="C3419">
        <v>402</v>
      </c>
      <c r="D3419">
        <v>9</v>
      </c>
      <c r="E3419">
        <v>2</v>
      </c>
      <c r="F3419" t="s">
        <v>42</v>
      </c>
      <c r="G3419" t="s">
        <v>32</v>
      </c>
      <c r="H3419" t="s">
        <v>33</v>
      </c>
      <c r="I3419" t="s">
        <v>34</v>
      </c>
      <c r="J3419" t="s">
        <v>44</v>
      </c>
      <c r="K3419" t="s">
        <v>88</v>
      </c>
      <c r="L3419" t="s">
        <v>37</v>
      </c>
      <c r="M3419">
        <v>0</v>
      </c>
      <c r="N3419">
        <v>0</v>
      </c>
      <c r="O3419" s="5" t="s">
        <v>428</v>
      </c>
      <c r="P3419" s="5"/>
      <c r="Q3419">
        <f>177-94</f>
        <v>83</v>
      </c>
      <c r="R3419" t="s">
        <v>64</v>
      </c>
      <c r="T3419">
        <v>31.5</v>
      </c>
      <c r="W3419">
        <v>21.4</v>
      </c>
      <c r="X3419">
        <v>43</v>
      </c>
      <c r="Z3419" t="s">
        <v>102</v>
      </c>
      <c r="AB3419" t="s">
        <v>86</v>
      </c>
      <c r="AC3419" t="s">
        <v>41</v>
      </c>
    </row>
    <row r="3420" spans="1:30" x14ac:dyDescent="0.35">
      <c r="A3420" s="4">
        <v>42599</v>
      </c>
      <c r="B3420" t="s">
        <v>30</v>
      </c>
      <c r="C3420">
        <v>112</v>
      </c>
      <c r="D3420">
        <v>2</v>
      </c>
      <c r="E3420">
        <v>2</v>
      </c>
      <c r="F3420" t="s">
        <v>42</v>
      </c>
      <c r="G3420" t="s">
        <v>32</v>
      </c>
      <c r="H3420" t="s">
        <v>33</v>
      </c>
      <c r="I3420" t="s">
        <v>34</v>
      </c>
      <c r="J3420" t="s">
        <v>35</v>
      </c>
      <c r="K3420" t="s">
        <v>36</v>
      </c>
      <c r="L3420" t="s">
        <v>37</v>
      </c>
      <c r="M3420">
        <v>0</v>
      </c>
      <c r="N3420">
        <v>1</v>
      </c>
      <c r="O3420" s="5" t="s">
        <v>836</v>
      </c>
      <c r="P3420" s="5"/>
      <c r="Q3420">
        <f>185-94</f>
        <v>91</v>
      </c>
      <c r="R3420" t="s">
        <v>64</v>
      </c>
      <c r="T3420">
        <v>30</v>
      </c>
      <c r="W3420">
        <v>21.3</v>
      </c>
      <c r="X3420">
        <v>41.4</v>
      </c>
      <c r="AB3420" t="s">
        <v>86</v>
      </c>
      <c r="AC3420" t="s">
        <v>41</v>
      </c>
      <c r="AD3420" t="s">
        <v>837</v>
      </c>
    </row>
    <row r="3421" spans="1:30" x14ac:dyDescent="0.35">
      <c r="A3421" s="4">
        <v>42599</v>
      </c>
      <c r="B3421" t="s">
        <v>30</v>
      </c>
      <c r="C3421">
        <v>304</v>
      </c>
      <c r="D3421">
        <v>8</v>
      </c>
      <c r="E3421">
        <v>1</v>
      </c>
      <c r="F3421" t="s">
        <v>315</v>
      </c>
      <c r="G3421" t="s">
        <v>32</v>
      </c>
      <c r="H3421" t="s">
        <v>33</v>
      </c>
      <c r="I3421" t="s">
        <v>58</v>
      </c>
      <c r="J3421" t="s">
        <v>44</v>
      </c>
      <c r="K3421" t="s">
        <v>36</v>
      </c>
      <c r="L3421" t="s">
        <v>37</v>
      </c>
      <c r="M3421">
        <v>0</v>
      </c>
      <c r="N3421">
        <v>0</v>
      </c>
      <c r="O3421" s="5" t="s">
        <v>783</v>
      </c>
      <c r="P3421" s="5"/>
      <c r="Q3421">
        <f>34-15.5</f>
        <v>18.5</v>
      </c>
      <c r="R3421" t="s">
        <v>38</v>
      </c>
      <c r="T3421">
        <v>16.5</v>
      </c>
      <c r="W3421">
        <v>13.1</v>
      </c>
      <c r="X3421">
        <v>27.1</v>
      </c>
      <c r="Z3421" t="s">
        <v>102</v>
      </c>
      <c r="AA3421" t="s">
        <v>201</v>
      </c>
      <c r="AB3421" t="s">
        <v>86</v>
      </c>
      <c r="AC3421" t="s">
        <v>41</v>
      </c>
    </row>
    <row r="3422" spans="1:30" x14ac:dyDescent="0.35">
      <c r="A3422" s="4">
        <v>42599</v>
      </c>
      <c r="B3422" t="s">
        <v>30</v>
      </c>
      <c r="C3422">
        <v>201</v>
      </c>
      <c r="D3422">
        <v>3</v>
      </c>
      <c r="E3422">
        <v>1</v>
      </c>
      <c r="F3422" t="s">
        <v>315</v>
      </c>
      <c r="G3422" t="s">
        <v>32</v>
      </c>
      <c r="H3422" t="s">
        <v>33</v>
      </c>
      <c r="I3422" t="s">
        <v>58</v>
      </c>
      <c r="J3422" t="s">
        <v>35</v>
      </c>
      <c r="K3422" t="s">
        <v>36</v>
      </c>
      <c r="L3422" t="s">
        <v>37</v>
      </c>
      <c r="M3422">
        <v>0</v>
      </c>
      <c r="N3422">
        <v>1</v>
      </c>
      <c r="O3422" s="5" t="s">
        <v>838</v>
      </c>
      <c r="P3422" s="5"/>
      <c r="Q3422">
        <f>35-15</f>
        <v>20</v>
      </c>
      <c r="R3422" t="s">
        <v>38</v>
      </c>
      <c r="T3422">
        <v>18</v>
      </c>
      <c r="W3422">
        <v>13</v>
      </c>
      <c r="X3422">
        <v>26.4</v>
      </c>
      <c r="Z3422" t="s">
        <v>102</v>
      </c>
      <c r="AA3422" t="s">
        <v>201</v>
      </c>
      <c r="AB3422" t="s">
        <v>86</v>
      </c>
      <c r="AC3422" t="s">
        <v>41</v>
      </c>
      <c r="AD3422" t="s">
        <v>839</v>
      </c>
    </row>
    <row r="3423" spans="1:30" x14ac:dyDescent="0.35">
      <c r="A3423" s="4">
        <v>42599</v>
      </c>
      <c r="B3423" t="s">
        <v>30</v>
      </c>
      <c r="C3423">
        <v>201</v>
      </c>
      <c r="D3423">
        <v>8</v>
      </c>
      <c r="E3423">
        <v>1</v>
      </c>
      <c r="F3423" t="s">
        <v>315</v>
      </c>
      <c r="G3423" t="s">
        <v>32</v>
      </c>
      <c r="H3423" t="s">
        <v>33</v>
      </c>
      <c r="I3423" t="s">
        <v>58</v>
      </c>
      <c r="J3423" t="s">
        <v>35</v>
      </c>
      <c r="K3423" t="s">
        <v>36</v>
      </c>
      <c r="L3423" t="s">
        <v>37</v>
      </c>
      <c r="M3423">
        <v>0</v>
      </c>
      <c r="N3423">
        <v>1</v>
      </c>
      <c r="O3423" s="5" t="s">
        <v>840</v>
      </c>
      <c r="P3423" s="5"/>
      <c r="Q3423">
        <f>36-16</f>
        <v>20</v>
      </c>
      <c r="R3423" t="s">
        <v>38</v>
      </c>
      <c r="T3423">
        <v>16</v>
      </c>
      <c r="W3423">
        <v>13.2</v>
      </c>
      <c r="X3423">
        <v>27.6</v>
      </c>
      <c r="Z3423" t="s">
        <v>102</v>
      </c>
      <c r="AA3423" t="s">
        <v>201</v>
      </c>
      <c r="AB3423" t="s">
        <v>86</v>
      </c>
      <c r="AC3423" t="s">
        <v>41</v>
      </c>
      <c r="AD3423" t="s">
        <v>807</v>
      </c>
    </row>
    <row r="3424" spans="1:30" x14ac:dyDescent="0.35">
      <c r="A3424" s="4">
        <v>42599</v>
      </c>
      <c r="B3424" t="s">
        <v>30</v>
      </c>
      <c r="C3424">
        <v>203</v>
      </c>
      <c r="D3424">
        <v>5</v>
      </c>
      <c r="E3424">
        <v>1</v>
      </c>
      <c r="F3424" t="s">
        <v>315</v>
      </c>
      <c r="G3424" t="s">
        <v>32</v>
      </c>
      <c r="H3424" t="s">
        <v>33</v>
      </c>
      <c r="I3424" t="s">
        <v>58</v>
      </c>
      <c r="J3424" t="s">
        <v>35</v>
      </c>
      <c r="K3424" t="s">
        <v>36</v>
      </c>
      <c r="L3424" t="s">
        <v>45</v>
      </c>
      <c r="M3424">
        <v>0</v>
      </c>
      <c r="N3424">
        <v>1</v>
      </c>
      <c r="O3424" s="5" t="s">
        <v>841</v>
      </c>
      <c r="P3424" s="5"/>
      <c r="Q3424">
        <f>35-14</f>
        <v>21</v>
      </c>
      <c r="R3424" t="s">
        <v>46</v>
      </c>
      <c r="S3424" t="s">
        <v>39</v>
      </c>
      <c r="Z3424" t="s">
        <v>102</v>
      </c>
      <c r="AA3424" t="s">
        <v>201</v>
      </c>
      <c r="AB3424" t="s">
        <v>86</v>
      </c>
      <c r="AC3424" t="s">
        <v>41</v>
      </c>
      <c r="AD3424" t="s">
        <v>807</v>
      </c>
    </row>
    <row r="3425" spans="1:30" x14ac:dyDescent="0.35">
      <c r="A3425" s="4">
        <v>42599</v>
      </c>
      <c r="B3425" t="s">
        <v>30</v>
      </c>
      <c r="C3425">
        <v>203</v>
      </c>
      <c r="D3425">
        <v>6</v>
      </c>
      <c r="E3425">
        <v>1</v>
      </c>
      <c r="F3425" t="s">
        <v>315</v>
      </c>
      <c r="G3425" t="s">
        <v>32</v>
      </c>
      <c r="H3425" t="s">
        <v>33</v>
      </c>
      <c r="I3425" t="s">
        <v>58</v>
      </c>
      <c r="J3425" t="s">
        <v>35</v>
      </c>
      <c r="K3425" t="s">
        <v>36</v>
      </c>
      <c r="L3425" t="s">
        <v>45</v>
      </c>
      <c r="M3425">
        <v>0</v>
      </c>
      <c r="N3425">
        <v>1</v>
      </c>
      <c r="O3425" s="5" t="s">
        <v>842</v>
      </c>
      <c r="P3425" s="5"/>
      <c r="Q3425">
        <f>42.5-14.5</f>
        <v>28</v>
      </c>
      <c r="R3425" t="s">
        <v>143</v>
      </c>
      <c r="S3425" t="s">
        <v>102</v>
      </c>
      <c r="T3425">
        <v>17</v>
      </c>
      <c r="W3425">
        <v>13.1</v>
      </c>
      <c r="X3425">
        <v>26.2</v>
      </c>
      <c r="Z3425" t="s">
        <v>102</v>
      </c>
      <c r="AA3425" t="s">
        <v>201</v>
      </c>
      <c r="AB3425" t="s">
        <v>86</v>
      </c>
      <c r="AC3425" t="s">
        <v>41</v>
      </c>
      <c r="AD3425" t="s">
        <v>807</v>
      </c>
    </row>
    <row r="3426" spans="1:30" x14ac:dyDescent="0.35">
      <c r="A3426" s="4">
        <v>42599</v>
      </c>
      <c r="B3426" t="s">
        <v>30</v>
      </c>
      <c r="C3426">
        <v>203</v>
      </c>
      <c r="D3426">
        <v>6</v>
      </c>
      <c r="E3426">
        <v>2</v>
      </c>
      <c r="F3426" t="s">
        <v>315</v>
      </c>
      <c r="G3426" t="s">
        <v>32</v>
      </c>
      <c r="H3426" t="s">
        <v>33</v>
      </c>
      <c r="I3426" t="s">
        <v>58</v>
      </c>
      <c r="J3426" t="s">
        <v>35</v>
      </c>
      <c r="K3426" t="s">
        <v>36</v>
      </c>
      <c r="L3426" t="s">
        <v>37</v>
      </c>
      <c r="M3426">
        <v>0</v>
      </c>
      <c r="N3426">
        <v>1</v>
      </c>
      <c r="O3426" s="5" t="s">
        <v>843</v>
      </c>
      <c r="P3426" s="5"/>
      <c r="Q3426">
        <f>29-14</f>
        <v>15</v>
      </c>
      <c r="R3426" t="s">
        <v>64</v>
      </c>
      <c r="T3426">
        <v>17</v>
      </c>
      <c r="W3426">
        <v>12.7</v>
      </c>
      <c r="X3426">
        <v>25.2</v>
      </c>
      <c r="Z3426" t="s">
        <v>102</v>
      </c>
      <c r="AA3426" t="s">
        <v>201</v>
      </c>
      <c r="AB3426" t="s">
        <v>86</v>
      </c>
      <c r="AC3426" t="s">
        <v>41</v>
      </c>
      <c r="AD3426" t="s">
        <v>807</v>
      </c>
    </row>
    <row r="3427" spans="1:30" x14ac:dyDescent="0.35">
      <c r="A3427" s="4">
        <v>42599</v>
      </c>
      <c r="B3427" t="s">
        <v>30</v>
      </c>
      <c r="C3427">
        <v>202</v>
      </c>
      <c r="D3427">
        <v>3</v>
      </c>
      <c r="E3427">
        <v>1</v>
      </c>
      <c r="F3427" t="s">
        <v>315</v>
      </c>
      <c r="G3427" t="s">
        <v>32</v>
      </c>
      <c r="H3427" t="s">
        <v>33</v>
      </c>
      <c r="I3427" t="s">
        <v>58</v>
      </c>
      <c r="J3427" t="s">
        <v>35</v>
      </c>
      <c r="M3427">
        <v>0</v>
      </c>
      <c r="N3427">
        <v>1</v>
      </c>
      <c r="O3427" s="5" t="s">
        <v>844</v>
      </c>
      <c r="P3427" s="5"/>
      <c r="AB3427" t="s">
        <v>86</v>
      </c>
      <c r="AC3427" t="s">
        <v>41</v>
      </c>
      <c r="AD3427" t="s">
        <v>845</v>
      </c>
    </row>
    <row r="3428" spans="1:30" x14ac:dyDescent="0.35">
      <c r="A3428" s="4">
        <v>42599</v>
      </c>
      <c r="B3428" t="s">
        <v>30</v>
      </c>
      <c r="C3428">
        <v>304</v>
      </c>
      <c r="D3428">
        <v>2</v>
      </c>
      <c r="E3428">
        <v>2</v>
      </c>
      <c r="F3428" t="s">
        <v>315</v>
      </c>
      <c r="G3428" t="s">
        <v>32</v>
      </c>
      <c r="H3428" t="s">
        <v>33</v>
      </c>
      <c r="I3428" t="s">
        <v>58</v>
      </c>
      <c r="J3428" t="s">
        <v>35</v>
      </c>
      <c r="K3428" t="s">
        <v>113</v>
      </c>
      <c r="L3428" t="s">
        <v>37</v>
      </c>
      <c r="M3428">
        <v>0</v>
      </c>
      <c r="N3428">
        <v>1</v>
      </c>
      <c r="O3428" s="5" t="s">
        <v>846</v>
      </c>
      <c r="P3428" s="5"/>
      <c r="Q3428">
        <f>34-14</f>
        <v>20</v>
      </c>
      <c r="R3428" t="s">
        <v>38</v>
      </c>
      <c r="T3428">
        <v>18.5</v>
      </c>
      <c r="W3428">
        <v>13.1</v>
      </c>
      <c r="X3428">
        <v>26.8</v>
      </c>
      <c r="Z3428" t="s">
        <v>102</v>
      </c>
      <c r="AA3428" t="s">
        <v>847</v>
      </c>
      <c r="AB3428" t="s">
        <v>86</v>
      </c>
      <c r="AC3428" t="s">
        <v>41</v>
      </c>
    </row>
    <row r="3429" spans="1:30" x14ac:dyDescent="0.35">
      <c r="A3429" s="4">
        <v>42599</v>
      </c>
      <c r="B3429" t="s">
        <v>30</v>
      </c>
      <c r="C3429">
        <v>304</v>
      </c>
      <c r="D3429">
        <v>1</v>
      </c>
      <c r="E3429">
        <v>2</v>
      </c>
      <c r="F3429" t="s">
        <v>315</v>
      </c>
      <c r="G3429" t="s">
        <v>32</v>
      </c>
      <c r="H3429" t="s">
        <v>33</v>
      </c>
      <c r="I3429" t="s">
        <v>58</v>
      </c>
      <c r="J3429" t="s">
        <v>35</v>
      </c>
      <c r="K3429" t="s">
        <v>36</v>
      </c>
      <c r="L3429" t="s">
        <v>45</v>
      </c>
      <c r="M3429">
        <v>0</v>
      </c>
      <c r="N3429">
        <v>1</v>
      </c>
      <c r="O3429" s="5" t="s">
        <v>848</v>
      </c>
      <c r="P3429" s="5"/>
      <c r="Q3429">
        <f>42-14</f>
        <v>28</v>
      </c>
      <c r="R3429" t="s">
        <v>143</v>
      </c>
      <c r="S3429" t="s">
        <v>102</v>
      </c>
      <c r="T3429">
        <v>17</v>
      </c>
      <c r="W3429">
        <v>13.2</v>
      </c>
      <c r="X3429">
        <v>27</v>
      </c>
      <c r="Z3429" t="s">
        <v>102</v>
      </c>
      <c r="AA3429" t="s">
        <v>201</v>
      </c>
      <c r="AB3429" t="s">
        <v>86</v>
      </c>
      <c r="AC3429" t="s">
        <v>41</v>
      </c>
    </row>
    <row r="3430" spans="1:30" x14ac:dyDescent="0.35">
      <c r="A3430" s="4">
        <v>42599</v>
      </c>
      <c r="B3430" t="s">
        <v>30</v>
      </c>
      <c r="C3430">
        <v>304</v>
      </c>
      <c r="D3430">
        <v>6</v>
      </c>
      <c r="E3430">
        <v>2</v>
      </c>
      <c r="F3430" t="s">
        <v>315</v>
      </c>
      <c r="G3430" t="s">
        <v>32</v>
      </c>
      <c r="H3430" t="s">
        <v>33</v>
      </c>
      <c r="I3430" t="s">
        <v>58</v>
      </c>
      <c r="J3430" t="s">
        <v>44</v>
      </c>
      <c r="K3430" t="s">
        <v>36</v>
      </c>
      <c r="L3430" t="s">
        <v>45</v>
      </c>
      <c r="M3430">
        <v>0</v>
      </c>
      <c r="N3430">
        <v>0</v>
      </c>
      <c r="O3430" s="5" t="s">
        <v>340</v>
      </c>
      <c r="P3430" s="5"/>
      <c r="Q3430">
        <f>39-15</f>
        <v>24</v>
      </c>
      <c r="R3430" t="s">
        <v>143</v>
      </c>
      <c r="S3430" t="s">
        <v>102</v>
      </c>
      <c r="T3430">
        <v>17</v>
      </c>
      <c r="W3430">
        <v>13.1</v>
      </c>
      <c r="X3430">
        <v>27.2</v>
      </c>
      <c r="Z3430" t="s">
        <v>102</v>
      </c>
      <c r="AA3430" t="s">
        <v>201</v>
      </c>
      <c r="AB3430" t="s">
        <v>86</v>
      </c>
      <c r="AC3430" t="s">
        <v>41</v>
      </c>
      <c r="AD3430" t="s">
        <v>849</v>
      </c>
    </row>
    <row r="3431" spans="1:30" x14ac:dyDescent="0.35">
      <c r="A3431" s="4">
        <v>42599</v>
      </c>
      <c r="B3431" t="s">
        <v>30</v>
      </c>
      <c r="C3431">
        <v>402</v>
      </c>
      <c r="D3431">
        <v>10</v>
      </c>
      <c r="E3431">
        <v>1</v>
      </c>
      <c r="F3431" t="s">
        <v>42</v>
      </c>
      <c r="G3431" t="s">
        <v>32</v>
      </c>
      <c r="H3431" t="s">
        <v>33</v>
      </c>
      <c r="I3431" t="s">
        <v>58</v>
      </c>
      <c r="J3431" t="s">
        <v>44</v>
      </c>
      <c r="K3431" t="s">
        <v>36</v>
      </c>
      <c r="L3431" t="s">
        <v>45</v>
      </c>
      <c r="M3431">
        <v>0</v>
      </c>
      <c r="N3431">
        <v>0</v>
      </c>
      <c r="O3431" s="5" t="s">
        <v>342</v>
      </c>
      <c r="P3431" s="5"/>
      <c r="Q3431">
        <f>38.5-14</f>
        <v>24.5</v>
      </c>
      <c r="R3431" t="s">
        <v>74</v>
      </c>
      <c r="S3431" t="s">
        <v>102</v>
      </c>
      <c r="Z3431" t="s">
        <v>102</v>
      </c>
      <c r="AB3431" t="s">
        <v>86</v>
      </c>
      <c r="AC3431" t="s">
        <v>41</v>
      </c>
      <c r="AD3431" t="s">
        <v>850</v>
      </c>
    </row>
    <row r="3432" spans="1:30" x14ac:dyDescent="0.35">
      <c r="A3432" s="4">
        <v>42599</v>
      </c>
      <c r="B3432" t="s">
        <v>30</v>
      </c>
      <c r="C3432">
        <v>402</v>
      </c>
      <c r="D3432">
        <v>1</v>
      </c>
      <c r="E3432">
        <v>1</v>
      </c>
      <c r="F3432" t="s">
        <v>42</v>
      </c>
      <c r="G3432" t="s">
        <v>32</v>
      </c>
      <c r="H3432" t="s">
        <v>33</v>
      </c>
      <c r="I3432" t="s">
        <v>58</v>
      </c>
      <c r="J3432" t="s">
        <v>44</v>
      </c>
      <c r="K3432" t="s">
        <v>36</v>
      </c>
      <c r="L3432" t="s">
        <v>37</v>
      </c>
      <c r="M3432">
        <v>0</v>
      </c>
      <c r="N3432">
        <v>0</v>
      </c>
      <c r="O3432" s="5" t="s">
        <v>476</v>
      </c>
      <c r="P3432" s="5"/>
      <c r="Q3432">
        <f>34-13.5</f>
        <v>20.5</v>
      </c>
      <c r="R3432" t="s">
        <v>64</v>
      </c>
      <c r="T3432">
        <v>17</v>
      </c>
      <c r="W3432">
        <v>12.4</v>
      </c>
      <c r="X3432">
        <v>26.2</v>
      </c>
      <c r="Z3432" t="s">
        <v>102</v>
      </c>
      <c r="AB3432" t="s">
        <v>86</v>
      </c>
      <c r="AC3432" t="s">
        <v>41</v>
      </c>
    </row>
    <row r="3433" spans="1:30" x14ac:dyDescent="0.35">
      <c r="A3433" s="4">
        <v>42599</v>
      </c>
      <c r="B3433" t="s">
        <v>30</v>
      </c>
      <c r="C3433">
        <v>402</v>
      </c>
      <c r="D3433">
        <v>5</v>
      </c>
      <c r="E3433">
        <v>1</v>
      </c>
      <c r="F3433" t="s">
        <v>42</v>
      </c>
      <c r="G3433" t="s">
        <v>32</v>
      </c>
      <c r="H3433" t="s">
        <v>33</v>
      </c>
      <c r="I3433" t="s">
        <v>58</v>
      </c>
      <c r="J3433" t="s">
        <v>44</v>
      </c>
      <c r="K3433" t="s">
        <v>36</v>
      </c>
      <c r="L3433" t="s">
        <v>37</v>
      </c>
      <c r="M3433">
        <v>0</v>
      </c>
      <c r="N3433">
        <v>0</v>
      </c>
      <c r="O3433" s="5" t="s">
        <v>477</v>
      </c>
      <c r="P3433" s="5"/>
      <c r="Q3433">
        <f>40-14</f>
        <v>26</v>
      </c>
      <c r="R3433" t="s">
        <v>38</v>
      </c>
      <c r="T3433">
        <v>17</v>
      </c>
      <c r="W3433">
        <v>13.5</v>
      </c>
      <c r="X3433">
        <v>27</v>
      </c>
      <c r="Z3433" t="s">
        <v>102</v>
      </c>
      <c r="AB3433" t="s">
        <v>86</v>
      </c>
      <c r="AC3433" t="s">
        <v>41</v>
      </c>
    </row>
    <row r="3434" spans="1:30" x14ac:dyDescent="0.35">
      <c r="A3434" s="4">
        <v>42599</v>
      </c>
      <c r="B3434" t="s">
        <v>30</v>
      </c>
      <c r="C3434">
        <v>201</v>
      </c>
      <c r="D3434">
        <v>6</v>
      </c>
      <c r="E3434">
        <v>2</v>
      </c>
      <c r="F3434" t="s">
        <v>315</v>
      </c>
      <c r="G3434" t="s">
        <v>32</v>
      </c>
      <c r="H3434" t="s">
        <v>33</v>
      </c>
      <c r="I3434" t="s">
        <v>58</v>
      </c>
      <c r="J3434" t="s">
        <v>44</v>
      </c>
      <c r="K3434" t="s">
        <v>36</v>
      </c>
      <c r="L3434" t="s">
        <v>45</v>
      </c>
      <c r="M3434">
        <v>0</v>
      </c>
      <c r="N3434">
        <v>0</v>
      </c>
      <c r="O3434" s="5" t="s">
        <v>794</v>
      </c>
      <c r="P3434" s="5"/>
      <c r="Q3434">
        <f>39-16</f>
        <v>23</v>
      </c>
      <c r="R3434" t="s">
        <v>46</v>
      </c>
      <c r="S3434" t="s">
        <v>39</v>
      </c>
      <c r="Z3434" t="s">
        <v>102</v>
      </c>
      <c r="AA3434" t="s">
        <v>201</v>
      </c>
      <c r="AB3434" t="s">
        <v>86</v>
      </c>
      <c r="AC3434" t="s">
        <v>41</v>
      </c>
    </row>
    <row r="3435" spans="1:30" x14ac:dyDescent="0.35">
      <c r="A3435" s="4">
        <v>42599</v>
      </c>
      <c r="B3435" t="s">
        <v>30</v>
      </c>
      <c r="C3435">
        <v>304</v>
      </c>
      <c r="D3435">
        <v>9</v>
      </c>
      <c r="E3435">
        <v>1</v>
      </c>
      <c r="F3435" t="s">
        <v>315</v>
      </c>
      <c r="G3435" t="s">
        <v>32</v>
      </c>
      <c r="H3435" t="s">
        <v>33</v>
      </c>
      <c r="I3435" t="s">
        <v>58</v>
      </c>
      <c r="J3435" t="s">
        <v>44</v>
      </c>
      <c r="K3435" t="s">
        <v>36</v>
      </c>
      <c r="L3435" t="s">
        <v>45</v>
      </c>
      <c r="M3435">
        <v>0</v>
      </c>
      <c r="N3435">
        <v>0</v>
      </c>
      <c r="O3435" s="5" t="s">
        <v>851</v>
      </c>
      <c r="P3435" s="5"/>
      <c r="Q3435">
        <f>45.5-15</f>
        <v>30.5</v>
      </c>
      <c r="R3435" t="s">
        <v>143</v>
      </c>
      <c r="S3435" t="s">
        <v>39</v>
      </c>
      <c r="T3435">
        <v>19</v>
      </c>
      <c r="W3435">
        <v>13.1</v>
      </c>
      <c r="X3435">
        <v>28</v>
      </c>
      <c r="Z3435" t="s">
        <v>102</v>
      </c>
      <c r="AA3435" t="s">
        <v>201</v>
      </c>
      <c r="AB3435" t="s">
        <v>86</v>
      </c>
      <c r="AC3435" t="s">
        <v>41</v>
      </c>
    </row>
    <row r="3436" spans="1:30" x14ac:dyDescent="0.35">
      <c r="A3436" s="4">
        <v>42599</v>
      </c>
      <c r="B3436" t="s">
        <v>30</v>
      </c>
      <c r="C3436">
        <v>304</v>
      </c>
      <c r="D3436">
        <v>9</v>
      </c>
      <c r="E3436">
        <v>2</v>
      </c>
      <c r="F3436" t="s">
        <v>315</v>
      </c>
      <c r="G3436" t="s">
        <v>32</v>
      </c>
      <c r="H3436" t="s">
        <v>33</v>
      </c>
      <c r="I3436" t="s">
        <v>58</v>
      </c>
      <c r="J3436" t="s">
        <v>44</v>
      </c>
      <c r="K3436" t="s">
        <v>36</v>
      </c>
      <c r="L3436" t="s">
        <v>45</v>
      </c>
      <c r="M3436">
        <v>0</v>
      </c>
      <c r="N3436">
        <v>0</v>
      </c>
      <c r="O3436" s="5" t="s">
        <v>852</v>
      </c>
      <c r="P3436" s="5"/>
      <c r="Q3436">
        <f>44-15</f>
        <v>29</v>
      </c>
      <c r="R3436" t="s">
        <v>143</v>
      </c>
      <c r="S3436" t="s">
        <v>102</v>
      </c>
      <c r="T3436">
        <v>19</v>
      </c>
      <c r="W3436">
        <v>13.1</v>
      </c>
      <c r="X3436">
        <v>29.1</v>
      </c>
      <c r="Z3436" t="s">
        <v>102</v>
      </c>
      <c r="AA3436" t="s">
        <v>201</v>
      </c>
      <c r="AB3436" t="s">
        <v>86</v>
      </c>
      <c r="AC3436" t="s">
        <v>41</v>
      </c>
    </row>
    <row r="3437" spans="1:30" x14ac:dyDescent="0.35">
      <c r="A3437" s="4">
        <v>42599</v>
      </c>
      <c r="B3437" t="s">
        <v>30</v>
      </c>
      <c r="C3437">
        <v>203</v>
      </c>
      <c r="D3437">
        <v>7</v>
      </c>
      <c r="E3437">
        <v>1</v>
      </c>
      <c r="F3437" t="s">
        <v>315</v>
      </c>
      <c r="G3437" t="s">
        <v>32</v>
      </c>
      <c r="H3437" t="s">
        <v>33</v>
      </c>
      <c r="I3437" t="s">
        <v>58</v>
      </c>
      <c r="J3437" t="s">
        <v>44</v>
      </c>
      <c r="K3437" t="s">
        <v>36</v>
      </c>
      <c r="L3437" t="s">
        <v>37</v>
      </c>
      <c r="M3437">
        <v>0</v>
      </c>
      <c r="N3437">
        <v>0</v>
      </c>
      <c r="O3437" s="5" t="s">
        <v>797</v>
      </c>
      <c r="P3437" s="5"/>
      <c r="Q3437">
        <f>33-14</f>
        <v>19</v>
      </c>
      <c r="R3437" t="s">
        <v>64</v>
      </c>
      <c r="T3437">
        <v>18</v>
      </c>
      <c r="W3437">
        <v>12.9</v>
      </c>
      <c r="X3437">
        <v>25.8</v>
      </c>
      <c r="Z3437" t="s">
        <v>102</v>
      </c>
      <c r="AA3437" t="s">
        <v>853</v>
      </c>
      <c r="AB3437" t="s">
        <v>86</v>
      </c>
      <c r="AC3437" t="s">
        <v>41</v>
      </c>
      <c r="AD3437" t="s">
        <v>854</v>
      </c>
    </row>
    <row r="3438" spans="1:30" x14ac:dyDescent="0.35">
      <c r="A3438" s="4">
        <v>42599</v>
      </c>
      <c r="B3438" t="s">
        <v>30</v>
      </c>
      <c r="C3438">
        <v>304</v>
      </c>
      <c r="D3438">
        <v>3</v>
      </c>
      <c r="E3438">
        <v>1</v>
      </c>
      <c r="F3438" t="s">
        <v>315</v>
      </c>
      <c r="G3438" t="s">
        <v>32</v>
      </c>
      <c r="H3438" t="s">
        <v>33</v>
      </c>
      <c r="I3438" t="s">
        <v>58</v>
      </c>
      <c r="J3438" t="s">
        <v>44</v>
      </c>
      <c r="K3438" t="s">
        <v>36</v>
      </c>
      <c r="L3438" t="s">
        <v>45</v>
      </c>
      <c r="M3438">
        <v>0</v>
      </c>
      <c r="N3438">
        <v>0</v>
      </c>
      <c r="O3438" s="5" t="s">
        <v>799</v>
      </c>
      <c r="P3438" s="5"/>
      <c r="Q3438">
        <f>35-14</f>
        <v>21</v>
      </c>
      <c r="R3438" t="s">
        <v>46</v>
      </c>
      <c r="S3438" t="s">
        <v>39</v>
      </c>
      <c r="T3438">
        <v>16</v>
      </c>
      <c r="W3438">
        <v>13</v>
      </c>
      <c r="X3438">
        <v>27.2</v>
      </c>
      <c r="Z3438" t="s">
        <v>102</v>
      </c>
      <c r="AA3438" t="s">
        <v>201</v>
      </c>
      <c r="AB3438" t="s">
        <v>86</v>
      </c>
      <c r="AC3438" t="s">
        <v>41</v>
      </c>
    </row>
    <row r="3439" spans="1:30" x14ac:dyDescent="0.35">
      <c r="A3439" s="4">
        <v>42599</v>
      </c>
      <c r="B3439" t="s">
        <v>30</v>
      </c>
      <c r="C3439">
        <v>304</v>
      </c>
      <c r="D3439">
        <v>4</v>
      </c>
      <c r="E3439">
        <v>2</v>
      </c>
      <c r="F3439" t="s">
        <v>315</v>
      </c>
      <c r="G3439" t="s">
        <v>32</v>
      </c>
      <c r="H3439" t="s">
        <v>33</v>
      </c>
      <c r="I3439" t="s">
        <v>58</v>
      </c>
      <c r="J3439" t="s">
        <v>44</v>
      </c>
      <c r="K3439" t="s">
        <v>36</v>
      </c>
      <c r="L3439" t="s">
        <v>37</v>
      </c>
      <c r="M3439">
        <v>0</v>
      </c>
      <c r="N3439">
        <v>0</v>
      </c>
      <c r="O3439" s="5" t="s">
        <v>800</v>
      </c>
      <c r="P3439" s="5"/>
      <c r="Q3439">
        <f>42-14</f>
        <v>28</v>
      </c>
      <c r="R3439" t="s">
        <v>38</v>
      </c>
      <c r="T3439">
        <v>18</v>
      </c>
      <c r="W3439">
        <v>13.1</v>
      </c>
      <c r="X3439">
        <v>27.3</v>
      </c>
      <c r="Z3439" t="s">
        <v>102</v>
      </c>
      <c r="AA3439" t="s">
        <v>201</v>
      </c>
      <c r="AB3439" t="s">
        <v>86</v>
      </c>
      <c r="AC3439" t="s">
        <v>41</v>
      </c>
    </row>
    <row r="3440" spans="1:30" x14ac:dyDescent="0.35">
      <c r="A3440" s="4">
        <v>42599</v>
      </c>
      <c r="B3440" t="s">
        <v>30</v>
      </c>
      <c r="C3440">
        <v>202</v>
      </c>
      <c r="D3440">
        <v>10</v>
      </c>
      <c r="E3440">
        <v>2</v>
      </c>
      <c r="F3440" t="s">
        <v>315</v>
      </c>
      <c r="G3440" t="s">
        <v>32</v>
      </c>
      <c r="H3440" t="s">
        <v>33</v>
      </c>
      <c r="I3440" t="s">
        <v>58</v>
      </c>
      <c r="J3440" t="s">
        <v>44</v>
      </c>
      <c r="K3440" t="s">
        <v>36</v>
      </c>
      <c r="L3440" t="s">
        <v>45</v>
      </c>
      <c r="M3440">
        <v>0</v>
      </c>
      <c r="N3440">
        <v>0</v>
      </c>
      <c r="O3440" s="5" t="s">
        <v>801</v>
      </c>
      <c r="P3440" s="5"/>
      <c r="Q3440">
        <f>44-16</f>
        <v>28</v>
      </c>
      <c r="R3440" t="s">
        <v>143</v>
      </c>
      <c r="S3440" t="s">
        <v>102</v>
      </c>
      <c r="T3440">
        <v>17.5</v>
      </c>
      <c r="W3440">
        <v>13.1</v>
      </c>
      <c r="X3440">
        <v>28.5</v>
      </c>
      <c r="Z3440" t="s">
        <v>102</v>
      </c>
      <c r="AA3440" t="s">
        <v>201</v>
      </c>
      <c r="AB3440" t="s">
        <v>86</v>
      </c>
      <c r="AC3440" t="s">
        <v>41</v>
      </c>
    </row>
    <row r="3441" spans="1:29" x14ac:dyDescent="0.35">
      <c r="A3441" s="4">
        <v>42599</v>
      </c>
      <c r="B3441" t="s">
        <v>30</v>
      </c>
      <c r="C3441">
        <v>202</v>
      </c>
      <c r="D3441">
        <v>6</v>
      </c>
      <c r="E3441">
        <v>2</v>
      </c>
      <c r="F3441" t="s">
        <v>315</v>
      </c>
      <c r="G3441" t="s">
        <v>32</v>
      </c>
      <c r="H3441" t="s">
        <v>33</v>
      </c>
      <c r="I3441" t="s">
        <v>58</v>
      </c>
      <c r="J3441" t="s">
        <v>66</v>
      </c>
      <c r="O3441" s="5"/>
      <c r="P3441" s="5"/>
    </row>
    <row r="3442" spans="1:29" x14ac:dyDescent="0.35">
      <c r="A3442" s="4">
        <v>42599</v>
      </c>
      <c r="B3442" t="s">
        <v>30</v>
      </c>
      <c r="C3442">
        <v>111</v>
      </c>
      <c r="D3442">
        <v>9</v>
      </c>
      <c r="E3442">
        <v>2</v>
      </c>
      <c r="F3442" t="s">
        <v>42</v>
      </c>
      <c r="G3442" t="s">
        <v>32</v>
      </c>
      <c r="H3442" t="s">
        <v>33</v>
      </c>
      <c r="I3442" t="s">
        <v>855</v>
      </c>
      <c r="J3442" t="s">
        <v>44</v>
      </c>
      <c r="K3442" t="s">
        <v>88</v>
      </c>
      <c r="L3442" t="s">
        <v>37</v>
      </c>
      <c r="M3442">
        <v>0</v>
      </c>
      <c r="N3442">
        <v>0</v>
      </c>
      <c r="O3442" s="5" t="s">
        <v>444</v>
      </c>
      <c r="P3442" s="5" t="s">
        <v>445</v>
      </c>
      <c r="R3442" t="s">
        <v>64</v>
      </c>
      <c r="T3442">
        <v>18</v>
      </c>
      <c r="V3442">
        <v>16</v>
      </c>
      <c r="W3442">
        <v>13</v>
      </c>
      <c r="X3442">
        <v>25.6</v>
      </c>
      <c r="AB3442" t="s">
        <v>86</v>
      </c>
      <c r="AC3442" t="s">
        <v>41</v>
      </c>
    </row>
    <row r="3443" spans="1:29" x14ac:dyDescent="0.35">
      <c r="A3443" s="4">
        <v>42599</v>
      </c>
      <c r="B3443" t="s">
        <v>30</v>
      </c>
      <c r="C3443">
        <v>113</v>
      </c>
      <c r="D3443">
        <v>9</v>
      </c>
      <c r="E3443">
        <v>2</v>
      </c>
      <c r="F3443" t="s">
        <v>42</v>
      </c>
      <c r="G3443" t="s">
        <v>32</v>
      </c>
      <c r="H3443" t="s">
        <v>33</v>
      </c>
      <c r="I3443" t="s">
        <v>55</v>
      </c>
      <c r="J3443" t="s">
        <v>66</v>
      </c>
      <c r="O3443" s="5"/>
      <c r="P3443" s="5"/>
    </row>
    <row r="3444" spans="1:29" x14ac:dyDescent="0.35">
      <c r="A3444" s="4">
        <v>42599</v>
      </c>
      <c r="B3444" t="s">
        <v>30</v>
      </c>
      <c r="C3444">
        <v>402</v>
      </c>
      <c r="D3444">
        <v>1</v>
      </c>
      <c r="E3444">
        <v>2</v>
      </c>
      <c r="F3444" t="s">
        <v>42</v>
      </c>
      <c r="G3444" t="s">
        <v>32</v>
      </c>
      <c r="H3444" t="s">
        <v>33</v>
      </c>
      <c r="I3444" t="s">
        <v>55</v>
      </c>
      <c r="J3444" t="s">
        <v>66</v>
      </c>
      <c r="O3444" s="5"/>
      <c r="P3444" s="5"/>
    </row>
    <row r="3445" spans="1:29" x14ac:dyDescent="0.35">
      <c r="A3445" s="4">
        <v>42599</v>
      </c>
      <c r="B3445" t="s">
        <v>30</v>
      </c>
      <c r="C3445">
        <v>201</v>
      </c>
      <c r="D3445">
        <v>4</v>
      </c>
      <c r="E3445">
        <v>2</v>
      </c>
      <c r="F3445" t="s">
        <v>315</v>
      </c>
      <c r="G3445" t="s">
        <v>32</v>
      </c>
      <c r="H3445" t="s">
        <v>33</v>
      </c>
      <c r="I3445" t="s">
        <v>55</v>
      </c>
      <c r="J3445" t="s">
        <v>66</v>
      </c>
      <c r="O3445" s="5"/>
      <c r="P3445" s="5"/>
    </row>
    <row r="3446" spans="1:29" x14ac:dyDescent="0.35">
      <c r="A3446" s="4">
        <v>42599</v>
      </c>
      <c r="B3446" t="s">
        <v>30</v>
      </c>
      <c r="C3446">
        <v>201</v>
      </c>
      <c r="D3446">
        <v>5</v>
      </c>
      <c r="E3446">
        <v>2</v>
      </c>
      <c r="F3446" t="s">
        <v>315</v>
      </c>
      <c r="G3446" t="s">
        <v>32</v>
      </c>
      <c r="H3446" t="s">
        <v>33</v>
      </c>
      <c r="I3446" t="s">
        <v>55</v>
      </c>
      <c r="J3446" t="s">
        <v>66</v>
      </c>
      <c r="O3446" s="5"/>
      <c r="P3446" s="5"/>
    </row>
    <row r="3447" spans="1:29" x14ac:dyDescent="0.35">
      <c r="A3447" s="4">
        <v>42599</v>
      </c>
      <c r="B3447" t="s">
        <v>30</v>
      </c>
      <c r="C3447">
        <v>203</v>
      </c>
      <c r="D3447">
        <v>10</v>
      </c>
      <c r="E3447">
        <v>1</v>
      </c>
      <c r="F3447" t="s">
        <v>315</v>
      </c>
      <c r="G3447" t="s">
        <v>32</v>
      </c>
      <c r="H3447" t="s">
        <v>33</v>
      </c>
      <c r="I3447" t="s">
        <v>55</v>
      </c>
      <c r="J3447" t="s">
        <v>66</v>
      </c>
      <c r="O3447" s="5"/>
      <c r="P3447" s="5"/>
    </row>
    <row r="3448" spans="1:29" x14ac:dyDescent="0.35">
      <c r="A3448" s="4">
        <v>42599</v>
      </c>
      <c r="B3448" t="s">
        <v>30</v>
      </c>
      <c r="C3448">
        <v>202</v>
      </c>
      <c r="D3448">
        <v>5</v>
      </c>
      <c r="E3448">
        <v>2</v>
      </c>
      <c r="F3448" t="s">
        <v>315</v>
      </c>
      <c r="G3448" t="s">
        <v>32</v>
      </c>
      <c r="H3448" t="s">
        <v>33</v>
      </c>
      <c r="I3448" t="s">
        <v>55</v>
      </c>
      <c r="J3448" t="s">
        <v>66</v>
      </c>
      <c r="O3448" s="5"/>
      <c r="P3448" s="5"/>
    </row>
    <row r="3449" spans="1:29" x14ac:dyDescent="0.35">
      <c r="A3449" s="4">
        <v>42599</v>
      </c>
      <c r="B3449" t="s">
        <v>30</v>
      </c>
      <c r="C3449">
        <v>402</v>
      </c>
      <c r="D3449">
        <v>4</v>
      </c>
      <c r="E3449">
        <v>1</v>
      </c>
      <c r="F3449" t="s">
        <v>42</v>
      </c>
      <c r="G3449" t="s">
        <v>32</v>
      </c>
      <c r="H3449" t="s">
        <v>33</v>
      </c>
      <c r="I3449" t="s">
        <v>72</v>
      </c>
      <c r="J3449" t="s">
        <v>123</v>
      </c>
      <c r="O3449" s="5"/>
      <c r="P3449" s="5"/>
    </row>
    <row r="3450" spans="1:29" x14ac:dyDescent="0.35">
      <c r="A3450" s="4">
        <v>42599</v>
      </c>
      <c r="B3450" t="s">
        <v>30</v>
      </c>
      <c r="C3450">
        <v>111</v>
      </c>
      <c r="D3450">
        <v>3</v>
      </c>
      <c r="E3450">
        <v>1</v>
      </c>
      <c r="F3450" t="s">
        <v>42</v>
      </c>
      <c r="G3450" t="s">
        <v>32</v>
      </c>
      <c r="H3450" t="s">
        <v>33</v>
      </c>
      <c r="I3450" t="s">
        <v>59</v>
      </c>
      <c r="O3450" s="5"/>
      <c r="P3450" s="5"/>
    </row>
    <row r="3451" spans="1:29" x14ac:dyDescent="0.35">
      <c r="A3451" s="4">
        <v>42599</v>
      </c>
      <c r="B3451" t="s">
        <v>30</v>
      </c>
      <c r="C3451">
        <v>111</v>
      </c>
      <c r="D3451">
        <v>2</v>
      </c>
      <c r="E3451">
        <v>1</v>
      </c>
      <c r="F3451" t="s">
        <v>42</v>
      </c>
      <c r="G3451" t="s">
        <v>32</v>
      </c>
      <c r="H3451" t="s">
        <v>33</v>
      </c>
      <c r="I3451" t="s">
        <v>59</v>
      </c>
      <c r="O3451" s="5"/>
      <c r="P3451" s="5"/>
    </row>
    <row r="3452" spans="1:29" x14ac:dyDescent="0.35">
      <c r="A3452" s="4">
        <v>42599</v>
      </c>
      <c r="B3452" t="s">
        <v>30</v>
      </c>
      <c r="C3452">
        <v>111</v>
      </c>
      <c r="D3452">
        <v>1</v>
      </c>
      <c r="E3452">
        <v>1</v>
      </c>
      <c r="F3452" t="s">
        <v>42</v>
      </c>
      <c r="G3452" t="s">
        <v>32</v>
      </c>
      <c r="H3452" t="s">
        <v>33</v>
      </c>
      <c r="I3452" t="s">
        <v>59</v>
      </c>
      <c r="O3452" s="5"/>
      <c r="P3452" s="5"/>
    </row>
    <row r="3453" spans="1:29" x14ac:dyDescent="0.35">
      <c r="A3453" s="4">
        <v>42599</v>
      </c>
      <c r="B3453" t="s">
        <v>30</v>
      </c>
      <c r="C3453">
        <v>111</v>
      </c>
      <c r="D3453">
        <v>1</v>
      </c>
      <c r="E3453">
        <v>1</v>
      </c>
      <c r="F3453" t="s">
        <v>42</v>
      </c>
      <c r="G3453" t="s">
        <v>32</v>
      </c>
      <c r="H3453" t="s">
        <v>33</v>
      </c>
      <c r="I3453" t="s">
        <v>59</v>
      </c>
      <c r="O3453" s="5"/>
      <c r="P3453" s="5"/>
    </row>
    <row r="3454" spans="1:29" x14ac:dyDescent="0.35">
      <c r="A3454" s="4">
        <v>42599</v>
      </c>
      <c r="B3454" t="s">
        <v>30</v>
      </c>
      <c r="C3454">
        <v>111</v>
      </c>
      <c r="D3454">
        <v>8</v>
      </c>
      <c r="E3454">
        <v>1</v>
      </c>
      <c r="F3454" t="s">
        <v>42</v>
      </c>
      <c r="G3454" t="s">
        <v>32</v>
      </c>
      <c r="H3454" t="s">
        <v>33</v>
      </c>
      <c r="I3454" t="s">
        <v>59</v>
      </c>
      <c r="O3454" s="5"/>
      <c r="P3454" s="5"/>
    </row>
    <row r="3455" spans="1:29" x14ac:dyDescent="0.35">
      <c r="A3455" s="4">
        <v>42599</v>
      </c>
      <c r="B3455" t="s">
        <v>30</v>
      </c>
      <c r="C3455">
        <v>111</v>
      </c>
      <c r="D3455">
        <v>10</v>
      </c>
      <c r="E3455">
        <v>1</v>
      </c>
      <c r="F3455" t="s">
        <v>42</v>
      </c>
      <c r="G3455" t="s">
        <v>32</v>
      </c>
      <c r="H3455" t="s">
        <v>33</v>
      </c>
      <c r="I3455" t="s">
        <v>59</v>
      </c>
      <c r="O3455" s="5"/>
      <c r="P3455" s="5"/>
    </row>
    <row r="3456" spans="1:29" x14ac:dyDescent="0.35">
      <c r="A3456" s="4">
        <v>42599</v>
      </c>
      <c r="B3456" t="s">
        <v>30</v>
      </c>
      <c r="C3456">
        <v>112</v>
      </c>
      <c r="D3456">
        <v>5</v>
      </c>
      <c r="E3456">
        <v>1</v>
      </c>
      <c r="F3456" t="s">
        <v>42</v>
      </c>
      <c r="G3456" t="s">
        <v>32</v>
      </c>
      <c r="H3456" t="s">
        <v>33</v>
      </c>
      <c r="I3456" t="s">
        <v>59</v>
      </c>
      <c r="O3456" s="5"/>
      <c r="P3456" s="5"/>
    </row>
    <row r="3457" spans="1:16" x14ac:dyDescent="0.35">
      <c r="A3457" s="4">
        <v>42599</v>
      </c>
      <c r="B3457" t="s">
        <v>30</v>
      </c>
      <c r="C3457">
        <v>112</v>
      </c>
      <c r="D3457">
        <v>6</v>
      </c>
      <c r="E3457">
        <v>1</v>
      </c>
      <c r="F3457" t="s">
        <v>42</v>
      </c>
      <c r="G3457" t="s">
        <v>32</v>
      </c>
      <c r="H3457" t="s">
        <v>33</v>
      </c>
      <c r="I3457" t="s">
        <v>59</v>
      </c>
      <c r="O3457" s="5"/>
      <c r="P3457" s="5"/>
    </row>
    <row r="3458" spans="1:16" x14ac:dyDescent="0.35">
      <c r="A3458" s="4">
        <v>42599</v>
      </c>
      <c r="B3458" t="s">
        <v>30</v>
      </c>
      <c r="C3458">
        <v>112</v>
      </c>
      <c r="D3458">
        <v>8</v>
      </c>
      <c r="E3458">
        <v>1</v>
      </c>
      <c r="F3458" t="s">
        <v>42</v>
      </c>
      <c r="G3458" t="s">
        <v>32</v>
      </c>
      <c r="H3458" t="s">
        <v>33</v>
      </c>
      <c r="I3458" t="s">
        <v>59</v>
      </c>
      <c r="O3458" s="5"/>
      <c r="P3458" s="5"/>
    </row>
    <row r="3459" spans="1:16" x14ac:dyDescent="0.35">
      <c r="A3459" s="4">
        <v>42599</v>
      </c>
      <c r="B3459" t="s">
        <v>30</v>
      </c>
      <c r="C3459">
        <v>112</v>
      </c>
      <c r="D3459">
        <v>8</v>
      </c>
      <c r="E3459">
        <v>2</v>
      </c>
      <c r="F3459" t="s">
        <v>42</v>
      </c>
      <c r="G3459" t="s">
        <v>32</v>
      </c>
      <c r="H3459" t="s">
        <v>33</v>
      </c>
      <c r="I3459" t="s">
        <v>59</v>
      </c>
      <c r="O3459" s="5"/>
      <c r="P3459" s="5"/>
    </row>
    <row r="3460" spans="1:16" x14ac:dyDescent="0.35">
      <c r="A3460" s="4">
        <v>42599</v>
      </c>
      <c r="B3460" t="s">
        <v>30</v>
      </c>
      <c r="C3460">
        <v>112</v>
      </c>
      <c r="D3460">
        <v>9</v>
      </c>
      <c r="E3460">
        <v>1</v>
      </c>
      <c r="F3460" t="s">
        <v>42</v>
      </c>
      <c r="G3460" t="s">
        <v>32</v>
      </c>
      <c r="H3460" t="s">
        <v>33</v>
      </c>
      <c r="I3460" t="s">
        <v>59</v>
      </c>
      <c r="O3460" s="5"/>
      <c r="P3460" s="5"/>
    </row>
    <row r="3461" spans="1:16" x14ac:dyDescent="0.35">
      <c r="A3461" s="4">
        <v>42599</v>
      </c>
      <c r="B3461" t="s">
        <v>30</v>
      </c>
      <c r="C3461">
        <v>113</v>
      </c>
      <c r="D3461">
        <v>1</v>
      </c>
      <c r="E3461">
        <v>1</v>
      </c>
      <c r="F3461" t="s">
        <v>42</v>
      </c>
      <c r="G3461" t="s">
        <v>32</v>
      </c>
      <c r="H3461" t="s">
        <v>33</v>
      </c>
      <c r="I3461" t="s">
        <v>59</v>
      </c>
      <c r="O3461" s="5"/>
      <c r="P3461" s="5"/>
    </row>
    <row r="3462" spans="1:16" x14ac:dyDescent="0.35">
      <c r="A3462" s="4">
        <v>42599</v>
      </c>
      <c r="B3462" t="s">
        <v>30</v>
      </c>
      <c r="C3462">
        <v>113</v>
      </c>
      <c r="D3462">
        <v>2</v>
      </c>
      <c r="E3462">
        <v>2</v>
      </c>
      <c r="F3462" t="s">
        <v>42</v>
      </c>
      <c r="G3462" t="s">
        <v>32</v>
      </c>
      <c r="H3462" t="s">
        <v>33</v>
      </c>
      <c r="I3462" t="s">
        <v>59</v>
      </c>
      <c r="O3462" s="5"/>
      <c r="P3462" s="5"/>
    </row>
    <row r="3463" spans="1:16" x14ac:dyDescent="0.35">
      <c r="A3463" s="4">
        <v>42599</v>
      </c>
      <c r="B3463" t="s">
        <v>30</v>
      </c>
      <c r="C3463">
        <v>113</v>
      </c>
      <c r="D3463">
        <v>5</v>
      </c>
      <c r="E3463">
        <v>2</v>
      </c>
      <c r="F3463" t="s">
        <v>42</v>
      </c>
      <c r="G3463" t="s">
        <v>32</v>
      </c>
      <c r="H3463" t="s">
        <v>33</v>
      </c>
      <c r="I3463" t="s">
        <v>59</v>
      </c>
      <c r="O3463" s="5"/>
      <c r="P3463" s="5"/>
    </row>
    <row r="3464" spans="1:16" x14ac:dyDescent="0.35">
      <c r="A3464" s="4">
        <v>42599</v>
      </c>
      <c r="B3464" t="s">
        <v>30</v>
      </c>
      <c r="C3464">
        <v>113</v>
      </c>
      <c r="D3464">
        <v>6</v>
      </c>
      <c r="E3464">
        <v>1</v>
      </c>
      <c r="F3464" t="s">
        <v>42</v>
      </c>
      <c r="G3464" t="s">
        <v>32</v>
      </c>
      <c r="H3464" t="s">
        <v>33</v>
      </c>
      <c r="I3464" t="s">
        <v>59</v>
      </c>
      <c r="O3464" s="5"/>
      <c r="P3464" s="5"/>
    </row>
    <row r="3465" spans="1:16" x14ac:dyDescent="0.35">
      <c r="A3465" s="4">
        <v>42599</v>
      </c>
      <c r="B3465" t="s">
        <v>30</v>
      </c>
      <c r="C3465">
        <v>113</v>
      </c>
      <c r="D3465">
        <v>6</v>
      </c>
      <c r="E3465">
        <v>2</v>
      </c>
      <c r="F3465" t="s">
        <v>42</v>
      </c>
      <c r="G3465" t="s">
        <v>32</v>
      </c>
      <c r="H3465" t="s">
        <v>33</v>
      </c>
      <c r="I3465" t="s">
        <v>59</v>
      </c>
      <c r="O3465" s="5"/>
      <c r="P3465" s="5"/>
    </row>
    <row r="3466" spans="1:16" x14ac:dyDescent="0.35">
      <c r="A3466" s="4">
        <v>42599</v>
      </c>
      <c r="B3466" t="s">
        <v>30</v>
      </c>
      <c r="C3466">
        <v>113</v>
      </c>
      <c r="D3466">
        <v>7</v>
      </c>
      <c r="E3466">
        <v>1</v>
      </c>
      <c r="F3466" t="s">
        <v>42</v>
      </c>
      <c r="G3466" t="s">
        <v>32</v>
      </c>
      <c r="H3466" t="s">
        <v>33</v>
      </c>
      <c r="I3466" t="s">
        <v>59</v>
      </c>
      <c r="O3466" s="5"/>
      <c r="P3466" s="5"/>
    </row>
    <row r="3467" spans="1:16" x14ac:dyDescent="0.35">
      <c r="A3467" s="4">
        <v>42599</v>
      </c>
      <c r="B3467" t="s">
        <v>30</v>
      </c>
      <c r="C3467">
        <v>113</v>
      </c>
      <c r="D3467">
        <v>9</v>
      </c>
      <c r="E3467">
        <v>1</v>
      </c>
      <c r="F3467" t="s">
        <v>42</v>
      </c>
      <c r="G3467" t="s">
        <v>32</v>
      </c>
      <c r="H3467" t="s">
        <v>33</v>
      </c>
      <c r="I3467" t="s">
        <v>59</v>
      </c>
      <c r="O3467" s="5"/>
      <c r="P3467" s="5"/>
    </row>
    <row r="3468" spans="1:16" x14ac:dyDescent="0.35">
      <c r="A3468" s="4">
        <v>42599</v>
      </c>
      <c r="B3468" t="s">
        <v>30</v>
      </c>
      <c r="C3468">
        <v>402</v>
      </c>
      <c r="D3468">
        <v>2</v>
      </c>
      <c r="E3468">
        <v>1</v>
      </c>
      <c r="F3468" t="s">
        <v>42</v>
      </c>
      <c r="G3468" t="s">
        <v>32</v>
      </c>
      <c r="H3468" t="s">
        <v>33</v>
      </c>
      <c r="I3468" t="s">
        <v>59</v>
      </c>
      <c r="O3468" s="5"/>
      <c r="P3468" s="5"/>
    </row>
    <row r="3469" spans="1:16" x14ac:dyDescent="0.35">
      <c r="A3469" s="4">
        <v>42599</v>
      </c>
      <c r="B3469" t="s">
        <v>30</v>
      </c>
      <c r="C3469">
        <v>402</v>
      </c>
      <c r="D3469">
        <v>2</v>
      </c>
      <c r="E3469">
        <v>2</v>
      </c>
      <c r="F3469" t="s">
        <v>42</v>
      </c>
      <c r="G3469" t="s">
        <v>32</v>
      </c>
      <c r="H3469" t="s">
        <v>33</v>
      </c>
      <c r="I3469" t="s">
        <v>59</v>
      </c>
      <c r="O3469" s="5"/>
      <c r="P3469" s="5"/>
    </row>
    <row r="3470" spans="1:16" x14ac:dyDescent="0.35">
      <c r="A3470" s="4">
        <v>42599</v>
      </c>
      <c r="B3470" t="s">
        <v>30</v>
      </c>
      <c r="C3470">
        <v>402</v>
      </c>
      <c r="D3470">
        <v>7</v>
      </c>
      <c r="E3470">
        <v>1</v>
      </c>
      <c r="F3470" t="s">
        <v>42</v>
      </c>
      <c r="G3470" t="s">
        <v>32</v>
      </c>
      <c r="H3470" t="s">
        <v>33</v>
      </c>
      <c r="I3470" t="s">
        <v>59</v>
      </c>
      <c r="O3470" s="5"/>
      <c r="P3470" s="5"/>
    </row>
    <row r="3471" spans="1:16" x14ac:dyDescent="0.35">
      <c r="A3471" s="4">
        <v>42599</v>
      </c>
      <c r="B3471" t="s">
        <v>30</v>
      </c>
      <c r="C3471">
        <v>402</v>
      </c>
      <c r="D3471">
        <v>7</v>
      </c>
      <c r="E3471">
        <v>2</v>
      </c>
      <c r="F3471" t="s">
        <v>42</v>
      </c>
      <c r="G3471" t="s">
        <v>32</v>
      </c>
      <c r="H3471" t="s">
        <v>33</v>
      </c>
      <c r="I3471" t="s">
        <v>59</v>
      </c>
      <c r="O3471" s="5"/>
      <c r="P3471" s="5"/>
    </row>
    <row r="3472" spans="1:16" x14ac:dyDescent="0.35">
      <c r="A3472" s="4">
        <v>42599</v>
      </c>
      <c r="B3472" t="s">
        <v>30</v>
      </c>
      <c r="C3472">
        <v>402</v>
      </c>
      <c r="D3472">
        <v>8</v>
      </c>
      <c r="E3472">
        <v>1</v>
      </c>
      <c r="F3472" t="s">
        <v>42</v>
      </c>
      <c r="G3472" t="s">
        <v>32</v>
      </c>
      <c r="H3472" t="s">
        <v>33</v>
      </c>
      <c r="I3472" t="s">
        <v>59</v>
      </c>
      <c r="O3472" s="5"/>
      <c r="P3472" s="5"/>
    </row>
    <row r="3473" spans="1:16" x14ac:dyDescent="0.35">
      <c r="A3473" s="4">
        <v>42599</v>
      </c>
      <c r="B3473" t="s">
        <v>30</v>
      </c>
      <c r="C3473">
        <v>402</v>
      </c>
      <c r="D3473">
        <v>9</v>
      </c>
      <c r="E3473">
        <v>1</v>
      </c>
      <c r="F3473" t="s">
        <v>42</v>
      </c>
      <c r="G3473" t="s">
        <v>32</v>
      </c>
      <c r="H3473" t="s">
        <v>33</v>
      </c>
      <c r="I3473" t="s">
        <v>59</v>
      </c>
      <c r="O3473" s="5"/>
      <c r="P3473" s="5"/>
    </row>
    <row r="3474" spans="1:16" x14ac:dyDescent="0.35">
      <c r="A3474" s="4">
        <v>42599</v>
      </c>
      <c r="B3474" t="s">
        <v>30</v>
      </c>
      <c r="C3474">
        <v>201</v>
      </c>
      <c r="D3474">
        <v>3</v>
      </c>
      <c r="E3474">
        <v>2</v>
      </c>
      <c r="F3474" t="s">
        <v>315</v>
      </c>
      <c r="G3474" t="s">
        <v>32</v>
      </c>
      <c r="H3474" t="s">
        <v>33</v>
      </c>
      <c r="I3474" t="s">
        <v>59</v>
      </c>
      <c r="O3474" s="5"/>
      <c r="P3474" s="5"/>
    </row>
    <row r="3475" spans="1:16" x14ac:dyDescent="0.35">
      <c r="A3475" s="4">
        <v>42599</v>
      </c>
      <c r="B3475" t="s">
        <v>30</v>
      </c>
      <c r="C3475">
        <v>201</v>
      </c>
      <c r="D3475">
        <v>6</v>
      </c>
      <c r="E3475">
        <v>1</v>
      </c>
      <c r="F3475" t="s">
        <v>315</v>
      </c>
      <c r="G3475" t="s">
        <v>32</v>
      </c>
      <c r="H3475" t="s">
        <v>33</v>
      </c>
      <c r="I3475" t="s">
        <v>59</v>
      </c>
      <c r="O3475" s="5"/>
      <c r="P3475" s="5"/>
    </row>
    <row r="3476" spans="1:16" x14ac:dyDescent="0.35">
      <c r="A3476" s="4">
        <v>42599</v>
      </c>
      <c r="B3476" t="s">
        <v>30</v>
      </c>
      <c r="C3476">
        <v>201</v>
      </c>
      <c r="D3476">
        <v>9</v>
      </c>
      <c r="E3476">
        <v>1</v>
      </c>
      <c r="F3476" t="s">
        <v>315</v>
      </c>
      <c r="G3476" t="s">
        <v>32</v>
      </c>
      <c r="H3476" t="s">
        <v>33</v>
      </c>
      <c r="I3476" t="s">
        <v>59</v>
      </c>
      <c r="O3476" s="5"/>
      <c r="P3476" s="5"/>
    </row>
    <row r="3477" spans="1:16" x14ac:dyDescent="0.35">
      <c r="A3477" s="4">
        <v>42599</v>
      </c>
      <c r="B3477" t="s">
        <v>30</v>
      </c>
      <c r="C3477">
        <v>201</v>
      </c>
      <c r="D3477">
        <v>9</v>
      </c>
      <c r="E3477">
        <v>2</v>
      </c>
      <c r="F3477" t="s">
        <v>315</v>
      </c>
      <c r="G3477" t="s">
        <v>32</v>
      </c>
      <c r="H3477" t="s">
        <v>33</v>
      </c>
      <c r="I3477" t="s">
        <v>59</v>
      </c>
      <c r="O3477" s="5"/>
      <c r="P3477" s="5"/>
    </row>
    <row r="3478" spans="1:16" x14ac:dyDescent="0.35">
      <c r="A3478" s="4">
        <v>42599</v>
      </c>
      <c r="B3478" t="s">
        <v>30</v>
      </c>
      <c r="C3478">
        <v>201</v>
      </c>
      <c r="D3478">
        <v>10</v>
      </c>
      <c r="E3478">
        <v>1</v>
      </c>
      <c r="F3478" t="s">
        <v>315</v>
      </c>
      <c r="G3478" t="s">
        <v>32</v>
      </c>
      <c r="H3478" t="s">
        <v>33</v>
      </c>
      <c r="I3478" t="s">
        <v>59</v>
      </c>
      <c r="O3478" s="5"/>
      <c r="P3478" s="5"/>
    </row>
    <row r="3479" spans="1:16" x14ac:dyDescent="0.35">
      <c r="A3479" s="4">
        <v>42599</v>
      </c>
      <c r="B3479" t="s">
        <v>30</v>
      </c>
      <c r="C3479">
        <v>203</v>
      </c>
      <c r="D3479">
        <v>3</v>
      </c>
      <c r="E3479">
        <v>1</v>
      </c>
      <c r="F3479" t="s">
        <v>315</v>
      </c>
      <c r="G3479" t="s">
        <v>32</v>
      </c>
      <c r="H3479" t="s">
        <v>33</v>
      </c>
      <c r="I3479" t="s">
        <v>59</v>
      </c>
      <c r="O3479" s="5"/>
      <c r="P3479" s="5"/>
    </row>
    <row r="3480" spans="1:16" x14ac:dyDescent="0.35">
      <c r="A3480" s="4">
        <v>42599</v>
      </c>
      <c r="B3480" t="s">
        <v>30</v>
      </c>
      <c r="C3480">
        <v>203</v>
      </c>
      <c r="D3480">
        <v>9</v>
      </c>
      <c r="E3480">
        <v>1</v>
      </c>
      <c r="F3480" t="s">
        <v>315</v>
      </c>
      <c r="G3480" t="s">
        <v>32</v>
      </c>
      <c r="H3480" t="s">
        <v>33</v>
      </c>
      <c r="I3480" t="s">
        <v>59</v>
      </c>
      <c r="O3480" s="5"/>
      <c r="P3480" s="5"/>
    </row>
    <row r="3481" spans="1:16" x14ac:dyDescent="0.35">
      <c r="A3481" s="4">
        <v>42599</v>
      </c>
      <c r="B3481" t="s">
        <v>30</v>
      </c>
      <c r="C3481">
        <v>203</v>
      </c>
      <c r="D3481">
        <v>9</v>
      </c>
      <c r="E3481">
        <v>2</v>
      </c>
      <c r="F3481" t="s">
        <v>315</v>
      </c>
      <c r="G3481" t="s">
        <v>32</v>
      </c>
      <c r="H3481" t="s">
        <v>33</v>
      </c>
      <c r="I3481" t="s">
        <v>59</v>
      </c>
      <c r="O3481" s="5"/>
      <c r="P3481" s="5"/>
    </row>
    <row r="3482" spans="1:16" x14ac:dyDescent="0.35">
      <c r="A3482" s="4">
        <v>42599</v>
      </c>
      <c r="B3482" t="s">
        <v>30</v>
      </c>
      <c r="C3482">
        <v>202</v>
      </c>
      <c r="D3482">
        <v>3</v>
      </c>
      <c r="E3482">
        <v>2</v>
      </c>
      <c r="F3482" t="s">
        <v>315</v>
      </c>
      <c r="G3482" t="s">
        <v>32</v>
      </c>
      <c r="H3482" t="s">
        <v>33</v>
      </c>
      <c r="I3482" t="s">
        <v>59</v>
      </c>
      <c r="O3482" s="5"/>
      <c r="P3482" s="5"/>
    </row>
    <row r="3483" spans="1:16" x14ac:dyDescent="0.35">
      <c r="A3483" s="4">
        <v>42599</v>
      </c>
      <c r="B3483" t="s">
        <v>30</v>
      </c>
      <c r="C3483">
        <v>202</v>
      </c>
      <c r="D3483">
        <v>4</v>
      </c>
      <c r="E3483">
        <v>1</v>
      </c>
      <c r="F3483" t="s">
        <v>315</v>
      </c>
      <c r="G3483" t="s">
        <v>32</v>
      </c>
      <c r="H3483" t="s">
        <v>33</v>
      </c>
      <c r="I3483" t="s">
        <v>59</v>
      </c>
      <c r="O3483" s="5"/>
      <c r="P3483" s="5"/>
    </row>
    <row r="3484" spans="1:16" x14ac:dyDescent="0.35">
      <c r="A3484" s="4">
        <v>42599</v>
      </c>
      <c r="B3484" t="s">
        <v>30</v>
      </c>
      <c r="C3484">
        <v>202</v>
      </c>
      <c r="D3484">
        <v>4</v>
      </c>
      <c r="E3484">
        <v>2</v>
      </c>
      <c r="F3484" t="s">
        <v>315</v>
      </c>
      <c r="G3484" t="s">
        <v>32</v>
      </c>
      <c r="H3484" t="s">
        <v>33</v>
      </c>
      <c r="I3484" t="s">
        <v>59</v>
      </c>
      <c r="O3484" s="5"/>
      <c r="P3484" s="5"/>
    </row>
    <row r="3485" spans="1:16" x14ac:dyDescent="0.35">
      <c r="A3485" s="4">
        <v>42599</v>
      </c>
      <c r="B3485" t="s">
        <v>30</v>
      </c>
      <c r="C3485">
        <v>202</v>
      </c>
      <c r="D3485">
        <v>5</v>
      </c>
      <c r="E3485">
        <v>1</v>
      </c>
      <c r="F3485" t="s">
        <v>315</v>
      </c>
      <c r="G3485" t="s">
        <v>32</v>
      </c>
      <c r="H3485" t="s">
        <v>33</v>
      </c>
      <c r="I3485" t="s">
        <v>59</v>
      </c>
      <c r="O3485" s="5"/>
      <c r="P3485" s="5"/>
    </row>
    <row r="3486" spans="1:16" x14ac:dyDescent="0.35">
      <c r="A3486" s="4">
        <v>42599</v>
      </c>
      <c r="B3486" t="s">
        <v>30</v>
      </c>
      <c r="C3486">
        <v>202</v>
      </c>
      <c r="D3486">
        <v>6</v>
      </c>
      <c r="E3486">
        <v>1</v>
      </c>
      <c r="F3486" t="s">
        <v>315</v>
      </c>
      <c r="G3486" t="s">
        <v>32</v>
      </c>
      <c r="H3486" t="s">
        <v>33</v>
      </c>
      <c r="I3486" t="s">
        <v>59</v>
      </c>
      <c r="O3486" s="5"/>
      <c r="P3486" s="5"/>
    </row>
    <row r="3487" spans="1:16" x14ac:dyDescent="0.35">
      <c r="A3487" s="4">
        <v>42599</v>
      </c>
      <c r="B3487" t="s">
        <v>30</v>
      </c>
      <c r="C3487">
        <v>202</v>
      </c>
      <c r="D3487">
        <v>7</v>
      </c>
      <c r="E3487">
        <v>1</v>
      </c>
      <c r="F3487" t="s">
        <v>315</v>
      </c>
      <c r="G3487" t="s">
        <v>32</v>
      </c>
      <c r="H3487" t="s">
        <v>33</v>
      </c>
      <c r="I3487" t="s">
        <v>59</v>
      </c>
      <c r="O3487" s="5"/>
      <c r="P3487" s="5"/>
    </row>
    <row r="3488" spans="1:16" x14ac:dyDescent="0.35">
      <c r="A3488" s="4">
        <v>42599</v>
      </c>
      <c r="B3488" t="s">
        <v>30</v>
      </c>
      <c r="C3488">
        <v>202</v>
      </c>
      <c r="D3488">
        <v>7</v>
      </c>
      <c r="E3488">
        <v>2</v>
      </c>
      <c r="F3488" t="s">
        <v>315</v>
      </c>
      <c r="G3488" t="s">
        <v>32</v>
      </c>
      <c r="H3488" t="s">
        <v>33</v>
      </c>
      <c r="I3488" t="s">
        <v>59</v>
      </c>
      <c r="O3488" s="5"/>
      <c r="P3488" s="5"/>
    </row>
    <row r="3489" spans="1:30" x14ac:dyDescent="0.35">
      <c r="A3489" s="4">
        <v>42599</v>
      </c>
      <c r="B3489" t="s">
        <v>30</v>
      </c>
      <c r="C3489">
        <v>202</v>
      </c>
      <c r="D3489">
        <v>8</v>
      </c>
      <c r="E3489">
        <v>1</v>
      </c>
      <c r="F3489" t="s">
        <v>315</v>
      </c>
      <c r="G3489" t="s">
        <v>32</v>
      </c>
      <c r="H3489" t="s">
        <v>33</v>
      </c>
      <c r="I3489" t="s">
        <v>59</v>
      </c>
      <c r="O3489" s="5"/>
      <c r="P3489" s="5"/>
    </row>
    <row r="3490" spans="1:30" x14ac:dyDescent="0.35">
      <c r="A3490" s="4">
        <v>42599</v>
      </c>
      <c r="B3490" t="s">
        <v>30</v>
      </c>
      <c r="C3490">
        <v>202</v>
      </c>
      <c r="D3490">
        <v>9</v>
      </c>
      <c r="E3490">
        <v>1</v>
      </c>
      <c r="F3490" t="s">
        <v>315</v>
      </c>
      <c r="G3490" t="s">
        <v>32</v>
      </c>
      <c r="H3490" t="s">
        <v>33</v>
      </c>
      <c r="I3490" t="s">
        <v>59</v>
      </c>
      <c r="O3490" s="5"/>
      <c r="P3490" s="5"/>
    </row>
    <row r="3491" spans="1:30" x14ac:dyDescent="0.35">
      <c r="A3491" s="4">
        <v>42599</v>
      </c>
      <c r="B3491" t="s">
        <v>30</v>
      </c>
      <c r="C3491">
        <v>202</v>
      </c>
      <c r="D3491">
        <v>9</v>
      </c>
      <c r="E3491">
        <v>2</v>
      </c>
      <c r="F3491" t="s">
        <v>315</v>
      </c>
      <c r="G3491" t="s">
        <v>32</v>
      </c>
      <c r="H3491" t="s">
        <v>33</v>
      </c>
      <c r="I3491" t="s">
        <v>59</v>
      </c>
      <c r="O3491" s="5"/>
      <c r="P3491" s="5"/>
    </row>
    <row r="3492" spans="1:30" x14ac:dyDescent="0.35">
      <c r="A3492" s="4">
        <v>42599</v>
      </c>
      <c r="B3492" t="s">
        <v>30</v>
      </c>
      <c r="C3492">
        <v>202</v>
      </c>
      <c r="D3492">
        <v>10</v>
      </c>
      <c r="E3492">
        <v>1</v>
      </c>
      <c r="F3492" t="s">
        <v>315</v>
      </c>
      <c r="G3492" t="s">
        <v>32</v>
      </c>
      <c r="H3492" t="s">
        <v>33</v>
      </c>
      <c r="I3492" t="s">
        <v>59</v>
      </c>
      <c r="O3492" s="5"/>
      <c r="P3492" s="5"/>
    </row>
    <row r="3493" spans="1:30" x14ac:dyDescent="0.35">
      <c r="A3493" s="4">
        <v>42599</v>
      </c>
      <c r="B3493" t="s">
        <v>30</v>
      </c>
      <c r="C3493">
        <v>304</v>
      </c>
      <c r="D3493">
        <v>10</v>
      </c>
      <c r="E3493">
        <v>1</v>
      </c>
      <c r="F3493" t="s">
        <v>315</v>
      </c>
      <c r="G3493" t="s">
        <v>32</v>
      </c>
      <c r="H3493" t="s">
        <v>33</v>
      </c>
      <c r="I3493" t="s">
        <v>59</v>
      </c>
      <c r="O3493" s="5"/>
      <c r="P3493" s="5"/>
    </row>
    <row r="3494" spans="1:30" x14ac:dyDescent="0.35">
      <c r="A3494" s="4">
        <v>42599</v>
      </c>
      <c r="B3494" t="s">
        <v>30</v>
      </c>
      <c r="C3494">
        <v>304</v>
      </c>
      <c r="D3494">
        <v>7</v>
      </c>
      <c r="E3494">
        <v>1</v>
      </c>
      <c r="F3494" t="s">
        <v>315</v>
      </c>
      <c r="G3494" t="s">
        <v>32</v>
      </c>
      <c r="H3494" t="s">
        <v>33</v>
      </c>
      <c r="I3494" t="s">
        <v>59</v>
      </c>
      <c r="O3494" s="5"/>
      <c r="P3494" s="5"/>
    </row>
    <row r="3495" spans="1:30" x14ac:dyDescent="0.35">
      <c r="A3495" s="4">
        <v>42599</v>
      </c>
      <c r="B3495" t="s">
        <v>30</v>
      </c>
      <c r="C3495">
        <v>304</v>
      </c>
      <c r="D3495">
        <v>6</v>
      </c>
      <c r="E3495">
        <v>1</v>
      </c>
      <c r="F3495" t="s">
        <v>315</v>
      </c>
      <c r="G3495" t="s">
        <v>32</v>
      </c>
      <c r="H3495" t="s">
        <v>33</v>
      </c>
      <c r="I3495" t="s">
        <v>59</v>
      </c>
      <c r="O3495" s="5"/>
      <c r="P3495" s="5"/>
    </row>
    <row r="3496" spans="1:30" x14ac:dyDescent="0.35">
      <c r="A3496" s="4">
        <v>42599</v>
      </c>
      <c r="B3496" t="s">
        <v>30</v>
      </c>
      <c r="C3496">
        <v>304</v>
      </c>
      <c r="D3496">
        <v>5</v>
      </c>
      <c r="E3496">
        <v>1</v>
      </c>
      <c r="F3496" t="s">
        <v>315</v>
      </c>
      <c r="G3496" t="s">
        <v>32</v>
      </c>
      <c r="H3496" t="s">
        <v>33</v>
      </c>
      <c r="I3496" t="s">
        <v>59</v>
      </c>
      <c r="O3496" s="5"/>
      <c r="P3496" s="5"/>
    </row>
    <row r="3497" spans="1:30" x14ac:dyDescent="0.35">
      <c r="A3497" s="4">
        <v>42599</v>
      </c>
      <c r="B3497" t="s">
        <v>30</v>
      </c>
      <c r="C3497">
        <v>304</v>
      </c>
      <c r="D3497">
        <v>5</v>
      </c>
      <c r="E3497">
        <v>2</v>
      </c>
      <c r="F3497" t="s">
        <v>315</v>
      </c>
      <c r="G3497" t="s">
        <v>32</v>
      </c>
      <c r="H3497" t="s">
        <v>33</v>
      </c>
      <c r="I3497" t="s">
        <v>59</v>
      </c>
      <c r="O3497" s="5"/>
      <c r="P3497" s="5"/>
    </row>
    <row r="3498" spans="1:30" x14ac:dyDescent="0.35">
      <c r="A3498" s="4">
        <v>42599</v>
      </c>
      <c r="B3498" t="s">
        <v>30</v>
      </c>
      <c r="C3498">
        <v>304</v>
      </c>
      <c r="D3498">
        <v>4</v>
      </c>
      <c r="E3498">
        <v>1</v>
      </c>
      <c r="F3498" t="s">
        <v>315</v>
      </c>
      <c r="G3498" t="s">
        <v>32</v>
      </c>
      <c r="H3498" t="s">
        <v>33</v>
      </c>
      <c r="I3498" t="s">
        <v>59</v>
      </c>
      <c r="O3498" s="5"/>
      <c r="P3498" s="5"/>
    </row>
    <row r="3499" spans="1:30" x14ac:dyDescent="0.35">
      <c r="A3499" s="4">
        <v>42599</v>
      </c>
      <c r="B3499" t="s">
        <v>30</v>
      </c>
      <c r="C3499">
        <v>304</v>
      </c>
      <c r="D3499">
        <v>3</v>
      </c>
      <c r="E3499">
        <v>2</v>
      </c>
      <c r="F3499" t="s">
        <v>315</v>
      </c>
      <c r="G3499" t="s">
        <v>32</v>
      </c>
      <c r="H3499" t="s">
        <v>33</v>
      </c>
      <c r="I3499" t="s">
        <v>59</v>
      </c>
      <c r="O3499" s="5"/>
      <c r="P3499" s="5"/>
    </row>
    <row r="3500" spans="1:30" x14ac:dyDescent="0.35">
      <c r="A3500" s="4">
        <v>42599</v>
      </c>
      <c r="B3500" t="s">
        <v>30</v>
      </c>
      <c r="C3500">
        <v>304</v>
      </c>
      <c r="D3500">
        <v>2</v>
      </c>
      <c r="E3500">
        <v>1</v>
      </c>
      <c r="F3500" t="s">
        <v>315</v>
      </c>
      <c r="G3500" t="s">
        <v>32</v>
      </c>
      <c r="H3500" t="s">
        <v>33</v>
      </c>
      <c r="I3500" t="s">
        <v>59</v>
      </c>
      <c r="O3500" s="5"/>
      <c r="P3500" s="5"/>
    </row>
    <row r="3501" spans="1:30" x14ac:dyDescent="0.35">
      <c r="A3501" s="4">
        <v>42599</v>
      </c>
      <c r="B3501" t="s">
        <v>30</v>
      </c>
      <c r="C3501">
        <v>304</v>
      </c>
      <c r="D3501">
        <v>1</v>
      </c>
      <c r="E3501">
        <v>1</v>
      </c>
      <c r="F3501" t="s">
        <v>315</v>
      </c>
      <c r="G3501" t="s">
        <v>32</v>
      </c>
      <c r="H3501" t="s">
        <v>33</v>
      </c>
      <c r="I3501" t="s">
        <v>59</v>
      </c>
      <c r="O3501" s="5"/>
      <c r="P3501" s="5"/>
    </row>
    <row r="3502" spans="1:30" x14ac:dyDescent="0.35">
      <c r="A3502" s="4">
        <v>42599</v>
      </c>
      <c r="B3502" t="s">
        <v>30</v>
      </c>
      <c r="C3502">
        <v>202</v>
      </c>
      <c r="D3502">
        <v>8</v>
      </c>
      <c r="E3502">
        <v>2</v>
      </c>
      <c r="F3502" t="s">
        <v>315</v>
      </c>
      <c r="G3502" t="s">
        <v>32</v>
      </c>
      <c r="H3502" t="s">
        <v>33</v>
      </c>
      <c r="I3502" t="s">
        <v>94</v>
      </c>
      <c r="J3502" t="s">
        <v>44</v>
      </c>
      <c r="K3502" t="s">
        <v>36</v>
      </c>
      <c r="L3502" t="s">
        <v>45</v>
      </c>
      <c r="M3502">
        <v>0</v>
      </c>
      <c r="N3502">
        <v>0</v>
      </c>
      <c r="O3502" s="5" t="s">
        <v>806</v>
      </c>
      <c r="P3502" s="5"/>
      <c r="Q3502">
        <f>34-15</f>
        <v>19</v>
      </c>
      <c r="R3502" t="s">
        <v>46</v>
      </c>
      <c r="S3502" t="s">
        <v>39</v>
      </c>
      <c r="Z3502" t="s">
        <v>102</v>
      </c>
      <c r="AA3502" t="s">
        <v>201</v>
      </c>
      <c r="AB3502" t="s">
        <v>86</v>
      </c>
      <c r="AC3502" t="s">
        <v>41</v>
      </c>
    </row>
    <row r="3503" spans="1:30" x14ac:dyDescent="0.35">
      <c r="A3503" s="4">
        <v>42599</v>
      </c>
      <c r="B3503" t="s">
        <v>30</v>
      </c>
      <c r="C3503">
        <v>203</v>
      </c>
      <c r="D3503">
        <v>4</v>
      </c>
      <c r="E3503">
        <v>1</v>
      </c>
      <c r="F3503" t="s">
        <v>315</v>
      </c>
      <c r="G3503" t="s">
        <v>32</v>
      </c>
      <c r="H3503" t="s">
        <v>33</v>
      </c>
      <c r="I3503" t="s">
        <v>94</v>
      </c>
      <c r="J3503" t="s">
        <v>35</v>
      </c>
      <c r="K3503" t="s">
        <v>113</v>
      </c>
      <c r="L3503" t="s">
        <v>37</v>
      </c>
      <c r="M3503">
        <v>0</v>
      </c>
      <c r="N3503">
        <v>1</v>
      </c>
      <c r="O3503" s="5" t="s">
        <v>856</v>
      </c>
      <c r="P3503" s="5"/>
      <c r="Q3503">
        <f>30-13.5</f>
        <v>16.5</v>
      </c>
      <c r="R3503" t="s">
        <v>38</v>
      </c>
      <c r="T3503">
        <v>29</v>
      </c>
      <c r="W3503">
        <v>13.2</v>
      </c>
      <c r="X3503">
        <v>24.7</v>
      </c>
      <c r="Z3503" t="s">
        <v>39</v>
      </c>
      <c r="AB3503" t="s">
        <v>86</v>
      </c>
      <c r="AC3503" t="s">
        <v>41</v>
      </c>
      <c r="AD3503" t="s">
        <v>807</v>
      </c>
    </row>
    <row r="3504" spans="1:30" x14ac:dyDescent="0.35">
      <c r="A3504" s="4">
        <v>42599</v>
      </c>
      <c r="B3504" t="s">
        <v>30</v>
      </c>
      <c r="C3504">
        <v>112</v>
      </c>
      <c r="D3504">
        <v>7</v>
      </c>
      <c r="E3504">
        <v>2</v>
      </c>
      <c r="F3504" t="s">
        <v>42</v>
      </c>
      <c r="G3504" t="s">
        <v>32</v>
      </c>
      <c r="H3504" t="s">
        <v>33</v>
      </c>
      <c r="I3504" t="s">
        <v>94</v>
      </c>
      <c r="J3504" t="s">
        <v>44</v>
      </c>
      <c r="K3504" t="s">
        <v>113</v>
      </c>
      <c r="L3504" t="s">
        <v>45</v>
      </c>
      <c r="M3504">
        <v>0</v>
      </c>
      <c r="N3504">
        <v>0</v>
      </c>
      <c r="O3504" s="5" t="s">
        <v>336</v>
      </c>
      <c r="P3504" s="5"/>
      <c r="Q3504">
        <f>31-14</f>
        <v>17</v>
      </c>
      <c r="R3504" t="s">
        <v>46</v>
      </c>
      <c r="S3504" t="s">
        <v>39</v>
      </c>
      <c r="T3504">
        <v>28</v>
      </c>
      <c r="W3504">
        <v>12.3</v>
      </c>
      <c r="X3504">
        <v>25</v>
      </c>
      <c r="AB3504" t="s">
        <v>86</v>
      </c>
      <c r="AC3504" t="s">
        <v>41</v>
      </c>
    </row>
    <row r="3505" spans="1:30" x14ac:dyDescent="0.35">
      <c r="A3505" s="4">
        <v>42599</v>
      </c>
      <c r="B3505" t="s">
        <v>30</v>
      </c>
      <c r="C3505">
        <v>112</v>
      </c>
      <c r="D3505">
        <v>3</v>
      </c>
      <c r="E3505">
        <v>1</v>
      </c>
      <c r="F3505" t="s">
        <v>42</v>
      </c>
      <c r="G3505" t="s">
        <v>32</v>
      </c>
      <c r="H3505" t="s">
        <v>33</v>
      </c>
      <c r="I3505" t="s">
        <v>94</v>
      </c>
      <c r="J3505" t="s">
        <v>44</v>
      </c>
      <c r="K3505" t="s">
        <v>36</v>
      </c>
      <c r="L3505" t="s">
        <v>37</v>
      </c>
      <c r="M3505">
        <v>0</v>
      </c>
      <c r="N3505">
        <v>0</v>
      </c>
      <c r="O3505" s="5" t="s">
        <v>392</v>
      </c>
      <c r="P3505" s="5"/>
      <c r="Q3505">
        <f>34-13.5</f>
        <v>20.5</v>
      </c>
      <c r="R3505" t="s">
        <v>64</v>
      </c>
      <c r="T3505">
        <v>29</v>
      </c>
      <c r="W3505">
        <v>12.55</v>
      </c>
      <c r="X3505">
        <v>25.1</v>
      </c>
      <c r="AB3505" t="s">
        <v>86</v>
      </c>
      <c r="AC3505" t="s">
        <v>41</v>
      </c>
    </row>
    <row r="3506" spans="1:30" x14ac:dyDescent="0.35">
      <c r="A3506" s="4">
        <v>42599</v>
      </c>
      <c r="B3506" t="s">
        <v>30</v>
      </c>
      <c r="C3506">
        <v>112</v>
      </c>
      <c r="D3506">
        <v>10</v>
      </c>
      <c r="E3506">
        <v>1</v>
      </c>
      <c r="F3506" t="s">
        <v>42</v>
      </c>
      <c r="G3506" t="s">
        <v>32</v>
      </c>
      <c r="H3506" t="s">
        <v>33</v>
      </c>
      <c r="I3506" t="s">
        <v>94</v>
      </c>
      <c r="J3506" t="s">
        <v>44</v>
      </c>
      <c r="K3506" t="s">
        <v>36</v>
      </c>
      <c r="L3506" t="s">
        <v>45</v>
      </c>
      <c r="M3506">
        <v>0</v>
      </c>
      <c r="N3506">
        <v>0</v>
      </c>
      <c r="O3506" s="5" t="s">
        <v>808</v>
      </c>
      <c r="P3506" s="5"/>
      <c r="Q3506">
        <f>33.5-14</f>
        <v>19.5</v>
      </c>
      <c r="R3506" t="s">
        <v>46</v>
      </c>
      <c r="S3506" t="s">
        <v>39</v>
      </c>
      <c r="T3506">
        <v>29</v>
      </c>
      <c r="W3506">
        <v>12.7</v>
      </c>
      <c r="X3506">
        <v>22.3</v>
      </c>
      <c r="AB3506" t="s">
        <v>86</v>
      </c>
      <c r="AC3506" t="s">
        <v>41</v>
      </c>
    </row>
    <row r="3507" spans="1:30" x14ac:dyDescent="0.35">
      <c r="A3507" s="4">
        <v>42599</v>
      </c>
      <c r="B3507" t="s">
        <v>30</v>
      </c>
      <c r="C3507">
        <v>112</v>
      </c>
      <c r="D3507">
        <v>4</v>
      </c>
      <c r="E3507">
        <v>2</v>
      </c>
      <c r="F3507" t="s">
        <v>42</v>
      </c>
      <c r="G3507" t="s">
        <v>32</v>
      </c>
      <c r="H3507" t="s">
        <v>33</v>
      </c>
      <c r="I3507" t="s">
        <v>94</v>
      </c>
      <c r="J3507" t="s">
        <v>44</v>
      </c>
      <c r="K3507" t="s">
        <v>36</v>
      </c>
      <c r="L3507" t="s">
        <v>37</v>
      </c>
      <c r="M3507">
        <v>0</v>
      </c>
      <c r="N3507">
        <v>0</v>
      </c>
      <c r="O3507" s="5" t="s">
        <v>809</v>
      </c>
      <c r="P3507" s="5"/>
      <c r="Q3507">
        <f>31-13</f>
        <v>18</v>
      </c>
      <c r="R3507" t="s">
        <v>64</v>
      </c>
      <c r="T3507">
        <v>29</v>
      </c>
      <c r="W3507">
        <v>12.4</v>
      </c>
      <c r="X3507">
        <v>25</v>
      </c>
      <c r="Z3507" t="s">
        <v>102</v>
      </c>
      <c r="AB3507" t="s">
        <v>86</v>
      </c>
      <c r="AC3507" t="s">
        <v>41</v>
      </c>
    </row>
    <row r="3508" spans="1:30" x14ac:dyDescent="0.35">
      <c r="A3508" s="4">
        <v>42599</v>
      </c>
      <c r="B3508" t="s">
        <v>30</v>
      </c>
      <c r="C3508">
        <v>111</v>
      </c>
      <c r="D3508">
        <v>1</v>
      </c>
      <c r="E3508">
        <v>2</v>
      </c>
      <c r="F3508" t="s">
        <v>42</v>
      </c>
      <c r="G3508" t="s">
        <v>32</v>
      </c>
      <c r="H3508" t="s">
        <v>33</v>
      </c>
      <c r="I3508" t="s">
        <v>94</v>
      </c>
      <c r="J3508" t="s">
        <v>35</v>
      </c>
      <c r="K3508" t="s">
        <v>36</v>
      </c>
      <c r="L3508" t="s">
        <v>37</v>
      </c>
      <c r="M3508">
        <v>0</v>
      </c>
      <c r="N3508">
        <v>1</v>
      </c>
      <c r="O3508" s="5" t="s">
        <v>857</v>
      </c>
      <c r="P3508" s="5"/>
      <c r="Q3508">
        <f>36-12.5</f>
        <v>23.5</v>
      </c>
      <c r="R3508" t="s">
        <v>64</v>
      </c>
      <c r="T3508">
        <v>29</v>
      </c>
      <c r="W3508">
        <v>13.1</v>
      </c>
      <c r="X3508">
        <v>25.6</v>
      </c>
      <c r="AB3508" t="s">
        <v>86</v>
      </c>
      <c r="AC3508" t="s">
        <v>41</v>
      </c>
    </row>
    <row r="3509" spans="1:30" x14ac:dyDescent="0.35">
      <c r="A3509" s="4">
        <v>42599</v>
      </c>
      <c r="B3509" t="s">
        <v>30</v>
      </c>
      <c r="C3509">
        <v>112</v>
      </c>
      <c r="D3509">
        <v>1</v>
      </c>
      <c r="E3509">
        <v>1</v>
      </c>
      <c r="F3509" t="s">
        <v>42</v>
      </c>
      <c r="G3509" t="s">
        <v>32</v>
      </c>
      <c r="H3509" t="s">
        <v>33</v>
      </c>
      <c r="I3509" t="s">
        <v>94</v>
      </c>
      <c r="J3509" t="s">
        <v>35</v>
      </c>
      <c r="K3509" t="s">
        <v>36</v>
      </c>
      <c r="L3509" t="s">
        <v>45</v>
      </c>
      <c r="M3509">
        <v>0</v>
      </c>
      <c r="N3509">
        <v>1</v>
      </c>
      <c r="O3509" s="5" t="s">
        <v>858</v>
      </c>
      <c r="P3509" s="5"/>
      <c r="Q3509">
        <f>33-13</f>
        <v>20</v>
      </c>
      <c r="R3509" t="s">
        <v>46</v>
      </c>
      <c r="S3509" t="s">
        <v>39</v>
      </c>
      <c r="T3509">
        <v>28</v>
      </c>
      <c r="W3509">
        <v>12.7</v>
      </c>
      <c r="X3509">
        <v>25.8</v>
      </c>
      <c r="Z3509" t="s">
        <v>102</v>
      </c>
      <c r="AB3509" t="s">
        <v>86</v>
      </c>
      <c r="AC3509" t="s">
        <v>41</v>
      </c>
      <c r="AD3509" t="s">
        <v>127</v>
      </c>
    </row>
    <row r="3510" spans="1:30" x14ac:dyDescent="0.35">
      <c r="A3510" s="4">
        <v>42599</v>
      </c>
      <c r="B3510" t="s">
        <v>30</v>
      </c>
      <c r="C3510">
        <v>112</v>
      </c>
      <c r="D3510">
        <v>6</v>
      </c>
      <c r="E3510">
        <v>2</v>
      </c>
      <c r="F3510" t="s">
        <v>42</v>
      </c>
      <c r="G3510" t="s">
        <v>32</v>
      </c>
      <c r="H3510" t="s">
        <v>33</v>
      </c>
      <c r="I3510" t="s">
        <v>94</v>
      </c>
      <c r="J3510" t="s">
        <v>35</v>
      </c>
      <c r="K3510" t="s">
        <v>36</v>
      </c>
      <c r="L3510" t="s">
        <v>37</v>
      </c>
      <c r="M3510">
        <v>0</v>
      </c>
      <c r="N3510">
        <v>1</v>
      </c>
      <c r="O3510" s="5" t="s">
        <v>859</v>
      </c>
      <c r="P3510" s="5"/>
      <c r="Q3510">
        <f>33.5-14</f>
        <v>19.5</v>
      </c>
      <c r="R3510" t="s">
        <v>64</v>
      </c>
      <c r="T3510">
        <v>30</v>
      </c>
      <c r="W3510">
        <v>16</v>
      </c>
      <c r="X3510">
        <v>25.85</v>
      </c>
      <c r="Z3510" t="s">
        <v>102</v>
      </c>
      <c r="AB3510" t="s">
        <v>86</v>
      </c>
      <c r="AC3510" t="s">
        <v>41</v>
      </c>
      <c r="AD3510" t="s">
        <v>127</v>
      </c>
    </row>
    <row r="3511" spans="1:30" x14ac:dyDescent="0.35">
      <c r="A3511" s="4">
        <v>42599</v>
      </c>
      <c r="B3511" t="s">
        <v>30</v>
      </c>
      <c r="C3511">
        <v>113</v>
      </c>
      <c r="D3511">
        <v>1</v>
      </c>
      <c r="E3511">
        <v>2</v>
      </c>
      <c r="F3511" t="s">
        <v>42</v>
      </c>
      <c r="G3511" t="s">
        <v>32</v>
      </c>
      <c r="H3511" t="s">
        <v>33</v>
      </c>
      <c r="I3511" t="s">
        <v>94</v>
      </c>
      <c r="J3511" t="s">
        <v>122</v>
      </c>
      <c r="K3511" t="s">
        <v>36</v>
      </c>
      <c r="M3511">
        <v>0</v>
      </c>
      <c r="N3511">
        <v>1</v>
      </c>
      <c r="O3511" s="5" t="s">
        <v>860</v>
      </c>
      <c r="P3511" s="5"/>
      <c r="AB3511" t="s">
        <v>86</v>
      </c>
      <c r="AC3511" t="s">
        <v>41</v>
      </c>
    </row>
    <row r="3512" spans="1:30" x14ac:dyDescent="0.35">
      <c r="A3512" s="4">
        <v>42599</v>
      </c>
      <c r="B3512" t="s">
        <v>30</v>
      </c>
      <c r="C3512">
        <v>113</v>
      </c>
      <c r="D3512">
        <v>2</v>
      </c>
      <c r="E3512">
        <v>1</v>
      </c>
      <c r="F3512" t="s">
        <v>42</v>
      </c>
      <c r="G3512" t="s">
        <v>32</v>
      </c>
      <c r="H3512" t="s">
        <v>33</v>
      </c>
      <c r="I3512" t="s">
        <v>94</v>
      </c>
      <c r="J3512" t="s">
        <v>35</v>
      </c>
      <c r="K3512" t="s">
        <v>36</v>
      </c>
      <c r="L3512" t="s">
        <v>37</v>
      </c>
      <c r="M3512">
        <v>0</v>
      </c>
      <c r="N3512">
        <v>1</v>
      </c>
      <c r="O3512" s="5" t="s">
        <v>861</v>
      </c>
      <c r="P3512" s="5"/>
      <c r="Q3512">
        <f>35-14</f>
        <v>21</v>
      </c>
      <c r="R3512" t="s">
        <v>64</v>
      </c>
      <c r="T3512">
        <v>30</v>
      </c>
      <c r="W3512">
        <v>13.1</v>
      </c>
      <c r="X3512">
        <v>25.2</v>
      </c>
      <c r="AB3512" t="s">
        <v>86</v>
      </c>
      <c r="AC3512" t="s">
        <v>41</v>
      </c>
    </row>
    <row r="3513" spans="1:30" x14ac:dyDescent="0.35">
      <c r="A3513" s="4">
        <v>42599</v>
      </c>
      <c r="B3513" t="s">
        <v>30</v>
      </c>
      <c r="C3513">
        <v>113</v>
      </c>
      <c r="D3513">
        <v>4</v>
      </c>
      <c r="E3513">
        <v>2</v>
      </c>
      <c r="F3513" t="s">
        <v>42</v>
      </c>
      <c r="G3513" t="s">
        <v>32</v>
      </c>
      <c r="H3513" t="s">
        <v>33</v>
      </c>
      <c r="I3513" t="s">
        <v>94</v>
      </c>
      <c r="J3513" t="s">
        <v>35</v>
      </c>
      <c r="K3513" t="s">
        <v>113</v>
      </c>
      <c r="L3513" t="s">
        <v>45</v>
      </c>
      <c r="M3513">
        <v>0</v>
      </c>
      <c r="N3513">
        <v>1</v>
      </c>
      <c r="O3513" s="5" t="s">
        <v>862</v>
      </c>
      <c r="P3513" s="5"/>
      <c r="Q3513">
        <f>30.5-14</f>
        <v>16.5</v>
      </c>
      <c r="R3513" t="s">
        <v>46</v>
      </c>
      <c r="S3513" t="s">
        <v>39</v>
      </c>
      <c r="T3513">
        <v>29</v>
      </c>
      <c r="W3513">
        <v>12.3</v>
      </c>
      <c r="X3513">
        <v>24.7</v>
      </c>
      <c r="AB3513" t="s">
        <v>86</v>
      </c>
      <c r="AC3513" t="s">
        <v>41</v>
      </c>
      <c r="AD3513" t="s">
        <v>513</v>
      </c>
    </row>
    <row r="3514" spans="1:30" x14ac:dyDescent="0.35">
      <c r="A3514" s="4">
        <v>42599</v>
      </c>
      <c r="B3514" t="s">
        <v>30</v>
      </c>
      <c r="C3514">
        <v>113</v>
      </c>
      <c r="D3514">
        <v>5</v>
      </c>
      <c r="E3514">
        <v>1</v>
      </c>
      <c r="F3514" t="s">
        <v>42</v>
      </c>
      <c r="G3514" t="s">
        <v>32</v>
      </c>
      <c r="H3514" t="s">
        <v>33</v>
      </c>
      <c r="I3514" t="s">
        <v>94</v>
      </c>
      <c r="J3514" t="s">
        <v>35</v>
      </c>
      <c r="K3514" t="s">
        <v>88</v>
      </c>
      <c r="L3514" t="s">
        <v>45</v>
      </c>
      <c r="M3514">
        <v>0</v>
      </c>
      <c r="N3514">
        <v>1</v>
      </c>
      <c r="O3514" s="5" t="s">
        <v>863</v>
      </c>
      <c r="P3514" s="5"/>
      <c r="Q3514">
        <f>28-14</f>
        <v>14</v>
      </c>
      <c r="R3514" t="s">
        <v>46</v>
      </c>
      <c r="S3514" t="s">
        <v>39</v>
      </c>
      <c r="T3514">
        <v>27</v>
      </c>
      <c r="W3514">
        <v>12.2</v>
      </c>
      <c r="X3514">
        <v>24.15</v>
      </c>
      <c r="Z3514" t="s">
        <v>102</v>
      </c>
      <c r="AB3514" t="s">
        <v>86</v>
      </c>
      <c r="AC3514" t="s">
        <v>41</v>
      </c>
    </row>
    <row r="3515" spans="1:30" x14ac:dyDescent="0.35">
      <c r="A3515" s="4">
        <v>42599</v>
      </c>
      <c r="B3515" t="s">
        <v>30</v>
      </c>
      <c r="C3515">
        <v>113</v>
      </c>
      <c r="D3515">
        <v>7</v>
      </c>
      <c r="E3515">
        <v>2</v>
      </c>
      <c r="F3515" t="s">
        <v>42</v>
      </c>
      <c r="G3515" t="s">
        <v>32</v>
      </c>
      <c r="H3515" t="s">
        <v>33</v>
      </c>
      <c r="I3515" t="s">
        <v>94</v>
      </c>
      <c r="J3515" t="s">
        <v>35</v>
      </c>
      <c r="K3515" t="s">
        <v>88</v>
      </c>
      <c r="L3515" t="s">
        <v>45</v>
      </c>
      <c r="M3515">
        <v>0</v>
      </c>
      <c r="N3515">
        <v>1</v>
      </c>
      <c r="O3515" s="5" t="s">
        <v>864</v>
      </c>
      <c r="P3515" s="5"/>
      <c r="Q3515">
        <f>30.5-14</f>
        <v>16.5</v>
      </c>
      <c r="R3515" t="s">
        <v>46</v>
      </c>
      <c r="S3515" t="s">
        <v>39</v>
      </c>
      <c r="T3515">
        <v>29</v>
      </c>
      <c r="W3515">
        <v>12.5</v>
      </c>
      <c r="X3515">
        <v>24.9</v>
      </c>
      <c r="AB3515" t="s">
        <v>86</v>
      </c>
      <c r="AC3515" t="s">
        <v>41</v>
      </c>
    </row>
    <row r="3516" spans="1:30" x14ac:dyDescent="0.35">
      <c r="A3516" s="4">
        <v>42599</v>
      </c>
      <c r="B3516" t="s">
        <v>30</v>
      </c>
      <c r="C3516">
        <v>112</v>
      </c>
      <c r="D3516">
        <v>5</v>
      </c>
      <c r="E3516">
        <v>2</v>
      </c>
      <c r="F3516" t="s">
        <v>42</v>
      </c>
      <c r="G3516" t="s">
        <v>32</v>
      </c>
      <c r="H3516" t="s">
        <v>33</v>
      </c>
      <c r="I3516" t="s">
        <v>94</v>
      </c>
      <c r="J3516" t="s">
        <v>44</v>
      </c>
      <c r="K3516" t="s">
        <v>36</v>
      </c>
      <c r="L3516" t="s">
        <v>37</v>
      </c>
      <c r="M3516">
        <v>0</v>
      </c>
      <c r="N3516">
        <v>0</v>
      </c>
      <c r="O3516" s="5" t="s">
        <v>441</v>
      </c>
      <c r="P3516" s="5" t="s">
        <v>168</v>
      </c>
      <c r="Q3516">
        <f>37.5-13</f>
        <v>24.5</v>
      </c>
      <c r="R3516" t="s">
        <v>64</v>
      </c>
      <c r="T3516">
        <v>30</v>
      </c>
      <c r="W3516">
        <v>13.2</v>
      </c>
      <c r="X3516">
        <v>25.3</v>
      </c>
      <c r="AB3516" t="s">
        <v>86</v>
      </c>
      <c r="AC3516" t="s">
        <v>41</v>
      </c>
    </row>
    <row r="3517" spans="1:30" x14ac:dyDescent="0.35">
      <c r="A3517" s="4">
        <v>42599</v>
      </c>
      <c r="B3517" t="s">
        <v>30</v>
      </c>
      <c r="C3517">
        <v>203</v>
      </c>
      <c r="D3517">
        <v>1</v>
      </c>
      <c r="E3517">
        <v>1</v>
      </c>
      <c r="F3517" t="s">
        <v>315</v>
      </c>
      <c r="G3517" t="s">
        <v>32</v>
      </c>
      <c r="H3517" t="s">
        <v>33</v>
      </c>
      <c r="I3517" t="s">
        <v>94</v>
      </c>
      <c r="J3517" t="s">
        <v>44</v>
      </c>
      <c r="K3517" t="s">
        <v>36</v>
      </c>
      <c r="L3517" t="s">
        <v>45</v>
      </c>
      <c r="M3517">
        <v>0</v>
      </c>
      <c r="N3517">
        <v>0</v>
      </c>
      <c r="O3517" s="5" t="s">
        <v>814</v>
      </c>
      <c r="P3517" s="5"/>
      <c r="Q3517">
        <f>40.5-14</f>
        <v>26.5</v>
      </c>
      <c r="R3517" t="s">
        <v>143</v>
      </c>
      <c r="S3517" t="s">
        <v>102</v>
      </c>
      <c r="T3517">
        <v>29</v>
      </c>
      <c r="W3517">
        <v>13</v>
      </c>
      <c r="X3517">
        <v>26</v>
      </c>
      <c r="Z3517" t="s">
        <v>102</v>
      </c>
      <c r="AA3517" t="s">
        <v>201</v>
      </c>
      <c r="AB3517" t="s">
        <v>86</v>
      </c>
      <c r="AC3517" t="s">
        <v>41</v>
      </c>
    </row>
    <row r="3518" spans="1:30" x14ac:dyDescent="0.35">
      <c r="A3518" s="4">
        <v>42599</v>
      </c>
      <c r="B3518" t="s">
        <v>30</v>
      </c>
      <c r="C3518">
        <v>111</v>
      </c>
      <c r="D3518">
        <v>5</v>
      </c>
      <c r="E3518">
        <v>1</v>
      </c>
      <c r="F3518" t="s">
        <v>42</v>
      </c>
      <c r="G3518" t="s">
        <v>32</v>
      </c>
      <c r="H3518" t="s">
        <v>33</v>
      </c>
      <c r="I3518" t="s">
        <v>94</v>
      </c>
      <c r="J3518" t="s">
        <v>44</v>
      </c>
      <c r="K3518" t="s">
        <v>36</v>
      </c>
      <c r="L3518" t="s">
        <v>45</v>
      </c>
      <c r="M3518">
        <v>0</v>
      </c>
      <c r="N3518">
        <v>0</v>
      </c>
      <c r="O3518" s="5" t="s">
        <v>168</v>
      </c>
      <c r="P3518" s="5" t="s">
        <v>865</v>
      </c>
      <c r="Q3518">
        <f>35-12.5</f>
        <v>22.5</v>
      </c>
      <c r="R3518" t="s">
        <v>74</v>
      </c>
      <c r="S3518" t="s">
        <v>102</v>
      </c>
      <c r="T3518">
        <v>29</v>
      </c>
      <c r="W3518">
        <v>12.9</v>
      </c>
      <c r="X3518">
        <v>24.7</v>
      </c>
      <c r="AB3518" t="s">
        <v>86</v>
      </c>
      <c r="AC3518" t="s">
        <v>41</v>
      </c>
    </row>
    <row r="3519" spans="1:30" x14ac:dyDescent="0.35">
      <c r="A3519" s="4">
        <v>42599</v>
      </c>
      <c r="B3519" t="s">
        <v>30</v>
      </c>
      <c r="C3519">
        <v>203</v>
      </c>
      <c r="D3519">
        <v>1</v>
      </c>
      <c r="E3519">
        <v>2</v>
      </c>
      <c r="F3519" t="s">
        <v>315</v>
      </c>
      <c r="G3519" t="s">
        <v>32</v>
      </c>
      <c r="H3519" t="s">
        <v>33</v>
      </c>
      <c r="I3519" t="s">
        <v>94</v>
      </c>
      <c r="J3519" t="s">
        <v>35</v>
      </c>
      <c r="K3519" t="s">
        <v>36</v>
      </c>
      <c r="L3519" t="s">
        <v>37</v>
      </c>
      <c r="M3519">
        <v>0</v>
      </c>
      <c r="N3519">
        <v>1</v>
      </c>
      <c r="O3519" s="5"/>
      <c r="P3519" s="5" t="s">
        <v>866</v>
      </c>
      <c r="Q3519">
        <f>52-14</f>
        <v>38</v>
      </c>
      <c r="R3519" t="s">
        <v>143</v>
      </c>
      <c r="S3519" t="s">
        <v>102</v>
      </c>
      <c r="T3519">
        <v>30.5</v>
      </c>
      <c r="W3519">
        <v>13.4</v>
      </c>
      <c r="X3519">
        <v>25.4</v>
      </c>
      <c r="Y3519" t="s">
        <v>867</v>
      </c>
      <c r="Z3519" t="s">
        <v>102</v>
      </c>
      <c r="AA3519" t="s">
        <v>201</v>
      </c>
      <c r="AB3519" t="s">
        <v>86</v>
      </c>
      <c r="AC3519" t="s">
        <v>41</v>
      </c>
      <c r="AD3519" t="s">
        <v>660</v>
      </c>
    </row>
    <row r="3520" spans="1:30" x14ac:dyDescent="0.35">
      <c r="A3520" s="4">
        <v>42599</v>
      </c>
      <c r="B3520" t="s">
        <v>30</v>
      </c>
      <c r="C3520">
        <v>203</v>
      </c>
      <c r="D3520">
        <v>3</v>
      </c>
      <c r="E3520">
        <v>2</v>
      </c>
      <c r="F3520" t="s">
        <v>315</v>
      </c>
      <c r="G3520" t="s">
        <v>32</v>
      </c>
      <c r="H3520" t="s">
        <v>33</v>
      </c>
      <c r="I3520" t="s">
        <v>94</v>
      </c>
      <c r="J3520" t="s">
        <v>44</v>
      </c>
      <c r="K3520" t="s">
        <v>36</v>
      </c>
      <c r="L3520" t="s">
        <v>45</v>
      </c>
      <c r="M3520">
        <v>0</v>
      </c>
      <c r="N3520">
        <v>0</v>
      </c>
      <c r="O3520" s="5"/>
      <c r="P3520" s="5" t="s">
        <v>868</v>
      </c>
      <c r="Q3520">
        <f>49-13</f>
        <v>36</v>
      </c>
      <c r="R3520" t="s">
        <v>145</v>
      </c>
      <c r="S3520" t="s">
        <v>102</v>
      </c>
      <c r="T3520">
        <v>28</v>
      </c>
      <c r="W3520">
        <v>13.3</v>
      </c>
      <c r="X3520">
        <v>26.1</v>
      </c>
      <c r="Z3520" t="s">
        <v>102</v>
      </c>
      <c r="AA3520" t="s">
        <v>201</v>
      </c>
      <c r="AB3520" t="s">
        <v>86</v>
      </c>
      <c r="AC3520" t="s">
        <v>41</v>
      </c>
    </row>
    <row r="3521" spans="1:30" x14ac:dyDescent="0.35">
      <c r="A3521" s="4">
        <v>42600</v>
      </c>
      <c r="B3521" t="s">
        <v>30</v>
      </c>
      <c r="C3521">
        <v>304</v>
      </c>
      <c r="D3521">
        <v>10</v>
      </c>
      <c r="E3521">
        <v>1</v>
      </c>
      <c r="F3521" t="s">
        <v>315</v>
      </c>
      <c r="G3521" t="s">
        <v>32</v>
      </c>
      <c r="H3521" t="s">
        <v>33</v>
      </c>
      <c r="I3521" t="s">
        <v>43</v>
      </c>
      <c r="J3521" t="s">
        <v>35</v>
      </c>
      <c r="K3521" t="s">
        <v>88</v>
      </c>
      <c r="L3521" t="s">
        <v>45</v>
      </c>
      <c r="M3521">
        <v>0</v>
      </c>
      <c r="N3521">
        <v>1</v>
      </c>
      <c r="O3521" s="5" t="s">
        <v>869</v>
      </c>
      <c r="P3521" s="5" t="s">
        <v>870</v>
      </c>
      <c r="Q3521">
        <f>33-20.5</f>
        <v>12.5</v>
      </c>
      <c r="R3521" t="s">
        <v>46</v>
      </c>
      <c r="S3521" t="s">
        <v>39</v>
      </c>
      <c r="T3521">
        <v>16.5</v>
      </c>
      <c r="U3521">
        <v>82</v>
      </c>
      <c r="V3521">
        <v>16</v>
      </c>
      <c r="W3521">
        <v>12.9</v>
      </c>
      <c r="X3521">
        <v>27</v>
      </c>
      <c r="Z3521" t="s">
        <v>39</v>
      </c>
      <c r="AB3521" t="s">
        <v>86</v>
      </c>
      <c r="AC3521" t="s">
        <v>87</v>
      </c>
      <c r="AD3521" t="s">
        <v>807</v>
      </c>
    </row>
    <row r="3522" spans="1:30" x14ac:dyDescent="0.35">
      <c r="A3522" s="4">
        <v>42600</v>
      </c>
      <c r="B3522" t="s">
        <v>30</v>
      </c>
      <c r="C3522">
        <v>304</v>
      </c>
      <c r="D3522">
        <v>3</v>
      </c>
      <c r="E3522">
        <v>1</v>
      </c>
      <c r="F3522" t="s">
        <v>315</v>
      </c>
      <c r="G3522" t="s">
        <v>32</v>
      </c>
      <c r="H3522" t="s">
        <v>33</v>
      </c>
      <c r="I3522" t="s">
        <v>43</v>
      </c>
      <c r="J3522" t="s">
        <v>35</v>
      </c>
      <c r="K3522" t="s">
        <v>113</v>
      </c>
      <c r="L3522" t="s">
        <v>37</v>
      </c>
      <c r="M3522">
        <v>0</v>
      </c>
      <c r="N3522">
        <v>1</v>
      </c>
      <c r="O3522" s="5" t="s">
        <v>871</v>
      </c>
      <c r="P3522" s="5" t="s">
        <v>872</v>
      </c>
      <c r="Q3522">
        <f>34-18</f>
        <v>16</v>
      </c>
      <c r="R3522" t="s">
        <v>64</v>
      </c>
      <c r="T3522">
        <v>18</v>
      </c>
      <c r="U3522">
        <v>74</v>
      </c>
      <c r="V3522">
        <v>16</v>
      </c>
      <c r="W3522">
        <v>13.1</v>
      </c>
      <c r="X3522">
        <v>27.7</v>
      </c>
      <c r="Z3522" t="s">
        <v>39</v>
      </c>
      <c r="AA3522" t="s">
        <v>201</v>
      </c>
      <c r="AB3522" t="s">
        <v>86</v>
      </c>
      <c r="AC3522" t="s">
        <v>87</v>
      </c>
      <c r="AD3522" t="s">
        <v>807</v>
      </c>
    </row>
    <row r="3523" spans="1:30" x14ac:dyDescent="0.35">
      <c r="A3523" s="4">
        <v>42600</v>
      </c>
      <c r="B3523" t="s">
        <v>30</v>
      </c>
      <c r="C3523">
        <v>304</v>
      </c>
      <c r="D3523">
        <v>5</v>
      </c>
      <c r="E3523">
        <v>1</v>
      </c>
      <c r="F3523" t="s">
        <v>42</v>
      </c>
      <c r="G3523" t="s">
        <v>32</v>
      </c>
      <c r="H3523" t="s">
        <v>33</v>
      </c>
      <c r="I3523" t="s">
        <v>43</v>
      </c>
      <c r="J3523" t="s">
        <v>35</v>
      </c>
      <c r="K3523" t="s">
        <v>113</v>
      </c>
      <c r="L3523" t="s">
        <v>45</v>
      </c>
      <c r="M3523">
        <v>0</v>
      </c>
      <c r="N3523">
        <v>1</v>
      </c>
      <c r="O3523" s="5" t="s">
        <v>873</v>
      </c>
      <c r="P3523" s="5" t="s">
        <v>874</v>
      </c>
      <c r="Q3523">
        <f>29.5-14.5</f>
        <v>15</v>
      </c>
      <c r="R3523" t="s">
        <v>46</v>
      </c>
      <c r="S3523" t="s">
        <v>39</v>
      </c>
      <c r="T3523">
        <v>19</v>
      </c>
      <c r="U3523">
        <v>87</v>
      </c>
      <c r="V3523">
        <v>16</v>
      </c>
      <c r="W3523">
        <v>13</v>
      </c>
      <c r="X3523">
        <v>25</v>
      </c>
      <c r="Z3523" t="s">
        <v>102</v>
      </c>
      <c r="AB3523" t="s">
        <v>86</v>
      </c>
      <c r="AC3523" t="s">
        <v>41</v>
      </c>
    </row>
    <row r="3524" spans="1:30" x14ac:dyDescent="0.35">
      <c r="A3524" s="4">
        <v>42600</v>
      </c>
      <c r="B3524" t="s">
        <v>30</v>
      </c>
      <c r="C3524">
        <v>203</v>
      </c>
      <c r="D3524">
        <v>8</v>
      </c>
      <c r="E3524">
        <v>2</v>
      </c>
      <c r="F3524" t="s">
        <v>315</v>
      </c>
      <c r="G3524" t="s">
        <v>32</v>
      </c>
      <c r="H3524" t="s">
        <v>33</v>
      </c>
      <c r="I3524" t="s">
        <v>43</v>
      </c>
      <c r="J3524" t="s">
        <v>44</v>
      </c>
      <c r="K3524" t="s">
        <v>88</v>
      </c>
      <c r="L3524" t="s">
        <v>45</v>
      </c>
      <c r="M3524">
        <v>0</v>
      </c>
      <c r="N3524">
        <v>0</v>
      </c>
      <c r="O3524" s="5" t="s">
        <v>738</v>
      </c>
      <c r="P3524" s="5" t="s">
        <v>739</v>
      </c>
      <c r="Q3524">
        <f>25-14.5</f>
        <v>10.5</v>
      </c>
      <c r="R3524" t="s">
        <v>46</v>
      </c>
      <c r="S3524" t="s">
        <v>39</v>
      </c>
      <c r="T3524">
        <v>17</v>
      </c>
      <c r="U3524">
        <v>75</v>
      </c>
      <c r="V3524">
        <v>15</v>
      </c>
      <c r="W3524">
        <v>12.9</v>
      </c>
      <c r="X3524">
        <v>26.1</v>
      </c>
      <c r="Z3524" t="s">
        <v>102</v>
      </c>
      <c r="AA3524" t="s">
        <v>201</v>
      </c>
      <c r="AB3524" t="s">
        <v>86</v>
      </c>
      <c r="AC3524" t="s">
        <v>87</v>
      </c>
    </row>
    <row r="3525" spans="1:30" x14ac:dyDescent="0.35">
      <c r="A3525" s="4">
        <v>42600</v>
      </c>
      <c r="B3525" t="s">
        <v>30</v>
      </c>
      <c r="C3525">
        <v>201</v>
      </c>
      <c r="D3525">
        <v>1</v>
      </c>
      <c r="E3525">
        <v>2</v>
      </c>
      <c r="F3525" t="s">
        <v>315</v>
      </c>
      <c r="G3525" t="s">
        <v>32</v>
      </c>
      <c r="H3525" t="s">
        <v>33</v>
      </c>
      <c r="I3525" t="s">
        <v>43</v>
      </c>
      <c r="J3525" t="s">
        <v>35</v>
      </c>
      <c r="K3525" t="s">
        <v>113</v>
      </c>
      <c r="L3525" t="s">
        <v>37</v>
      </c>
      <c r="M3525">
        <v>0</v>
      </c>
      <c r="N3525">
        <v>1</v>
      </c>
      <c r="O3525" s="5" t="s">
        <v>875</v>
      </c>
      <c r="P3525" s="5" t="s">
        <v>876</v>
      </c>
      <c r="Q3525">
        <f>30-14.5</f>
        <v>15.5</v>
      </c>
      <c r="R3525" t="s">
        <v>64</v>
      </c>
      <c r="T3525">
        <v>19</v>
      </c>
      <c r="U3525">
        <v>15</v>
      </c>
      <c r="V3525">
        <v>88</v>
      </c>
      <c r="W3525">
        <v>13.3</v>
      </c>
      <c r="X3525">
        <v>27.8</v>
      </c>
      <c r="Z3525" t="s">
        <v>39</v>
      </c>
      <c r="AB3525" t="s">
        <v>86</v>
      </c>
      <c r="AC3525" t="s">
        <v>87</v>
      </c>
      <c r="AD3525" t="s">
        <v>807</v>
      </c>
    </row>
    <row r="3526" spans="1:30" x14ac:dyDescent="0.35">
      <c r="A3526" s="4">
        <v>42600</v>
      </c>
      <c r="B3526" t="s">
        <v>30</v>
      </c>
      <c r="C3526">
        <v>201</v>
      </c>
      <c r="D3526">
        <v>2</v>
      </c>
      <c r="E3526">
        <v>2</v>
      </c>
      <c r="F3526" t="s">
        <v>315</v>
      </c>
      <c r="G3526" t="s">
        <v>32</v>
      </c>
      <c r="H3526" t="s">
        <v>33</v>
      </c>
      <c r="I3526" t="s">
        <v>43</v>
      </c>
      <c r="J3526" t="s">
        <v>35</v>
      </c>
      <c r="K3526" t="s">
        <v>88</v>
      </c>
      <c r="L3526" t="s">
        <v>37</v>
      </c>
      <c r="M3526">
        <v>0</v>
      </c>
      <c r="N3526">
        <v>1</v>
      </c>
      <c r="O3526" s="5" t="s">
        <v>877</v>
      </c>
      <c r="P3526" s="5" t="s">
        <v>878</v>
      </c>
      <c r="Q3526">
        <f>34-19</f>
        <v>15</v>
      </c>
      <c r="R3526" t="s">
        <v>64</v>
      </c>
      <c r="T3526">
        <v>20</v>
      </c>
      <c r="U3526">
        <v>91</v>
      </c>
      <c r="V3526">
        <v>16</v>
      </c>
      <c r="W3526">
        <v>13.2</v>
      </c>
      <c r="X3526">
        <v>28.2</v>
      </c>
      <c r="Z3526" t="s">
        <v>39</v>
      </c>
      <c r="AB3526" t="s">
        <v>86</v>
      </c>
      <c r="AC3526" t="s">
        <v>87</v>
      </c>
      <c r="AD3526" t="s">
        <v>807</v>
      </c>
    </row>
    <row r="3527" spans="1:30" x14ac:dyDescent="0.35">
      <c r="A3527" s="4">
        <v>42600</v>
      </c>
      <c r="B3527" t="s">
        <v>30</v>
      </c>
      <c r="C3527">
        <v>203</v>
      </c>
      <c r="D3527">
        <v>8</v>
      </c>
      <c r="E3527">
        <v>1</v>
      </c>
      <c r="F3527" t="s">
        <v>315</v>
      </c>
      <c r="G3527" t="s">
        <v>32</v>
      </c>
      <c r="H3527" t="s">
        <v>33</v>
      </c>
      <c r="I3527" t="s">
        <v>43</v>
      </c>
      <c r="J3527" t="s">
        <v>44</v>
      </c>
      <c r="K3527" t="s">
        <v>88</v>
      </c>
      <c r="L3527" t="s">
        <v>45</v>
      </c>
      <c r="M3527">
        <v>0</v>
      </c>
      <c r="N3527">
        <v>0</v>
      </c>
      <c r="O3527" s="5" t="s">
        <v>358</v>
      </c>
      <c r="P3527" s="5" t="s">
        <v>359</v>
      </c>
      <c r="Q3527">
        <f>25-15</f>
        <v>10</v>
      </c>
      <c r="R3527" t="s">
        <v>46</v>
      </c>
      <c r="S3527" t="s">
        <v>39</v>
      </c>
      <c r="T3527">
        <v>18</v>
      </c>
      <c r="U3527">
        <v>70</v>
      </c>
      <c r="V3527">
        <v>16</v>
      </c>
      <c r="W3527">
        <v>12.9</v>
      </c>
      <c r="X3527">
        <v>26</v>
      </c>
      <c r="Z3527" t="s">
        <v>102</v>
      </c>
      <c r="AA3527" t="s">
        <v>201</v>
      </c>
      <c r="AB3527" t="s">
        <v>86</v>
      </c>
      <c r="AC3527" t="s">
        <v>87</v>
      </c>
    </row>
    <row r="3528" spans="1:30" x14ac:dyDescent="0.35">
      <c r="A3528" s="4">
        <v>42600</v>
      </c>
      <c r="B3528" t="s">
        <v>30</v>
      </c>
      <c r="C3528">
        <v>304</v>
      </c>
      <c r="D3528">
        <v>1</v>
      </c>
      <c r="E3528">
        <v>2</v>
      </c>
      <c r="F3528" t="s">
        <v>42</v>
      </c>
      <c r="G3528" t="s">
        <v>32</v>
      </c>
      <c r="H3528" t="s">
        <v>33</v>
      </c>
      <c r="I3528" t="s">
        <v>43</v>
      </c>
      <c r="J3528" t="s">
        <v>44</v>
      </c>
      <c r="K3528" t="s">
        <v>113</v>
      </c>
      <c r="L3528" t="s">
        <v>37</v>
      </c>
      <c r="M3528">
        <v>0</v>
      </c>
      <c r="N3528">
        <v>0</v>
      </c>
      <c r="O3528" s="5" t="s">
        <v>316</v>
      </c>
      <c r="P3528" s="5" t="s">
        <v>317</v>
      </c>
      <c r="Q3528">
        <f>33.5-16</f>
        <v>17.5</v>
      </c>
      <c r="R3528" t="s">
        <v>64</v>
      </c>
      <c r="T3528">
        <v>19</v>
      </c>
      <c r="U3528">
        <v>86</v>
      </c>
      <c r="V3528">
        <v>15</v>
      </c>
      <c r="W3528">
        <v>13</v>
      </c>
      <c r="X3528">
        <v>26.9</v>
      </c>
      <c r="Y3528" t="s">
        <v>879</v>
      </c>
      <c r="AB3528" t="s">
        <v>86</v>
      </c>
      <c r="AC3528" t="s">
        <v>41</v>
      </c>
    </row>
    <row r="3529" spans="1:30" x14ac:dyDescent="0.35">
      <c r="A3529" s="4">
        <v>42600</v>
      </c>
      <c r="B3529" t="s">
        <v>30</v>
      </c>
      <c r="C3529">
        <v>111</v>
      </c>
      <c r="D3529">
        <v>9</v>
      </c>
      <c r="E3529">
        <v>1</v>
      </c>
      <c r="F3529" t="s">
        <v>281</v>
      </c>
      <c r="G3529" t="s">
        <v>32</v>
      </c>
      <c r="H3529" t="s">
        <v>33</v>
      </c>
      <c r="I3529" t="s">
        <v>43</v>
      </c>
      <c r="J3529" t="s">
        <v>44</v>
      </c>
      <c r="K3529" t="s">
        <v>88</v>
      </c>
      <c r="L3529" t="s">
        <v>37</v>
      </c>
      <c r="M3529">
        <v>0</v>
      </c>
      <c r="N3529">
        <v>0</v>
      </c>
      <c r="O3529" s="5" t="s">
        <v>444</v>
      </c>
      <c r="P3529" s="5" t="s">
        <v>445</v>
      </c>
      <c r="Q3529">
        <v>14</v>
      </c>
      <c r="R3529" t="s">
        <v>64</v>
      </c>
      <c r="T3529">
        <v>20</v>
      </c>
      <c r="U3529">
        <v>76</v>
      </c>
      <c r="V3529">
        <v>17</v>
      </c>
      <c r="W3529">
        <v>14.2</v>
      </c>
      <c r="X3529">
        <v>27.1</v>
      </c>
    </row>
    <row r="3530" spans="1:30" x14ac:dyDescent="0.35">
      <c r="A3530" s="4">
        <v>42600</v>
      </c>
      <c r="B3530" t="s">
        <v>30</v>
      </c>
      <c r="C3530">
        <v>113</v>
      </c>
      <c r="D3530">
        <v>7</v>
      </c>
      <c r="E3530">
        <v>1</v>
      </c>
      <c r="F3530" t="s">
        <v>42</v>
      </c>
      <c r="G3530" t="s">
        <v>32</v>
      </c>
      <c r="H3530" t="s">
        <v>33</v>
      </c>
      <c r="I3530" t="s">
        <v>43</v>
      </c>
      <c r="J3530" t="s">
        <v>44</v>
      </c>
      <c r="K3530" t="s">
        <v>88</v>
      </c>
      <c r="L3530" t="s">
        <v>45</v>
      </c>
      <c r="M3530">
        <v>0</v>
      </c>
      <c r="N3530">
        <v>0</v>
      </c>
      <c r="O3530" s="5" t="s">
        <v>379</v>
      </c>
      <c r="P3530" s="5" t="s">
        <v>380</v>
      </c>
      <c r="Q3530">
        <v>13</v>
      </c>
      <c r="R3530" t="s">
        <v>46</v>
      </c>
      <c r="S3530" t="s">
        <v>39</v>
      </c>
      <c r="T3530">
        <v>17</v>
      </c>
      <c r="U3530">
        <v>75</v>
      </c>
      <c r="V3530">
        <v>16</v>
      </c>
      <c r="W3530">
        <v>12.6</v>
      </c>
      <c r="X3530">
        <v>24.6</v>
      </c>
      <c r="AB3530" t="s">
        <v>86</v>
      </c>
      <c r="AC3530" t="s">
        <v>41</v>
      </c>
    </row>
    <row r="3531" spans="1:30" x14ac:dyDescent="0.35">
      <c r="A3531" s="4">
        <v>42600</v>
      </c>
      <c r="B3531" t="s">
        <v>30</v>
      </c>
      <c r="C3531">
        <v>112</v>
      </c>
      <c r="D3531">
        <v>6</v>
      </c>
      <c r="E3531">
        <v>2</v>
      </c>
      <c r="F3531" t="s">
        <v>42</v>
      </c>
      <c r="G3531" t="s">
        <v>32</v>
      </c>
      <c r="H3531" t="s">
        <v>33</v>
      </c>
      <c r="I3531" t="s">
        <v>43</v>
      </c>
      <c r="J3531" t="s">
        <v>44</v>
      </c>
      <c r="K3531" t="s">
        <v>113</v>
      </c>
      <c r="L3531" t="s">
        <v>37</v>
      </c>
      <c r="M3531">
        <v>0</v>
      </c>
      <c r="N3531">
        <v>0</v>
      </c>
      <c r="O3531" s="5" t="s">
        <v>391</v>
      </c>
      <c r="P3531" s="5" t="s">
        <v>452</v>
      </c>
      <c r="Q3531">
        <f>30.5-12.5</f>
        <v>18</v>
      </c>
      <c r="R3531" t="s">
        <v>38</v>
      </c>
      <c r="T3531">
        <v>18</v>
      </c>
      <c r="U3531">
        <v>84</v>
      </c>
      <c r="V3531">
        <v>16</v>
      </c>
      <c r="W3531">
        <v>13</v>
      </c>
      <c r="X3531">
        <v>26.5</v>
      </c>
      <c r="Z3531" t="s">
        <v>102</v>
      </c>
      <c r="AB3531" t="s">
        <v>86</v>
      </c>
      <c r="AC3531" t="s">
        <v>41</v>
      </c>
    </row>
    <row r="3532" spans="1:30" x14ac:dyDescent="0.35">
      <c r="A3532" s="4">
        <v>42600</v>
      </c>
      <c r="B3532" t="s">
        <v>30</v>
      </c>
      <c r="C3532">
        <v>111</v>
      </c>
      <c r="D3532">
        <v>4</v>
      </c>
      <c r="E3532">
        <v>1</v>
      </c>
      <c r="F3532" t="s">
        <v>42</v>
      </c>
      <c r="G3532" t="s">
        <v>32</v>
      </c>
      <c r="H3532" t="s">
        <v>33</v>
      </c>
      <c r="I3532" t="s">
        <v>43</v>
      </c>
      <c r="J3532" t="s">
        <v>44</v>
      </c>
      <c r="K3532" t="s">
        <v>88</v>
      </c>
      <c r="L3532" t="s">
        <v>37</v>
      </c>
      <c r="M3532">
        <v>0</v>
      </c>
      <c r="N3532">
        <v>0</v>
      </c>
      <c r="O3532" s="5" t="s">
        <v>487</v>
      </c>
      <c r="P3532" s="5" t="s">
        <v>488</v>
      </c>
      <c r="Q3532">
        <f>28-16</f>
        <v>12</v>
      </c>
      <c r="R3532" t="s">
        <v>64</v>
      </c>
      <c r="T3532">
        <v>19</v>
      </c>
      <c r="V3532">
        <v>15</v>
      </c>
      <c r="W3532">
        <v>12.2</v>
      </c>
      <c r="X3532">
        <v>24</v>
      </c>
      <c r="AB3532" t="s">
        <v>86</v>
      </c>
      <c r="AC3532" t="s">
        <v>41</v>
      </c>
    </row>
    <row r="3533" spans="1:30" x14ac:dyDescent="0.35">
      <c r="A3533" s="4">
        <v>42600</v>
      </c>
      <c r="B3533" t="s">
        <v>30</v>
      </c>
      <c r="C3533">
        <v>113</v>
      </c>
      <c r="D3533">
        <v>10</v>
      </c>
      <c r="E3533">
        <v>1</v>
      </c>
      <c r="F3533" t="s">
        <v>42</v>
      </c>
      <c r="G3533" t="s">
        <v>32</v>
      </c>
      <c r="H3533" t="s">
        <v>33</v>
      </c>
      <c r="I3533" t="s">
        <v>43</v>
      </c>
      <c r="J3533" t="s">
        <v>44</v>
      </c>
      <c r="K3533" t="s">
        <v>88</v>
      </c>
      <c r="L3533" t="s">
        <v>37</v>
      </c>
      <c r="M3533">
        <v>0</v>
      </c>
      <c r="N3533">
        <v>0</v>
      </c>
      <c r="O3533" s="5" t="s">
        <v>495</v>
      </c>
      <c r="P3533" s="5" t="s">
        <v>496</v>
      </c>
      <c r="Q3533">
        <f>28.5-14</f>
        <v>14.5</v>
      </c>
      <c r="R3533" t="s">
        <v>64</v>
      </c>
      <c r="T3533">
        <v>19</v>
      </c>
      <c r="V3533">
        <v>16</v>
      </c>
      <c r="W3533">
        <v>12.7</v>
      </c>
      <c r="X3533">
        <v>26.4</v>
      </c>
      <c r="Y3533" t="s">
        <v>880</v>
      </c>
      <c r="AB3533" t="s">
        <v>86</v>
      </c>
      <c r="AC3533" t="s">
        <v>41</v>
      </c>
    </row>
    <row r="3534" spans="1:30" x14ac:dyDescent="0.35">
      <c r="A3534" s="4">
        <v>42600</v>
      </c>
      <c r="B3534" t="s">
        <v>30</v>
      </c>
      <c r="C3534">
        <v>111</v>
      </c>
      <c r="D3534">
        <v>8</v>
      </c>
      <c r="E3534">
        <v>1</v>
      </c>
      <c r="F3534" t="s">
        <v>281</v>
      </c>
      <c r="G3534" t="s">
        <v>32</v>
      </c>
      <c r="H3534" t="s">
        <v>33</v>
      </c>
      <c r="I3534" t="s">
        <v>43</v>
      </c>
      <c r="J3534" t="s">
        <v>44</v>
      </c>
      <c r="K3534" t="s">
        <v>36</v>
      </c>
      <c r="L3534" t="s">
        <v>37</v>
      </c>
      <c r="M3534">
        <v>0</v>
      </c>
      <c r="N3534">
        <v>0</v>
      </c>
      <c r="O3534" s="5" t="s">
        <v>522</v>
      </c>
      <c r="P3534" s="5" t="s">
        <v>523</v>
      </c>
      <c r="Q3534">
        <v>20.5</v>
      </c>
      <c r="R3534" t="s">
        <v>64</v>
      </c>
      <c r="T3534">
        <v>21</v>
      </c>
      <c r="U3534">
        <v>89</v>
      </c>
      <c r="V3534">
        <v>18</v>
      </c>
      <c r="W3534">
        <v>14.4</v>
      </c>
      <c r="X3534">
        <v>30.7</v>
      </c>
    </row>
    <row r="3535" spans="1:30" x14ac:dyDescent="0.35">
      <c r="A3535" s="4">
        <v>42600</v>
      </c>
      <c r="B3535" t="s">
        <v>30</v>
      </c>
      <c r="C3535">
        <v>112</v>
      </c>
      <c r="D3535">
        <v>3</v>
      </c>
      <c r="E3535">
        <v>1</v>
      </c>
      <c r="F3535" t="s">
        <v>42</v>
      </c>
      <c r="G3535" t="s">
        <v>32</v>
      </c>
      <c r="H3535" t="s">
        <v>33</v>
      </c>
      <c r="I3535" t="s">
        <v>43</v>
      </c>
      <c r="J3535" t="s">
        <v>44</v>
      </c>
      <c r="K3535" t="s">
        <v>36</v>
      </c>
      <c r="L3535" t="s">
        <v>45</v>
      </c>
      <c r="M3535">
        <v>0</v>
      </c>
      <c r="N3535">
        <v>0</v>
      </c>
      <c r="O3535" s="5" t="s">
        <v>744</v>
      </c>
      <c r="P3535" s="5" t="s">
        <v>745</v>
      </c>
      <c r="Q3535">
        <f>32-12.5</f>
        <v>19.5</v>
      </c>
      <c r="R3535" t="s">
        <v>145</v>
      </c>
      <c r="S3535" t="s">
        <v>102</v>
      </c>
      <c r="T3535">
        <v>17</v>
      </c>
      <c r="U3535">
        <v>78</v>
      </c>
      <c r="V3535">
        <v>17</v>
      </c>
      <c r="W3535">
        <v>13</v>
      </c>
      <c r="X3535">
        <v>26.4</v>
      </c>
      <c r="Z3535" t="s">
        <v>102</v>
      </c>
      <c r="AB3535" t="s">
        <v>86</v>
      </c>
      <c r="AC3535" t="s">
        <v>41</v>
      </c>
    </row>
    <row r="3536" spans="1:30" x14ac:dyDescent="0.35">
      <c r="A3536" s="4">
        <v>42600</v>
      </c>
      <c r="B3536" t="s">
        <v>30</v>
      </c>
      <c r="C3536">
        <v>111</v>
      </c>
      <c r="D3536">
        <v>6</v>
      </c>
      <c r="E3536">
        <v>2</v>
      </c>
      <c r="F3536" t="s">
        <v>281</v>
      </c>
      <c r="G3536" t="s">
        <v>32</v>
      </c>
      <c r="H3536" t="s">
        <v>33</v>
      </c>
      <c r="I3536" t="s">
        <v>43</v>
      </c>
      <c r="J3536" t="s">
        <v>44</v>
      </c>
      <c r="K3536" t="s">
        <v>36</v>
      </c>
      <c r="L3536" t="s">
        <v>37</v>
      </c>
      <c r="M3536">
        <v>0</v>
      </c>
      <c r="N3536">
        <v>0</v>
      </c>
      <c r="O3536" s="5" t="s">
        <v>818</v>
      </c>
      <c r="P3536" s="5" t="s">
        <v>819</v>
      </c>
      <c r="Q3536">
        <v>20</v>
      </c>
      <c r="R3536" t="s">
        <v>38</v>
      </c>
      <c r="T3536">
        <v>21</v>
      </c>
      <c r="U3536">
        <v>93</v>
      </c>
      <c r="V3536">
        <v>18</v>
      </c>
      <c r="W3536">
        <v>14</v>
      </c>
      <c r="X3536">
        <v>31.1</v>
      </c>
    </row>
    <row r="3537" spans="1:29" x14ac:dyDescent="0.35">
      <c r="A3537" s="4">
        <v>42600</v>
      </c>
      <c r="B3537" t="s">
        <v>30</v>
      </c>
      <c r="C3537">
        <v>111</v>
      </c>
      <c r="D3537">
        <v>3</v>
      </c>
      <c r="E3537">
        <v>2</v>
      </c>
      <c r="F3537" t="s">
        <v>42</v>
      </c>
      <c r="G3537" t="s">
        <v>32</v>
      </c>
      <c r="H3537" t="s">
        <v>33</v>
      </c>
      <c r="I3537" t="s">
        <v>43</v>
      </c>
      <c r="J3537" t="s">
        <v>35</v>
      </c>
      <c r="K3537" t="s">
        <v>113</v>
      </c>
      <c r="L3537" t="s">
        <v>45</v>
      </c>
      <c r="M3537">
        <v>0</v>
      </c>
      <c r="N3537">
        <v>1</v>
      </c>
      <c r="O3537" s="5" t="s">
        <v>881</v>
      </c>
      <c r="P3537" s="5" t="s">
        <v>860</v>
      </c>
      <c r="Q3537">
        <f>29.5-13</f>
        <v>16.5</v>
      </c>
      <c r="R3537" t="s">
        <v>46</v>
      </c>
      <c r="S3537" t="s">
        <v>39</v>
      </c>
      <c r="T3537">
        <v>19.5</v>
      </c>
      <c r="U3537">
        <v>87</v>
      </c>
      <c r="V3537">
        <v>16</v>
      </c>
      <c r="W3537">
        <v>13.1</v>
      </c>
      <c r="X3537">
        <v>28.8</v>
      </c>
      <c r="AB3537" t="s">
        <v>86</v>
      </c>
      <c r="AC3537" t="s">
        <v>41</v>
      </c>
    </row>
    <row r="3538" spans="1:29" x14ac:dyDescent="0.35">
      <c r="A3538" s="4">
        <v>42600</v>
      </c>
      <c r="B3538" t="s">
        <v>30</v>
      </c>
      <c r="C3538">
        <v>111</v>
      </c>
      <c r="D3538">
        <v>5</v>
      </c>
      <c r="E3538">
        <v>1</v>
      </c>
      <c r="F3538" t="s">
        <v>42</v>
      </c>
      <c r="G3538" t="s">
        <v>32</v>
      </c>
      <c r="H3538" t="s">
        <v>33</v>
      </c>
      <c r="I3538" t="s">
        <v>43</v>
      </c>
      <c r="J3538" t="s">
        <v>35</v>
      </c>
      <c r="K3538" t="s">
        <v>113</v>
      </c>
      <c r="L3538" t="s">
        <v>37</v>
      </c>
      <c r="M3538">
        <v>0</v>
      </c>
      <c r="N3538">
        <v>1</v>
      </c>
      <c r="O3538" s="5" t="s">
        <v>882</v>
      </c>
      <c r="P3538" s="5" t="s">
        <v>883</v>
      </c>
      <c r="Q3538">
        <f>29.5-12</f>
        <v>17.5</v>
      </c>
      <c r="R3538" t="s">
        <v>64</v>
      </c>
      <c r="T3538">
        <v>19</v>
      </c>
      <c r="U3538">
        <v>91</v>
      </c>
      <c r="V3538">
        <v>16</v>
      </c>
      <c r="W3538">
        <v>13.3</v>
      </c>
      <c r="X3538">
        <v>27.8</v>
      </c>
      <c r="AB3538" t="s">
        <v>86</v>
      </c>
      <c r="AC3538" t="s">
        <v>41</v>
      </c>
    </row>
    <row r="3539" spans="1:29" x14ac:dyDescent="0.35">
      <c r="A3539" s="4">
        <v>42600</v>
      </c>
      <c r="B3539" t="s">
        <v>30</v>
      </c>
      <c r="C3539">
        <v>201</v>
      </c>
      <c r="D3539">
        <v>2</v>
      </c>
      <c r="E3539">
        <v>1</v>
      </c>
      <c r="F3539" t="s">
        <v>315</v>
      </c>
      <c r="G3539" t="s">
        <v>32</v>
      </c>
      <c r="H3539" t="s">
        <v>33</v>
      </c>
      <c r="I3539" t="s">
        <v>43</v>
      </c>
      <c r="J3539" t="s">
        <v>44</v>
      </c>
      <c r="K3539" t="s">
        <v>36</v>
      </c>
      <c r="L3539" t="s">
        <v>37</v>
      </c>
      <c r="M3539">
        <v>0</v>
      </c>
      <c r="N3539">
        <v>0</v>
      </c>
      <c r="O3539" s="5" t="s">
        <v>822</v>
      </c>
      <c r="P3539" s="5" t="s">
        <v>823</v>
      </c>
      <c r="Q3539">
        <f>35-14</f>
        <v>21</v>
      </c>
      <c r="R3539" t="s">
        <v>38</v>
      </c>
      <c r="T3539">
        <v>20</v>
      </c>
      <c r="U3539">
        <v>84</v>
      </c>
      <c r="V3539">
        <v>17</v>
      </c>
      <c r="W3539">
        <v>23.3</v>
      </c>
      <c r="X3539">
        <v>27.8</v>
      </c>
      <c r="Z3539" t="s">
        <v>102</v>
      </c>
      <c r="AA3539" t="s">
        <v>201</v>
      </c>
      <c r="AB3539" t="s">
        <v>86</v>
      </c>
      <c r="AC3539" t="s">
        <v>87</v>
      </c>
    </row>
    <row r="3540" spans="1:29" x14ac:dyDescent="0.35">
      <c r="A3540" s="4">
        <v>42600</v>
      </c>
      <c r="B3540" t="s">
        <v>30</v>
      </c>
      <c r="C3540">
        <v>201</v>
      </c>
      <c r="D3540">
        <v>6</v>
      </c>
      <c r="E3540">
        <v>2</v>
      </c>
      <c r="F3540" t="s">
        <v>315</v>
      </c>
      <c r="G3540" t="s">
        <v>32</v>
      </c>
      <c r="H3540" t="s">
        <v>33</v>
      </c>
      <c r="I3540" t="s">
        <v>43</v>
      </c>
      <c r="J3540" t="s">
        <v>44</v>
      </c>
      <c r="K3540" t="s">
        <v>36</v>
      </c>
      <c r="L3540" t="s">
        <v>45</v>
      </c>
      <c r="M3540">
        <v>0</v>
      </c>
      <c r="N3540">
        <v>0</v>
      </c>
      <c r="O3540" s="5" t="s">
        <v>748</v>
      </c>
      <c r="P3540" s="5" t="s">
        <v>884</v>
      </c>
      <c r="Q3540">
        <f>34-13</f>
        <v>21</v>
      </c>
      <c r="R3540" t="s">
        <v>143</v>
      </c>
      <c r="S3540" t="s">
        <v>102</v>
      </c>
      <c r="T3540">
        <v>18.5</v>
      </c>
      <c r="U3540">
        <v>90</v>
      </c>
      <c r="V3540">
        <v>18</v>
      </c>
      <c r="W3540">
        <v>13.2</v>
      </c>
      <c r="X3540">
        <v>28</v>
      </c>
      <c r="Z3540" t="s">
        <v>102</v>
      </c>
      <c r="AA3540" t="s">
        <v>201</v>
      </c>
      <c r="AB3540" t="s">
        <v>86</v>
      </c>
      <c r="AC3540" t="s">
        <v>87</v>
      </c>
    </row>
    <row r="3541" spans="1:29" x14ac:dyDescent="0.35">
      <c r="A3541" s="4">
        <v>42600</v>
      </c>
      <c r="B3541" t="s">
        <v>30</v>
      </c>
      <c r="C3541">
        <v>112</v>
      </c>
      <c r="D3541">
        <v>4</v>
      </c>
      <c r="E3541">
        <v>1</v>
      </c>
      <c r="F3541" t="s">
        <v>281</v>
      </c>
      <c r="G3541" t="s">
        <v>32</v>
      </c>
      <c r="H3541" t="s">
        <v>33</v>
      </c>
      <c r="I3541" t="s">
        <v>43</v>
      </c>
      <c r="J3541" t="s">
        <v>44</v>
      </c>
      <c r="K3541" t="s">
        <v>36</v>
      </c>
      <c r="L3541" t="s">
        <v>37</v>
      </c>
      <c r="M3541">
        <v>0</v>
      </c>
      <c r="N3541">
        <v>0</v>
      </c>
      <c r="O3541" s="5" t="s">
        <v>397</v>
      </c>
      <c r="P3541" s="5" t="s">
        <v>398</v>
      </c>
      <c r="Q3541">
        <v>20.5</v>
      </c>
      <c r="R3541" t="s">
        <v>38</v>
      </c>
      <c r="T3541">
        <v>19</v>
      </c>
      <c r="U3541">
        <v>80</v>
      </c>
      <c r="V3541">
        <v>15</v>
      </c>
      <c r="W3541">
        <v>13</v>
      </c>
      <c r="X3541">
        <v>28.3</v>
      </c>
    </row>
    <row r="3542" spans="1:29" x14ac:dyDescent="0.35">
      <c r="A3542" s="4">
        <v>42600</v>
      </c>
      <c r="B3542" t="s">
        <v>30</v>
      </c>
      <c r="C3542">
        <v>111</v>
      </c>
      <c r="D3542">
        <v>6</v>
      </c>
      <c r="E3542">
        <v>1</v>
      </c>
      <c r="F3542" t="s">
        <v>281</v>
      </c>
      <c r="G3542" t="s">
        <v>32</v>
      </c>
      <c r="H3542" t="s">
        <v>33</v>
      </c>
      <c r="I3542" t="s">
        <v>43</v>
      </c>
      <c r="J3542" t="s">
        <v>44</v>
      </c>
      <c r="K3542" t="s">
        <v>36</v>
      </c>
      <c r="L3542" t="s">
        <v>37</v>
      </c>
      <c r="M3542">
        <v>0</v>
      </c>
      <c r="N3542">
        <v>0</v>
      </c>
      <c r="O3542" s="5" t="s">
        <v>402</v>
      </c>
      <c r="P3542" s="5" t="s">
        <v>403</v>
      </c>
      <c r="Q3542">
        <v>23</v>
      </c>
      <c r="R3542" t="s">
        <v>38</v>
      </c>
      <c r="T3542">
        <v>21</v>
      </c>
      <c r="U3542">
        <v>91</v>
      </c>
      <c r="V3542">
        <v>19</v>
      </c>
      <c r="W3542">
        <v>13.7</v>
      </c>
      <c r="X3542">
        <v>30.5</v>
      </c>
    </row>
    <row r="3543" spans="1:29" x14ac:dyDescent="0.35">
      <c r="A3543" s="4">
        <v>42600</v>
      </c>
      <c r="B3543" t="s">
        <v>30</v>
      </c>
      <c r="C3543">
        <v>112</v>
      </c>
      <c r="D3543">
        <v>2</v>
      </c>
      <c r="E3543">
        <v>1</v>
      </c>
      <c r="F3543" t="s">
        <v>281</v>
      </c>
      <c r="G3543" t="s">
        <v>32</v>
      </c>
      <c r="H3543" t="s">
        <v>33</v>
      </c>
      <c r="I3543" t="s">
        <v>43</v>
      </c>
      <c r="J3543" t="s">
        <v>44</v>
      </c>
      <c r="K3543" t="s">
        <v>36</v>
      </c>
      <c r="L3543" t="s">
        <v>37</v>
      </c>
      <c r="M3543">
        <v>0</v>
      </c>
      <c r="N3543">
        <v>0</v>
      </c>
      <c r="O3543" s="5" t="s">
        <v>462</v>
      </c>
      <c r="P3543" s="5" t="s">
        <v>463</v>
      </c>
      <c r="Q3543">
        <v>20</v>
      </c>
      <c r="R3543" t="s">
        <v>38</v>
      </c>
      <c r="T3543">
        <v>21</v>
      </c>
      <c r="U3543">
        <v>98</v>
      </c>
      <c r="V3543">
        <v>17</v>
      </c>
      <c r="W3543">
        <v>12.6</v>
      </c>
      <c r="X3543">
        <v>27.5</v>
      </c>
      <c r="Z3543" t="s">
        <v>102</v>
      </c>
    </row>
    <row r="3544" spans="1:29" x14ac:dyDescent="0.35">
      <c r="A3544" s="4">
        <v>42600</v>
      </c>
      <c r="B3544" t="s">
        <v>30</v>
      </c>
      <c r="C3544">
        <v>112</v>
      </c>
      <c r="D3544">
        <v>8</v>
      </c>
      <c r="E3544">
        <v>1</v>
      </c>
      <c r="F3544" t="s">
        <v>42</v>
      </c>
      <c r="G3544" t="s">
        <v>32</v>
      </c>
      <c r="H3544" t="s">
        <v>33</v>
      </c>
      <c r="I3544" t="s">
        <v>43</v>
      </c>
      <c r="J3544" t="s">
        <v>44</v>
      </c>
      <c r="K3544" t="s">
        <v>36</v>
      </c>
      <c r="L3544" t="s">
        <v>37</v>
      </c>
      <c r="M3544">
        <v>0</v>
      </c>
      <c r="N3544">
        <v>0</v>
      </c>
      <c r="O3544" s="5" t="s">
        <v>404</v>
      </c>
      <c r="P3544" s="5" t="s">
        <v>405</v>
      </c>
      <c r="Q3544">
        <f>34.5-14</f>
        <v>20.5</v>
      </c>
      <c r="R3544" t="s">
        <v>38</v>
      </c>
      <c r="T3544">
        <v>19</v>
      </c>
      <c r="U3544">
        <v>86</v>
      </c>
      <c r="V3544">
        <v>17</v>
      </c>
      <c r="W3544">
        <v>13.4</v>
      </c>
      <c r="X3544">
        <v>25</v>
      </c>
      <c r="AB3544" t="s">
        <v>86</v>
      </c>
      <c r="AC3544" t="s">
        <v>41</v>
      </c>
    </row>
    <row r="3545" spans="1:29" x14ac:dyDescent="0.35">
      <c r="A3545" s="4">
        <v>42600</v>
      </c>
      <c r="B3545" t="s">
        <v>30</v>
      </c>
      <c r="C3545">
        <v>203</v>
      </c>
      <c r="D3545">
        <v>9</v>
      </c>
      <c r="E3545">
        <v>1</v>
      </c>
      <c r="F3545" t="s">
        <v>315</v>
      </c>
      <c r="G3545" t="s">
        <v>32</v>
      </c>
      <c r="H3545" t="s">
        <v>33</v>
      </c>
      <c r="I3545" t="s">
        <v>43</v>
      </c>
      <c r="J3545" t="s">
        <v>44</v>
      </c>
      <c r="K3545" t="s">
        <v>36</v>
      </c>
      <c r="L3545" t="s">
        <v>45</v>
      </c>
      <c r="M3545">
        <v>0</v>
      </c>
      <c r="N3545">
        <v>0</v>
      </c>
      <c r="O3545" s="5" t="s">
        <v>328</v>
      </c>
      <c r="P3545" s="5" t="s">
        <v>329</v>
      </c>
      <c r="Q3545">
        <f>33-14</f>
        <v>19</v>
      </c>
      <c r="R3545" t="s">
        <v>46</v>
      </c>
      <c r="S3545" t="s">
        <v>39</v>
      </c>
      <c r="T3545">
        <v>19</v>
      </c>
      <c r="U3545">
        <v>82</v>
      </c>
      <c r="V3545">
        <v>15</v>
      </c>
      <c r="W3545">
        <v>13.1</v>
      </c>
      <c r="X3545">
        <v>28.2</v>
      </c>
      <c r="Z3545" t="s">
        <v>102</v>
      </c>
      <c r="AB3545" t="s">
        <v>86</v>
      </c>
      <c r="AC3545" t="s">
        <v>87</v>
      </c>
    </row>
    <row r="3546" spans="1:29" x14ac:dyDescent="0.35">
      <c r="A3546" s="4">
        <v>42600</v>
      </c>
      <c r="B3546" t="s">
        <v>30</v>
      </c>
      <c r="C3546">
        <v>201</v>
      </c>
      <c r="D3546">
        <v>1</v>
      </c>
      <c r="E3546">
        <v>1</v>
      </c>
      <c r="F3546" t="s">
        <v>315</v>
      </c>
      <c r="G3546" t="s">
        <v>32</v>
      </c>
      <c r="H3546" t="s">
        <v>33</v>
      </c>
      <c r="I3546" t="s">
        <v>43</v>
      </c>
      <c r="J3546" t="s">
        <v>44</v>
      </c>
      <c r="K3546" t="s">
        <v>113</v>
      </c>
      <c r="L3546" t="s">
        <v>45</v>
      </c>
      <c r="M3546">
        <v>0</v>
      </c>
      <c r="N3546">
        <v>0</v>
      </c>
      <c r="O3546" s="5" t="s">
        <v>756</v>
      </c>
      <c r="P3546" s="5" t="s">
        <v>757</v>
      </c>
      <c r="Q3546">
        <f>31-14.5</f>
        <v>16.5</v>
      </c>
      <c r="R3546" t="s">
        <v>143</v>
      </c>
      <c r="S3546" t="s">
        <v>102</v>
      </c>
      <c r="T3546">
        <v>19</v>
      </c>
      <c r="U3546">
        <v>84</v>
      </c>
      <c r="V3546">
        <v>16</v>
      </c>
      <c r="W3546">
        <v>13.2</v>
      </c>
      <c r="X3546">
        <v>27.8</v>
      </c>
      <c r="Z3546" t="s">
        <v>102</v>
      </c>
      <c r="AA3546" t="s">
        <v>201</v>
      </c>
      <c r="AB3546" t="s">
        <v>86</v>
      </c>
      <c r="AC3546" t="s">
        <v>87</v>
      </c>
    </row>
    <row r="3547" spans="1:29" x14ac:dyDescent="0.35">
      <c r="A3547" s="4">
        <v>42600</v>
      </c>
      <c r="B3547" t="s">
        <v>30</v>
      </c>
      <c r="C3547">
        <v>112</v>
      </c>
      <c r="D3547">
        <v>7</v>
      </c>
      <c r="E3547">
        <v>2</v>
      </c>
      <c r="F3547" t="s">
        <v>281</v>
      </c>
      <c r="G3547" t="s">
        <v>32</v>
      </c>
      <c r="H3547" t="s">
        <v>33</v>
      </c>
      <c r="I3547" t="s">
        <v>43</v>
      </c>
      <c r="J3547" t="s">
        <v>44</v>
      </c>
      <c r="K3547" t="s">
        <v>36</v>
      </c>
      <c r="L3547" t="s">
        <v>45</v>
      </c>
      <c r="M3547">
        <v>0</v>
      </c>
      <c r="N3547">
        <v>0</v>
      </c>
      <c r="O3547" s="5" t="s">
        <v>467</v>
      </c>
      <c r="P3547" s="5" t="s">
        <v>468</v>
      </c>
      <c r="Q3547">
        <v>21.5</v>
      </c>
      <c r="R3547" t="s">
        <v>77</v>
      </c>
      <c r="S3547" t="s">
        <v>39</v>
      </c>
      <c r="T3547">
        <v>18</v>
      </c>
      <c r="U3547">
        <v>90</v>
      </c>
      <c r="V3547">
        <v>16</v>
      </c>
      <c r="W3547">
        <v>14.5</v>
      </c>
      <c r="X3547">
        <v>29.5</v>
      </c>
    </row>
    <row r="3548" spans="1:29" x14ac:dyDescent="0.35">
      <c r="A3548" s="4">
        <v>42600</v>
      </c>
      <c r="B3548" t="s">
        <v>30</v>
      </c>
      <c r="C3548">
        <v>203</v>
      </c>
      <c r="D3548">
        <v>10</v>
      </c>
      <c r="E3548">
        <v>1</v>
      </c>
      <c r="F3548" t="s">
        <v>315</v>
      </c>
      <c r="G3548" t="s">
        <v>32</v>
      </c>
      <c r="H3548" t="s">
        <v>33</v>
      </c>
      <c r="I3548" t="s">
        <v>43</v>
      </c>
      <c r="J3548" t="s">
        <v>44</v>
      </c>
      <c r="K3548" t="s">
        <v>113</v>
      </c>
      <c r="L3548" t="s">
        <v>45</v>
      </c>
      <c r="M3548">
        <v>0</v>
      </c>
      <c r="N3548">
        <v>0</v>
      </c>
      <c r="O3548" s="5" t="s">
        <v>252</v>
      </c>
      <c r="P3548" s="5" t="s">
        <v>762</v>
      </c>
      <c r="Q3548">
        <f>31-15.5</f>
        <v>15.5</v>
      </c>
      <c r="R3548" t="s">
        <v>46</v>
      </c>
      <c r="S3548" t="s">
        <v>39</v>
      </c>
      <c r="T3548">
        <v>18</v>
      </c>
      <c r="U3548">
        <v>90</v>
      </c>
      <c r="V3548">
        <v>16</v>
      </c>
      <c r="W3548">
        <v>13.1</v>
      </c>
      <c r="X3548">
        <v>27.9</v>
      </c>
      <c r="Z3548" t="s">
        <v>102</v>
      </c>
      <c r="AA3548" t="s">
        <v>201</v>
      </c>
      <c r="AB3548" t="s">
        <v>86</v>
      </c>
      <c r="AC3548" t="s">
        <v>87</v>
      </c>
    </row>
    <row r="3549" spans="1:29" x14ac:dyDescent="0.35">
      <c r="A3549" s="4">
        <v>42600</v>
      </c>
      <c r="B3549" t="s">
        <v>30</v>
      </c>
      <c r="C3549">
        <v>203</v>
      </c>
      <c r="D3549">
        <v>4</v>
      </c>
      <c r="E3549">
        <v>2</v>
      </c>
      <c r="F3549" t="s">
        <v>315</v>
      </c>
      <c r="G3549" t="s">
        <v>32</v>
      </c>
      <c r="H3549" t="s">
        <v>33</v>
      </c>
      <c r="I3549" t="s">
        <v>43</v>
      </c>
      <c r="J3549" t="s">
        <v>44</v>
      </c>
      <c r="K3549" t="s">
        <v>113</v>
      </c>
      <c r="L3549" t="s">
        <v>45</v>
      </c>
      <c r="M3549">
        <v>0</v>
      </c>
      <c r="N3549">
        <v>0</v>
      </c>
      <c r="O3549" s="5" t="s">
        <v>763</v>
      </c>
      <c r="P3549" s="5" t="s">
        <v>764</v>
      </c>
      <c r="Q3549">
        <f>30.5-13</f>
        <v>17.5</v>
      </c>
      <c r="R3549" t="s">
        <v>46</v>
      </c>
      <c r="S3549" t="s">
        <v>39</v>
      </c>
      <c r="T3549">
        <v>18</v>
      </c>
      <c r="U3549">
        <v>92</v>
      </c>
      <c r="V3549">
        <v>17</v>
      </c>
      <c r="W3549">
        <v>13.1</v>
      </c>
      <c r="X3549">
        <v>26.9</v>
      </c>
      <c r="Z3549" t="s">
        <v>102</v>
      </c>
      <c r="AB3549" t="s">
        <v>86</v>
      </c>
      <c r="AC3549" t="s">
        <v>87</v>
      </c>
    </row>
    <row r="3550" spans="1:29" x14ac:dyDescent="0.35">
      <c r="A3550" s="4">
        <v>42600</v>
      </c>
      <c r="B3550" t="s">
        <v>30</v>
      </c>
      <c r="C3550">
        <v>203</v>
      </c>
      <c r="D3550">
        <v>2</v>
      </c>
      <c r="E3550">
        <v>2</v>
      </c>
      <c r="F3550" t="s">
        <v>315</v>
      </c>
      <c r="G3550" t="s">
        <v>32</v>
      </c>
      <c r="H3550" t="s">
        <v>33</v>
      </c>
      <c r="I3550" t="s">
        <v>43</v>
      </c>
      <c r="J3550" t="s">
        <v>44</v>
      </c>
      <c r="K3550" t="s">
        <v>113</v>
      </c>
      <c r="L3550" t="s">
        <v>45</v>
      </c>
      <c r="M3550">
        <v>0</v>
      </c>
      <c r="N3550">
        <v>0</v>
      </c>
      <c r="O3550" s="5" t="s">
        <v>765</v>
      </c>
      <c r="P3550" s="5" t="s">
        <v>766</v>
      </c>
      <c r="Q3550">
        <f>30-14</f>
        <v>16</v>
      </c>
      <c r="R3550" t="s">
        <v>46</v>
      </c>
      <c r="S3550" t="s">
        <v>39</v>
      </c>
      <c r="T3550">
        <v>17</v>
      </c>
      <c r="U3550">
        <v>85</v>
      </c>
      <c r="V3550">
        <v>16</v>
      </c>
      <c r="W3550">
        <v>13.1</v>
      </c>
      <c r="X3550">
        <v>26.8</v>
      </c>
      <c r="Z3550" t="s">
        <v>102</v>
      </c>
      <c r="AA3550" t="s">
        <v>201</v>
      </c>
      <c r="AB3550" t="s">
        <v>86</v>
      </c>
      <c r="AC3550" t="s">
        <v>87</v>
      </c>
    </row>
    <row r="3551" spans="1:29" x14ac:dyDescent="0.35">
      <c r="A3551" s="4">
        <v>42600</v>
      </c>
      <c r="B3551" t="s">
        <v>30</v>
      </c>
      <c r="C3551">
        <v>201</v>
      </c>
      <c r="D3551">
        <v>3</v>
      </c>
      <c r="E3551">
        <v>1</v>
      </c>
      <c r="F3551" t="s">
        <v>315</v>
      </c>
      <c r="G3551" t="s">
        <v>32</v>
      </c>
      <c r="H3551" t="s">
        <v>33</v>
      </c>
      <c r="I3551" t="s">
        <v>43</v>
      </c>
      <c r="J3551" t="s">
        <v>44</v>
      </c>
      <c r="K3551" t="s">
        <v>113</v>
      </c>
      <c r="L3551" t="s">
        <v>45</v>
      </c>
      <c r="M3551">
        <v>0</v>
      </c>
      <c r="N3551">
        <v>0</v>
      </c>
      <c r="O3551" s="5" t="s">
        <v>831</v>
      </c>
      <c r="P3551" s="5" t="s">
        <v>832</v>
      </c>
      <c r="Q3551">
        <f>33-16</f>
        <v>17</v>
      </c>
      <c r="R3551" t="s">
        <v>46</v>
      </c>
      <c r="S3551" t="s">
        <v>39</v>
      </c>
      <c r="T3551">
        <v>19</v>
      </c>
      <c r="U3551">
        <v>76</v>
      </c>
      <c r="V3551">
        <v>16</v>
      </c>
      <c r="W3551">
        <v>13.1</v>
      </c>
      <c r="X3551">
        <v>27.8</v>
      </c>
      <c r="Z3551" t="s">
        <v>102</v>
      </c>
      <c r="AA3551" t="s">
        <v>201</v>
      </c>
      <c r="AB3551" t="s">
        <v>86</v>
      </c>
      <c r="AC3551" t="s">
        <v>87</v>
      </c>
    </row>
    <row r="3552" spans="1:29" x14ac:dyDescent="0.35">
      <c r="A3552" s="4">
        <v>42600</v>
      </c>
      <c r="B3552" t="s">
        <v>30</v>
      </c>
      <c r="C3552">
        <v>201</v>
      </c>
      <c r="D3552">
        <v>8</v>
      </c>
      <c r="E3552">
        <v>1</v>
      </c>
      <c r="F3552" t="s">
        <v>315</v>
      </c>
      <c r="G3552" t="s">
        <v>32</v>
      </c>
      <c r="H3552" t="s">
        <v>33</v>
      </c>
      <c r="I3552" t="s">
        <v>43</v>
      </c>
      <c r="J3552" t="s">
        <v>44</v>
      </c>
      <c r="K3552" t="s">
        <v>88</v>
      </c>
      <c r="L3552" t="s">
        <v>45</v>
      </c>
      <c r="M3552">
        <v>0</v>
      </c>
      <c r="N3552">
        <v>0</v>
      </c>
      <c r="O3552" s="5" t="s">
        <v>833</v>
      </c>
      <c r="P3552" s="5" t="s">
        <v>834</v>
      </c>
      <c r="Q3552">
        <f>30-16.5</f>
        <v>13.5</v>
      </c>
      <c r="R3552" t="s">
        <v>46</v>
      </c>
      <c r="S3552" t="s">
        <v>39</v>
      </c>
      <c r="T3552">
        <v>19</v>
      </c>
      <c r="U3552">
        <v>76</v>
      </c>
      <c r="V3552">
        <v>13.5</v>
      </c>
      <c r="W3552">
        <v>12.9</v>
      </c>
      <c r="X3552">
        <v>26.8</v>
      </c>
      <c r="Z3552" t="s">
        <v>102</v>
      </c>
      <c r="AB3552" t="s">
        <v>86</v>
      </c>
      <c r="AC3552" t="s">
        <v>87</v>
      </c>
    </row>
    <row r="3553" spans="1:30" x14ac:dyDescent="0.35">
      <c r="A3553" s="4">
        <v>42600</v>
      </c>
      <c r="B3553" t="s">
        <v>30</v>
      </c>
      <c r="C3553">
        <v>201</v>
      </c>
      <c r="D3553">
        <v>7</v>
      </c>
      <c r="E3553">
        <v>2</v>
      </c>
      <c r="F3553" t="s">
        <v>315</v>
      </c>
      <c r="G3553" t="s">
        <v>32</v>
      </c>
      <c r="H3553" t="s">
        <v>33</v>
      </c>
      <c r="I3553" t="s">
        <v>43</v>
      </c>
      <c r="J3553" t="s">
        <v>44</v>
      </c>
      <c r="K3553" t="s">
        <v>113</v>
      </c>
      <c r="L3553" t="s">
        <v>37</v>
      </c>
      <c r="M3553">
        <v>0</v>
      </c>
      <c r="N3553">
        <v>0</v>
      </c>
      <c r="O3553" s="5" t="s">
        <v>767</v>
      </c>
      <c r="P3553" s="5" t="s">
        <v>768</v>
      </c>
      <c r="Q3553">
        <f>29.5-14</f>
        <v>15.5</v>
      </c>
      <c r="R3553" t="s">
        <v>64</v>
      </c>
      <c r="T3553">
        <v>18</v>
      </c>
      <c r="U3553">
        <v>85</v>
      </c>
      <c r="V3553">
        <v>17</v>
      </c>
      <c r="W3553">
        <v>13</v>
      </c>
      <c r="X3553">
        <v>27.8</v>
      </c>
      <c r="Z3553" t="s">
        <v>102</v>
      </c>
      <c r="AA3553" t="s">
        <v>201</v>
      </c>
      <c r="AB3553" t="s">
        <v>86</v>
      </c>
      <c r="AC3553" t="s">
        <v>87</v>
      </c>
    </row>
    <row r="3554" spans="1:30" x14ac:dyDescent="0.35">
      <c r="A3554" s="4">
        <v>42600</v>
      </c>
      <c r="B3554" t="s">
        <v>30</v>
      </c>
      <c r="C3554">
        <v>201</v>
      </c>
      <c r="D3554">
        <v>5</v>
      </c>
      <c r="E3554">
        <v>2</v>
      </c>
      <c r="F3554" t="s">
        <v>315</v>
      </c>
      <c r="G3554" t="s">
        <v>32</v>
      </c>
      <c r="H3554" t="s">
        <v>33</v>
      </c>
      <c r="I3554" t="s">
        <v>43</v>
      </c>
      <c r="J3554" t="s">
        <v>44</v>
      </c>
      <c r="K3554" t="s">
        <v>113</v>
      </c>
      <c r="L3554" t="s">
        <v>37</v>
      </c>
      <c r="M3554">
        <v>0</v>
      </c>
      <c r="N3554">
        <v>0</v>
      </c>
      <c r="O3554" s="5" t="s">
        <v>769</v>
      </c>
      <c r="P3554" s="5" t="s">
        <v>770</v>
      </c>
      <c r="Q3554">
        <f>33-16</f>
        <v>17</v>
      </c>
      <c r="R3554" t="s">
        <v>38</v>
      </c>
      <c r="T3554">
        <v>18</v>
      </c>
      <c r="U3554">
        <v>15</v>
      </c>
      <c r="V3554">
        <v>84</v>
      </c>
      <c r="W3554">
        <v>13</v>
      </c>
      <c r="X3554">
        <v>27</v>
      </c>
      <c r="Z3554" t="s">
        <v>102</v>
      </c>
      <c r="AA3554" t="s">
        <v>201</v>
      </c>
      <c r="AB3554" t="s">
        <v>86</v>
      </c>
      <c r="AC3554" t="s">
        <v>87</v>
      </c>
    </row>
    <row r="3555" spans="1:30" x14ac:dyDescent="0.35">
      <c r="A3555" s="4">
        <v>42600</v>
      </c>
      <c r="B3555" t="s">
        <v>30</v>
      </c>
      <c r="C3555">
        <v>113</v>
      </c>
      <c r="D3555">
        <v>9</v>
      </c>
      <c r="E3555">
        <v>1</v>
      </c>
      <c r="F3555" t="s">
        <v>281</v>
      </c>
      <c r="G3555" t="s">
        <v>32</v>
      </c>
      <c r="H3555" t="s">
        <v>33</v>
      </c>
      <c r="I3555" t="s">
        <v>43</v>
      </c>
      <c r="J3555" t="s">
        <v>44</v>
      </c>
      <c r="K3555" t="s">
        <v>36</v>
      </c>
      <c r="L3555" t="s">
        <v>45</v>
      </c>
      <c r="M3555">
        <v>0</v>
      </c>
      <c r="N3555">
        <v>0</v>
      </c>
      <c r="O3555" s="5" t="s">
        <v>415</v>
      </c>
      <c r="P3555" s="5" t="s">
        <v>416</v>
      </c>
      <c r="Q3555">
        <v>23.5</v>
      </c>
      <c r="R3555" t="s">
        <v>74</v>
      </c>
      <c r="S3555" t="s">
        <v>102</v>
      </c>
      <c r="T3555">
        <v>21</v>
      </c>
      <c r="U3555">
        <v>91</v>
      </c>
      <c r="V3555">
        <v>18</v>
      </c>
      <c r="W3555">
        <v>14.1</v>
      </c>
      <c r="X3555">
        <v>29.3</v>
      </c>
    </row>
    <row r="3556" spans="1:30" x14ac:dyDescent="0.35">
      <c r="A3556" s="4">
        <v>42600</v>
      </c>
      <c r="B3556" t="s">
        <v>30</v>
      </c>
      <c r="C3556">
        <v>113</v>
      </c>
      <c r="D3556">
        <v>8</v>
      </c>
      <c r="E3556">
        <v>1</v>
      </c>
      <c r="F3556" t="s">
        <v>281</v>
      </c>
      <c r="G3556" t="s">
        <v>32</v>
      </c>
      <c r="H3556" t="s">
        <v>33</v>
      </c>
      <c r="I3556" t="s">
        <v>43</v>
      </c>
      <c r="J3556" t="s">
        <v>44</v>
      </c>
      <c r="K3556" t="s">
        <v>113</v>
      </c>
      <c r="L3556" t="s">
        <v>45</v>
      </c>
      <c r="M3556">
        <v>0</v>
      </c>
      <c r="N3556">
        <v>0</v>
      </c>
      <c r="O3556" s="5" t="s">
        <v>506</v>
      </c>
      <c r="P3556" s="5" t="s">
        <v>507</v>
      </c>
      <c r="Q3556">
        <v>17.5</v>
      </c>
      <c r="R3556" t="s">
        <v>46</v>
      </c>
      <c r="S3556" t="s">
        <v>39</v>
      </c>
      <c r="T3556">
        <v>21</v>
      </c>
      <c r="U3556">
        <v>77</v>
      </c>
      <c r="V3556">
        <v>16</v>
      </c>
      <c r="W3556">
        <v>13.5</v>
      </c>
      <c r="X3556">
        <v>27.1</v>
      </c>
    </row>
    <row r="3557" spans="1:30" x14ac:dyDescent="0.35">
      <c r="A3557" s="4">
        <v>42600</v>
      </c>
      <c r="B3557" t="s">
        <v>30</v>
      </c>
      <c r="C3557">
        <v>113</v>
      </c>
      <c r="D3557">
        <v>10</v>
      </c>
      <c r="E3557">
        <v>2</v>
      </c>
      <c r="F3557" t="s">
        <v>281</v>
      </c>
      <c r="G3557" t="s">
        <v>32</v>
      </c>
      <c r="H3557" t="s">
        <v>33</v>
      </c>
      <c r="I3557" t="s">
        <v>43</v>
      </c>
      <c r="J3557" t="s">
        <v>44</v>
      </c>
      <c r="K3557" t="s">
        <v>113</v>
      </c>
      <c r="L3557" t="s">
        <v>45</v>
      </c>
      <c r="M3557">
        <v>0</v>
      </c>
      <c r="N3557">
        <v>0</v>
      </c>
      <c r="O3557" s="5" t="s">
        <v>417</v>
      </c>
      <c r="P3557" s="5" t="s">
        <v>418</v>
      </c>
      <c r="Q3557">
        <v>17</v>
      </c>
      <c r="R3557" t="s">
        <v>46</v>
      </c>
      <c r="S3557" t="s">
        <v>39</v>
      </c>
      <c r="T3557">
        <v>20</v>
      </c>
      <c r="U3557">
        <v>68</v>
      </c>
      <c r="V3557">
        <v>14</v>
      </c>
      <c r="W3557">
        <v>12.6</v>
      </c>
      <c r="X3557">
        <v>27.5</v>
      </c>
    </row>
    <row r="3558" spans="1:30" x14ac:dyDescent="0.35">
      <c r="A3558" s="4">
        <v>42600</v>
      </c>
      <c r="B3558" t="s">
        <v>30</v>
      </c>
      <c r="C3558">
        <v>113</v>
      </c>
      <c r="D3558">
        <v>9</v>
      </c>
      <c r="E3558">
        <v>1</v>
      </c>
      <c r="F3558" t="s">
        <v>42</v>
      </c>
      <c r="G3558" t="s">
        <v>32</v>
      </c>
      <c r="H3558" t="s">
        <v>33</v>
      </c>
      <c r="I3558" t="s">
        <v>43</v>
      </c>
      <c r="J3558" t="s">
        <v>44</v>
      </c>
      <c r="K3558" t="s">
        <v>113</v>
      </c>
      <c r="L3558" t="s">
        <v>37</v>
      </c>
      <c r="M3558">
        <v>0</v>
      </c>
      <c r="N3558">
        <v>0</v>
      </c>
      <c r="O3558" s="5" t="s">
        <v>469</v>
      </c>
      <c r="P3558" s="5" t="s">
        <v>470</v>
      </c>
      <c r="Q3558">
        <f>31.5-13</f>
        <v>18.5</v>
      </c>
      <c r="R3558" t="s">
        <v>38</v>
      </c>
      <c r="T3558">
        <v>19</v>
      </c>
      <c r="U3558">
        <v>84</v>
      </c>
      <c r="V3558">
        <v>19.5</v>
      </c>
      <c r="W3558">
        <v>13.5</v>
      </c>
      <c r="X3558">
        <v>28</v>
      </c>
      <c r="AB3558" t="s">
        <v>86</v>
      </c>
      <c r="AC3558" t="s">
        <v>41</v>
      </c>
    </row>
    <row r="3559" spans="1:30" x14ac:dyDescent="0.35">
      <c r="A3559" s="4">
        <v>42600</v>
      </c>
      <c r="B3559" t="s">
        <v>30</v>
      </c>
      <c r="C3559">
        <v>202</v>
      </c>
      <c r="D3559">
        <v>2</v>
      </c>
      <c r="E3559">
        <v>2</v>
      </c>
      <c r="F3559" t="s">
        <v>315</v>
      </c>
      <c r="G3559" t="s">
        <v>32</v>
      </c>
      <c r="H3559" t="s">
        <v>33</v>
      </c>
      <c r="I3559" t="s">
        <v>43</v>
      </c>
      <c r="J3559" t="s">
        <v>44</v>
      </c>
      <c r="K3559" t="s">
        <v>113</v>
      </c>
      <c r="L3559" t="s">
        <v>37</v>
      </c>
      <c r="M3559">
        <v>0</v>
      </c>
      <c r="N3559">
        <v>0</v>
      </c>
      <c r="O3559" s="5" t="s">
        <v>778</v>
      </c>
      <c r="P3559" s="5" t="s">
        <v>779</v>
      </c>
      <c r="Q3559">
        <f>29.5-15</f>
        <v>14.5</v>
      </c>
      <c r="R3559" t="s">
        <v>64</v>
      </c>
      <c r="T3559">
        <v>19.5</v>
      </c>
      <c r="U3559">
        <v>88</v>
      </c>
      <c r="V3559">
        <v>14</v>
      </c>
      <c r="W3559">
        <v>13</v>
      </c>
      <c r="X3559">
        <v>27.4</v>
      </c>
      <c r="Z3559" t="s">
        <v>102</v>
      </c>
      <c r="AA3559" t="s">
        <v>201</v>
      </c>
      <c r="AB3559" t="s">
        <v>86</v>
      </c>
      <c r="AC3559" t="s">
        <v>87</v>
      </c>
    </row>
    <row r="3560" spans="1:30" x14ac:dyDescent="0.35">
      <c r="A3560" s="4">
        <v>42600</v>
      </c>
      <c r="B3560" t="s">
        <v>30</v>
      </c>
      <c r="C3560">
        <v>112</v>
      </c>
      <c r="D3560">
        <v>9</v>
      </c>
      <c r="E3560">
        <v>1</v>
      </c>
      <c r="F3560" t="s">
        <v>281</v>
      </c>
      <c r="G3560" t="s">
        <v>32</v>
      </c>
      <c r="H3560" t="s">
        <v>33</v>
      </c>
      <c r="I3560" t="s">
        <v>43</v>
      </c>
      <c r="J3560" t="s">
        <v>44</v>
      </c>
      <c r="K3560" t="s">
        <v>36</v>
      </c>
      <c r="L3560" t="s">
        <v>45</v>
      </c>
      <c r="M3560">
        <v>0</v>
      </c>
      <c r="N3560">
        <v>0</v>
      </c>
      <c r="O3560" s="5" t="s">
        <v>423</v>
      </c>
      <c r="P3560" s="5" t="s">
        <v>424</v>
      </c>
      <c r="Q3560">
        <v>19.5</v>
      </c>
      <c r="R3560" t="s">
        <v>46</v>
      </c>
      <c r="S3560" t="s">
        <v>39</v>
      </c>
      <c r="T3560">
        <v>19</v>
      </c>
      <c r="U3560">
        <v>90</v>
      </c>
      <c r="V3560">
        <v>19</v>
      </c>
      <c r="W3560">
        <v>12.9</v>
      </c>
      <c r="X3560">
        <v>27.5</v>
      </c>
    </row>
    <row r="3561" spans="1:30" x14ac:dyDescent="0.35">
      <c r="A3561" s="4">
        <v>42600</v>
      </c>
      <c r="B3561" t="s">
        <v>30</v>
      </c>
      <c r="C3561">
        <v>111</v>
      </c>
      <c r="D3561">
        <v>7</v>
      </c>
      <c r="E3561">
        <v>1</v>
      </c>
      <c r="F3561" t="s">
        <v>281</v>
      </c>
      <c r="G3561" t="s">
        <v>32</v>
      </c>
      <c r="H3561" t="s">
        <v>33</v>
      </c>
      <c r="I3561" t="s">
        <v>43</v>
      </c>
      <c r="J3561" t="s">
        <v>122</v>
      </c>
      <c r="O3561" s="5"/>
      <c r="P3561" s="5"/>
    </row>
    <row r="3562" spans="1:30" x14ac:dyDescent="0.35">
      <c r="A3562" s="4">
        <v>42600</v>
      </c>
      <c r="B3562" t="s">
        <v>30</v>
      </c>
      <c r="C3562">
        <v>113</v>
      </c>
      <c r="D3562">
        <v>6</v>
      </c>
      <c r="E3562">
        <v>1</v>
      </c>
      <c r="F3562" t="s">
        <v>281</v>
      </c>
      <c r="G3562" t="s">
        <v>32</v>
      </c>
      <c r="H3562" t="s">
        <v>33</v>
      </c>
      <c r="I3562" t="s">
        <v>43</v>
      </c>
      <c r="J3562" t="s">
        <v>122</v>
      </c>
      <c r="O3562" s="5"/>
      <c r="P3562" s="5"/>
      <c r="AD3562" t="s">
        <v>885</v>
      </c>
    </row>
    <row r="3563" spans="1:30" x14ac:dyDescent="0.35">
      <c r="A3563" s="4">
        <v>42600</v>
      </c>
      <c r="B3563" t="s">
        <v>30</v>
      </c>
      <c r="C3563">
        <v>203</v>
      </c>
      <c r="D3563">
        <v>6</v>
      </c>
      <c r="E3563">
        <v>2</v>
      </c>
      <c r="F3563" t="s">
        <v>315</v>
      </c>
      <c r="G3563" t="s">
        <v>32</v>
      </c>
      <c r="H3563" t="s">
        <v>33</v>
      </c>
      <c r="I3563" t="s">
        <v>43</v>
      </c>
      <c r="J3563" t="s">
        <v>122</v>
      </c>
      <c r="O3563" s="5"/>
      <c r="P3563" s="5"/>
    </row>
    <row r="3564" spans="1:30" x14ac:dyDescent="0.35">
      <c r="A3564" s="4">
        <v>42600</v>
      </c>
      <c r="B3564" t="s">
        <v>30</v>
      </c>
      <c r="C3564">
        <v>201</v>
      </c>
      <c r="D3564">
        <v>10</v>
      </c>
      <c r="E3564">
        <v>2</v>
      </c>
      <c r="F3564" t="s">
        <v>315</v>
      </c>
      <c r="G3564" t="s">
        <v>32</v>
      </c>
      <c r="H3564" t="s">
        <v>33</v>
      </c>
      <c r="I3564" t="s">
        <v>34</v>
      </c>
      <c r="J3564" t="s">
        <v>44</v>
      </c>
      <c r="K3564" t="s">
        <v>36</v>
      </c>
      <c r="L3564" t="s">
        <v>45</v>
      </c>
      <c r="M3564">
        <v>0</v>
      </c>
      <c r="N3564">
        <v>0</v>
      </c>
      <c r="O3564" s="5" t="s">
        <v>427</v>
      </c>
      <c r="P3564" s="5"/>
      <c r="Q3564">
        <f>132-48</f>
        <v>84</v>
      </c>
      <c r="R3564" t="s">
        <v>46</v>
      </c>
      <c r="S3564" t="s">
        <v>39</v>
      </c>
      <c r="T3564">
        <v>31</v>
      </c>
      <c r="Z3564" t="s">
        <v>102</v>
      </c>
      <c r="AA3564" t="s">
        <v>201</v>
      </c>
      <c r="AB3564" t="s">
        <v>86</v>
      </c>
      <c r="AC3564" t="s">
        <v>87</v>
      </c>
      <c r="AD3564" t="s">
        <v>725</v>
      </c>
    </row>
    <row r="3565" spans="1:30" x14ac:dyDescent="0.35">
      <c r="A3565" s="4">
        <v>42600</v>
      </c>
      <c r="B3565" t="s">
        <v>30</v>
      </c>
      <c r="C3565">
        <v>402</v>
      </c>
      <c r="D3565">
        <v>10</v>
      </c>
      <c r="E3565">
        <v>2</v>
      </c>
      <c r="F3565" t="s">
        <v>42</v>
      </c>
      <c r="G3565" t="s">
        <v>32</v>
      </c>
      <c r="H3565" t="s">
        <v>33</v>
      </c>
      <c r="I3565" t="s">
        <v>34</v>
      </c>
      <c r="J3565" t="s">
        <v>44</v>
      </c>
      <c r="K3565" t="s">
        <v>36</v>
      </c>
      <c r="L3565" t="s">
        <v>37</v>
      </c>
      <c r="M3565">
        <v>0</v>
      </c>
      <c r="N3565">
        <v>0</v>
      </c>
      <c r="O3565" s="5" t="s">
        <v>428</v>
      </c>
      <c r="P3565" s="5"/>
      <c r="Q3565">
        <f>178-90</f>
        <v>88</v>
      </c>
      <c r="R3565" t="s">
        <v>64</v>
      </c>
      <c r="T3565">
        <v>32</v>
      </c>
      <c r="W3565">
        <v>21.8</v>
      </c>
      <c r="X3565">
        <v>42.7</v>
      </c>
      <c r="AB3565" t="s">
        <v>86</v>
      </c>
      <c r="AC3565" t="s">
        <v>41</v>
      </c>
    </row>
    <row r="3566" spans="1:30" x14ac:dyDescent="0.35">
      <c r="A3566" s="4">
        <v>42600</v>
      </c>
      <c r="B3566" t="s">
        <v>30</v>
      </c>
      <c r="C3566">
        <v>113</v>
      </c>
      <c r="D3566">
        <v>3</v>
      </c>
      <c r="E3566">
        <v>1</v>
      </c>
      <c r="F3566" t="s">
        <v>281</v>
      </c>
      <c r="G3566" t="s">
        <v>32</v>
      </c>
      <c r="H3566" t="s">
        <v>33</v>
      </c>
      <c r="I3566" t="s">
        <v>34</v>
      </c>
      <c r="J3566" t="s">
        <v>44</v>
      </c>
      <c r="K3566" t="s">
        <v>36</v>
      </c>
      <c r="M3566">
        <v>0</v>
      </c>
      <c r="N3566">
        <v>0</v>
      </c>
      <c r="O3566" s="5" t="s">
        <v>473</v>
      </c>
      <c r="P3566" s="5"/>
      <c r="Q3566">
        <v>93</v>
      </c>
      <c r="T3566">
        <v>35</v>
      </c>
      <c r="W3566">
        <v>21.8</v>
      </c>
      <c r="X3566">
        <v>41.8</v>
      </c>
      <c r="Y3566" t="s">
        <v>886</v>
      </c>
    </row>
    <row r="3567" spans="1:30" x14ac:dyDescent="0.35">
      <c r="A3567" s="4">
        <v>42600</v>
      </c>
      <c r="B3567" t="s">
        <v>30</v>
      </c>
      <c r="C3567">
        <v>304</v>
      </c>
      <c r="D3567">
        <v>7</v>
      </c>
      <c r="E3567">
        <v>2</v>
      </c>
      <c r="F3567" t="s">
        <v>315</v>
      </c>
      <c r="G3567" t="s">
        <v>32</v>
      </c>
      <c r="H3567" t="s">
        <v>33</v>
      </c>
      <c r="I3567" t="s">
        <v>58</v>
      </c>
      <c r="J3567" t="s">
        <v>35</v>
      </c>
      <c r="K3567" t="s">
        <v>88</v>
      </c>
      <c r="L3567" t="s">
        <v>37</v>
      </c>
      <c r="M3567">
        <v>0</v>
      </c>
      <c r="N3567">
        <v>1</v>
      </c>
      <c r="O3567" s="5" t="s">
        <v>887</v>
      </c>
      <c r="P3567" s="5"/>
      <c r="Q3567">
        <f>27-15</f>
        <v>12</v>
      </c>
      <c r="R3567" t="s">
        <v>64</v>
      </c>
      <c r="T3567">
        <v>17</v>
      </c>
      <c r="W3567">
        <v>12.3</v>
      </c>
      <c r="X3567">
        <v>23.9</v>
      </c>
      <c r="Z3567" t="s">
        <v>102</v>
      </c>
      <c r="AA3567" t="s">
        <v>201</v>
      </c>
      <c r="AB3567" t="s">
        <v>86</v>
      </c>
      <c r="AC3567" t="s">
        <v>87</v>
      </c>
      <c r="AD3567" t="s">
        <v>807</v>
      </c>
    </row>
    <row r="3568" spans="1:30" x14ac:dyDescent="0.35">
      <c r="A3568" s="4">
        <v>42600</v>
      </c>
      <c r="B3568" t="s">
        <v>30</v>
      </c>
      <c r="C3568">
        <v>201</v>
      </c>
      <c r="D3568">
        <v>4</v>
      </c>
      <c r="E3568">
        <v>1</v>
      </c>
      <c r="F3568" t="s">
        <v>315</v>
      </c>
      <c r="G3568" t="s">
        <v>32</v>
      </c>
      <c r="H3568" t="s">
        <v>33</v>
      </c>
      <c r="I3568" t="s">
        <v>58</v>
      </c>
      <c r="J3568" t="s">
        <v>44</v>
      </c>
      <c r="K3568" t="s">
        <v>36</v>
      </c>
      <c r="L3568" t="s">
        <v>37</v>
      </c>
      <c r="M3568">
        <v>0</v>
      </c>
      <c r="N3568">
        <v>0</v>
      </c>
      <c r="O3568" s="5" t="s">
        <v>838</v>
      </c>
      <c r="P3568" s="5"/>
      <c r="Q3568">
        <f>36.5-14.5</f>
        <v>22</v>
      </c>
      <c r="R3568" t="s">
        <v>38</v>
      </c>
      <c r="T3568">
        <v>17.5</v>
      </c>
      <c r="W3568">
        <v>13.2</v>
      </c>
      <c r="X3568">
        <v>27.2</v>
      </c>
      <c r="Z3568" t="s">
        <v>102</v>
      </c>
      <c r="AA3568" t="s">
        <v>201</v>
      </c>
      <c r="AB3568" t="s">
        <v>86</v>
      </c>
      <c r="AC3568" t="s">
        <v>87</v>
      </c>
      <c r="AD3568" t="s">
        <v>888</v>
      </c>
    </row>
    <row r="3569" spans="1:30" x14ac:dyDescent="0.35">
      <c r="A3569" s="4">
        <v>42600</v>
      </c>
      <c r="B3569" t="s">
        <v>30</v>
      </c>
      <c r="C3569">
        <v>203</v>
      </c>
      <c r="D3569">
        <v>4</v>
      </c>
      <c r="E3569">
        <v>1</v>
      </c>
      <c r="F3569" t="s">
        <v>315</v>
      </c>
      <c r="G3569" t="s">
        <v>32</v>
      </c>
      <c r="H3569" t="s">
        <v>33</v>
      </c>
      <c r="I3569" t="s">
        <v>58</v>
      </c>
      <c r="J3569" t="s">
        <v>44</v>
      </c>
      <c r="K3569" t="s">
        <v>36</v>
      </c>
      <c r="L3569" t="s">
        <v>45</v>
      </c>
      <c r="M3569">
        <v>0</v>
      </c>
      <c r="N3569">
        <v>0</v>
      </c>
      <c r="O3569" s="5" t="s">
        <v>841</v>
      </c>
      <c r="P3569" s="5"/>
      <c r="Q3569">
        <f>36-14.5</f>
        <v>21.5</v>
      </c>
      <c r="R3569" t="s">
        <v>46</v>
      </c>
      <c r="S3569" t="s">
        <v>39</v>
      </c>
      <c r="T3569">
        <v>18</v>
      </c>
      <c r="W3569">
        <v>13.1</v>
      </c>
      <c r="X3569">
        <v>26.8</v>
      </c>
      <c r="Z3569" t="s">
        <v>102</v>
      </c>
      <c r="AA3569" t="s">
        <v>201</v>
      </c>
      <c r="AB3569" t="s">
        <v>86</v>
      </c>
      <c r="AC3569" t="s">
        <v>87</v>
      </c>
      <c r="AD3569" t="s">
        <v>889</v>
      </c>
    </row>
    <row r="3570" spans="1:30" x14ac:dyDescent="0.35">
      <c r="A3570" s="4">
        <v>42600</v>
      </c>
      <c r="B3570" t="s">
        <v>30</v>
      </c>
      <c r="C3570">
        <v>203</v>
      </c>
      <c r="D3570">
        <v>6</v>
      </c>
      <c r="E3570">
        <v>1</v>
      </c>
      <c r="F3570" t="s">
        <v>315</v>
      </c>
      <c r="G3570" t="s">
        <v>32</v>
      </c>
      <c r="H3570" t="s">
        <v>33</v>
      </c>
      <c r="I3570" t="s">
        <v>58</v>
      </c>
      <c r="J3570" t="s">
        <v>44</v>
      </c>
      <c r="K3570" t="s">
        <v>36</v>
      </c>
      <c r="L3570" t="s">
        <v>45</v>
      </c>
      <c r="M3570">
        <v>0</v>
      </c>
      <c r="N3570">
        <v>0</v>
      </c>
      <c r="O3570" s="5" t="s">
        <v>842</v>
      </c>
      <c r="P3570" s="5"/>
      <c r="Q3570">
        <f>37-14</f>
        <v>23</v>
      </c>
      <c r="R3570" t="s">
        <v>46</v>
      </c>
      <c r="S3570" t="s">
        <v>39</v>
      </c>
      <c r="T3570">
        <v>17.5</v>
      </c>
      <c r="W3570">
        <v>12.9</v>
      </c>
      <c r="X3570">
        <v>27.2</v>
      </c>
      <c r="Z3570" t="s">
        <v>102</v>
      </c>
      <c r="AA3570" t="s">
        <v>890</v>
      </c>
      <c r="AB3570" t="s">
        <v>86</v>
      </c>
      <c r="AC3570" t="s">
        <v>87</v>
      </c>
    </row>
    <row r="3571" spans="1:30" x14ac:dyDescent="0.35">
      <c r="A3571" s="4">
        <v>42600</v>
      </c>
      <c r="B3571" t="s">
        <v>30</v>
      </c>
      <c r="C3571">
        <v>203</v>
      </c>
      <c r="D3571">
        <v>7</v>
      </c>
      <c r="E3571">
        <v>1</v>
      </c>
      <c r="F3571" t="s">
        <v>315</v>
      </c>
      <c r="G3571" t="s">
        <v>32</v>
      </c>
      <c r="H3571" t="s">
        <v>33</v>
      </c>
      <c r="I3571" t="s">
        <v>58</v>
      </c>
      <c r="J3571" t="s">
        <v>44</v>
      </c>
      <c r="K3571" t="s">
        <v>36</v>
      </c>
      <c r="L3571" t="s">
        <v>37</v>
      </c>
      <c r="M3571">
        <v>0</v>
      </c>
      <c r="N3571">
        <v>0</v>
      </c>
      <c r="O3571" s="5" t="s">
        <v>843</v>
      </c>
      <c r="P3571" s="5"/>
      <c r="Q3571">
        <f>37-14</f>
        <v>23</v>
      </c>
      <c r="R3571" t="s">
        <v>64</v>
      </c>
      <c r="T3571">
        <v>17.5</v>
      </c>
      <c r="W3571">
        <v>12.9</v>
      </c>
      <c r="X3571">
        <v>25.6</v>
      </c>
      <c r="Z3571" t="s">
        <v>102</v>
      </c>
      <c r="AA3571" t="s">
        <v>201</v>
      </c>
      <c r="AB3571" t="s">
        <v>86</v>
      </c>
      <c r="AC3571" t="s">
        <v>87</v>
      </c>
    </row>
    <row r="3572" spans="1:30" x14ac:dyDescent="0.35">
      <c r="A3572" s="4">
        <v>42600</v>
      </c>
      <c r="B3572" t="s">
        <v>30</v>
      </c>
      <c r="C3572">
        <v>203</v>
      </c>
      <c r="D3572">
        <v>5</v>
      </c>
      <c r="E3572">
        <v>1</v>
      </c>
      <c r="F3572" t="s">
        <v>315</v>
      </c>
      <c r="G3572" t="s">
        <v>32</v>
      </c>
      <c r="H3572" t="s">
        <v>33</v>
      </c>
      <c r="I3572" t="s">
        <v>58</v>
      </c>
      <c r="J3572" t="s">
        <v>35</v>
      </c>
      <c r="K3572" t="s">
        <v>88</v>
      </c>
      <c r="L3572" t="s">
        <v>45</v>
      </c>
      <c r="M3572">
        <v>0</v>
      </c>
      <c r="N3572">
        <v>1</v>
      </c>
      <c r="O3572" s="5" t="s">
        <v>891</v>
      </c>
      <c r="P3572" s="5"/>
      <c r="Q3572">
        <f>27-14</f>
        <v>13</v>
      </c>
      <c r="R3572" t="s">
        <v>46</v>
      </c>
      <c r="S3572" t="s">
        <v>39</v>
      </c>
      <c r="T3572">
        <v>17</v>
      </c>
      <c r="W3572">
        <v>12.9</v>
      </c>
      <c r="X3572">
        <v>25.6</v>
      </c>
      <c r="Z3572" t="s">
        <v>102</v>
      </c>
      <c r="AA3572" t="s">
        <v>201</v>
      </c>
      <c r="AB3572" t="s">
        <v>86</v>
      </c>
      <c r="AC3572" t="s">
        <v>87</v>
      </c>
      <c r="AD3572" t="s">
        <v>807</v>
      </c>
    </row>
    <row r="3573" spans="1:30" x14ac:dyDescent="0.35">
      <c r="A3573" s="4">
        <v>42600</v>
      </c>
      <c r="B3573" t="s">
        <v>30</v>
      </c>
      <c r="C3573">
        <v>202</v>
      </c>
      <c r="D3573">
        <v>3</v>
      </c>
      <c r="E3573">
        <v>1</v>
      </c>
      <c r="F3573" t="s">
        <v>315</v>
      </c>
      <c r="G3573" t="s">
        <v>32</v>
      </c>
      <c r="H3573" t="s">
        <v>33</v>
      </c>
      <c r="I3573" t="s">
        <v>58</v>
      </c>
      <c r="J3573" t="s">
        <v>35</v>
      </c>
      <c r="K3573" t="s">
        <v>88</v>
      </c>
      <c r="L3573" t="s">
        <v>45</v>
      </c>
      <c r="M3573">
        <v>0</v>
      </c>
      <c r="N3573">
        <v>1</v>
      </c>
      <c r="O3573" s="5" t="s">
        <v>892</v>
      </c>
      <c r="P3573" s="5"/>
      <c r="Q3573">
        <f>28-14</f>
        <v>14</v>
      </c>
      <c r="R3573" t="s">
        <v>46</v>
      </c>
      <c r="S3573" t="s">
        <v>39</v>
      </c>
      <c r="T3573">
        <v>16.5</v>
      </c>
      <c r="W3573">
        <v>12.7</v>
      </c>
      <c r="X3573">
        <v>24.5</v>
      </c>
      <c r="Z3573" t="s">
        <v>102</v>
      </c>
      <c r="AA3573" t="s">
        <v>201</v>
      </c>
      <c r="AB3573" t="s">
        <v>86</v>
      </c>
      <c r="AC3573" t="s">
        <v>87</v>
      </c>
      <c r="AD3573" t="s">
        <v>807</v>
      </c>
    </row>
    <row r="3574" spans="1:30" x14ac:dyDescent="0.35">
      <c r="A3574" s="4">
        <v>42600</v>
      </c>
      <c r="B3574" t="s">
        <v>30</v>
      </c>
      <c r="C3574">
        <v>402</v>
      </c>
      <c r="D3574">
        <v>9</v>
      </c>
      <c r="E3574">
        <v>1</v>
      </c>
      <c r="F3574" t="s">
        <v>281</v>
      </c>
      <c r="G3574" t="s">
        <v>32</v>
      </c>
      <c r="H3574" t="s">
        <v>33</v>
      </c>
      <c r="I3574" t="s">
        <v>58</v>
      </c>
      <c r="J3574" t="s">
        <v>44</v>
      </c>
      <c r="K3574" t="s">
        <v>36</v>
      </c>
      <c r="L3574" t="s">
        <v>45</v>
      </c>
      <c r="M3574">
        <v>0</v>
      </c>
      <c r="N3574">
        <v>0</v>
      </c>
      <c r="O3574" s="5" t="s">
        <v>342</v>
      </c>
      <c r="P3574" s="5"/>
      <c r="R3574" t="s">
        <v>46</v>
      </c>
      <c r="S3574" t="s">
        <v>39</v>
      </c>
      <c r="T3574">
        <v>18</v>
      </c>
      <c r="W3574">
        <v>12.8</v>
      </c>
      <c r="X3574">
        <v>30.2</v>
      </c>
      <c r="Z3574" t="s">
        <v>102</v>
      </c>
      <c r="AA3574" t="s">
        <v>201</v>
      </c>
    </row>
    <row r="3575" spans="1:30" x14ac:dyDescent="0.35">
      <c r="A3575" s="4">
        <v>42600</v>
      </c>
      <c r="B3575" t="s">
        <v>30</v>
      </c>
      <c r="C3575">
        <v>402</v>
      </c>
      <c r="D3575">
        <v>1</v>
      </c>
      <c r="E3575">
        <v>2</v>
      </c>
      <c r="F3575" t="s">
        <v>281</v>
      </c>
      <c r="G3575" t="s">
        <v>32</v>
      </c>
      <c r="H3575" t="s">
        <v>33</v>
      </c>
      <c r="I3575" t="s">
        <v>58</v>
      </c>
      <c r="J3575" t="s">
        <v>44</v>
      </c>
      <c r="K3575" t="s">
        <v>36</v>
      </c>
      <c r="L3575" t="s">
        <v>37</v>
      </c>
      <c r="M3575">
        <v>0</v>
      </c>
      <c r="N3575">
        <v>0</v>
      </c>
      <c r="O3575" s="5" t="s">
        <v>477</v>
      </c>
      <c r="P3575" s="5"/>
      <c r="Q3575">
        <v>26.5</v>
      </c>
      <c r="R3575" t="s">
        <v>38</v>
      </c>
      <c r="T3575">
        <v>18</v>
      </c>
      <c r="W3575">
        <v>16.600000000000001</v>
      </c>
      <c r="X3575">
        <v>31.6</v>
      </c>
      <c r="Z3575" t="s">
        <v>102</v>
      </c>
    </row>
    <row r="3576" spans="1:30" x14ac:dyDescent="0.35">
      <c r="A3576" s="4">
        <v>42600</v>
      </c>
      <c r="B3576" t="s">
        <v>30</v>
      </c>
      <c r="C3576">
        <v>201</v>
      </c>
      <c r="D3576">
        <v>5</v>
      </c>
      <c r="E3576">
        <v>1</v>
      </c>
      <c r="F3576" t="s">
        <v>315</v>
      </c>
      <c r="G3576" t="s">
        <v>32</v>
      </c>
      <c r="H3576" t="s">
        <v>33</v>
      </c>
      <c r="I3576" t="s">
        <v>58</v>
      </c>
      <c r="J3576" t="s">
        <v>44</v>
      </c>
      <c r="K3576" t="s">
        <v>36</v>
      </c>
      <c r="L3576" t="s">
        <v>45</v>
      </c>
      <c r="M3576">
        <v>0</v>
      </c>
      <c r="N3576">
        <v>0</v>
      </c>
      <c r="O3576" s="5" t="s">
        <v>794</v>
      </c>
      <c r="P3576" s="5"/>
      <c r="Q3576">
        <f>39-14.5</f>
        <v>24.5</v>
      </c>
      <c r="R3576" t="s">
        <v>143</v>
      </c>
      <c r="S3576" t="s">
        <v>102</v>
      </c>
      <c r="T3576">
        <v>17</v>
      </c>
      <c r="W3576">
        <v>13.1</v>
      </c>
      <c r="X3576">
        <v>27.5</v>
      </c>
      <c r="Z3576" t="s">
        <v>102</v>
      </c>
      <c r="AA3576" t="s">
        <v>201</v>
      </c>
      <c r="AB3576" t="s">
        <v>86</v>
      </c>
      <c r="AC3576" t="s">
        <v>87</v>
      </c>
    </row>
    <row r="3577" spans="1:30" x14ac:dyDescent="0.35">
      <c r="A3577" s="4">
        <v>42600</v>
      </c>
      <c r="B3577" t="s">
        <v>30</v>
      </c>
      <c r="C3577">
        <v>304</v>
      </c>
      <c r="D3577">
        <v>8</v>
      </c>
      <c r="E3577">
        <v>1</v>
      </c>
      <c r="F3577" t="s">
        <v>315</v>
      </c>
      <c r="G3577" t="s">
        <v>32</v>
      </c>
      <c r="H3577" t="s">
        <v>33</v>
      </c>
      <c r="I3577" t="s">
        <v>58</v>
      </c>
      <c r="J3577" t="s">
        <v>44</v>
      </c>
      <c r="K3577" t="s">
        <v>36</v>
      </c>
      <c r="L3577" t="s">
        <v>45</v>
      </c>
      <c r="M3577">
        <v>0</v>
      </c>
      <c r="N3577">
        <v>0</v>
      </c>
      <c r="O3577" s="5" t="s">
        <v>852</v>
      </c>
      <c r="P3577" s="5"/>
      <c r="Q3577">
        <f>45.5-15</f>
        <v>30.5</v>
      </c>
      <c r="R3577" t="s">
        <v>143</v>
      </c>
      <c r="S3577" t="s">
        <v>102</v>
      </c>
      <c r="T3577">
        <v>18</v>
      </c>
      <c r="W3577">
        <v>13</v>
      </c>
      <c r="X3577">
        <v>26.4</v>
      </c>
      <c r="Z3577" t="s">
        <v>102</v>
      </c>
      <c r="AA3577" t="s">
        <v>201</v>
      </c>
      <c r="AB3577" t="s">
        <v>86</v>
      </c>
      <c r="AC3577" t="s">
        <v>87</v>
      </c>
    </row>
    <row r="3578" spans="1:30" x14ac:dyDescent="0.35">
      <c r="A3578" s="4">
        <v>42600</v>
      </c>
      <c r="B3578" t="s">
        <v>30</v>
      </c>
      <c r="C3578">
        <v>304</v>
      </c>
      <c r="D3578">
        <v>2</v>
      </c>
      <c r="E3578">
        <v>1</v>
      </c>
      <c r="F3578" t="s">
        <v>281</v>
      </c>
      <c r="G3578" t="s">
        <v>32</v>
      </c>
      <c r="H3578" t="s">
        <v>33</v>
      </c>
      <c r="I3578" t="s">
        <v>58</v>
      </c>
      <c r="J3578" t="s">
        <v>44</v>
      </c>
      <c r="K3578" t="s">
        <v>36</v>
      </c>
      <c r="L3578" t="s">
        <v>37</v>
      </c>
      <c r="M3578">
        <v>0</v>
      </c>
      <c r="N3578">
        <v>0</v>
      </c>
      <c r="O3578" s="5" t="s">
        <v>766</v>
      </c>
      <c r="P3578" s="5"/>
      <c r="R3578" t="s">
        <v>38</v>
      </c>
      <c r="W3578">
        <v>15.9</v>
      </c>
      <c r="X3578">
        <v>30.6</v>
      </c>
      <c r="Z3578" t="s">
        <v>102</v>
      </c>
      <c r="AA3578" t="s">
        <v>201</v>
      </c>
    </row>
    <row r="3579" spans="1:30" x14ac:dyDescent="0.35">
      <c r="A3579" s="4">
        <v>42600</v>
      </c>
      <c r="B3579" t="s">
        <v>30</v>
      </c>
      <c r="C3579">
        <v>203</v>
      </c>
      <c r="D3579">
        <v>9</v>
      </c>
      <c r="E3579">
        <v>2</v>
      </c>
      <c r="F3579" t="s">
        <v>315</v>
      </c>
      <c r="G3579" t="s">
        <v>32</v>
      </c>
      <c r="H3579" t="s">
        <v>33</v>
      </c>
      <c r="I3579" t="s">
        <v>58</v>
      </c>
      <c r="J3579" t="s">
        <v>44</v>
      </c>
      <c r="K3579" t="s">
        <v>36</v>
      </c>
      <c r="L3579" t="s">
        <v>37</v>
      </c>
      <c r="M3579">
        <v>0</v>
      </c>
      <c r="N3579">
        <v>0</v>
      </c>
      <c r="O3579" s="5" t="s">
        <v>797</v>
      </c>
      <c r="P3579" s="5"/>
      <c r="Q3579">
        <f>33-14</f>
        <v>19</v>
      </c>
      <c r="R3579" t="s">
        <v>64</v>
      </c>
      <c r="T3579">
        <v>18</v>
      </c>
      <c r="W3579">
        <v>12.9</v>
      </c>
      <c r="X3579">
        <v>25.7</v>
      </c>
      <c r="Z3579" t="s">
        <v>102</v>
      </c>
      <c r="AA3579" t="s">
        <v>201</v>
      </c>
      <c r="AB3579" t="s">
        <v>86</v>
      </c>
      <c r="AC3579" t="s">
        <v>87</v>
      </c>
      <c r="AD3579" t="s">
        <v>893</v>
      </c>
    </row>
    <row r="3580" spans="1:30" x14ac:dyDescent="0.35">
      <c r="A3580" s="4">
        <v>42600</v>
      </c>
      <c r="B3580" t="s">
        <v>30</v>
      </c>
      <c r="C3580">
        <v>202</v>
      </c>
      <c r="D3580">
        <v>7</v>
      </c>
      <c r="E3580">
        <v>2</v>
      </c>
      <c r="F3580" t="s">
        <v>315</v>
      </c>
      <c r="G3580" t="s">
        <v>32</v>
      </c>
      <c r="H3580" t="s">
        <v>33</v>
      </c>
      <c r="I3580" t="s">
        <v>58</v>
      </c>
      <c r="J3580" t="s">
        <v>44</v>
      </c>
      <c r="K3580" t="s">
        <v>36</v>
      </c>
      <c r="L3580" t="s">
        <v>45</v>
      </c>
      <c r="M3580">
        <v>0</v>
      </c>
      <c r="N3580">
        <v>0</v>
      </c>
      <c r="O3580" s="5" t="s">
        <v>801</v>
      </c>
      <c r="P3580" s="5"/>
      <c r="Q3580">
        <f>43-14</f>
        <v>29</v>
      </c>
      <c r="R3580" t="s">
        <v>74</v>
      </c>
      <c r="S3580" t="s">
        <v>102</v>
      </c>
      <c r="T3580">
        <v>18</v>
      </c>
      <c r="W3580">
        <v>13</v>
      </c>
      <c r="X3580">
        <v>28.5</v>
      </c>
      <c r="Z3580" t="s">
        <v>102</v>
      </c>
      <c r="AA3580" t="s">
        <v>894</v>
      </c>
      <c r="AB3580" t="s">
        <v>86</v>
      </c>
      <c r="AC3580" t="s">
        <v>87</v>
      </c>
    </row>
    <row r="3581" spans="1:30" x14ac:dyDescent="0.35">
      <c r="A3581" s="4">
        <v>42600</v>
      </c>
      <c r="B3581" t="s">
        <v>30</v>
      </c>
      <c r="C3581">
        <v>202</v>
      </c>
      <c r="D3581">
        <v>5</v>
      </c>
      <c r="E3581">
        <v>1</v>
      </c>
      <c r="F3581" t="s">
        <v>315</v>
      </c>
      <c r="G3581" t="s">
        <v>32</v>
      </c>
      <c r="H3581" t="s">
        <v>33</v>
      </c>
      <c r="I3581" t="s">
        <v>55</v>
      </c>
      <c r="J3581" t="s">
        <v>66</v>
      </c>
      <c r="O3581" s="5"/>
      <c r="P3581" s="5"/>
    </row>
    <row r="3582" spans="1:30" x14ac:dyDescent="0.35">
      <c r="A3582" s="4">
        <v>42600</v>
      </c>
      <c r="B3582" t="s">
        <v>30</v>
      </c>
      <c r="C3582">
        <v>202</v>
      </c>
      <c r="D3582">
        <v>6</v>
      </c>
      <c r="E3582">
        <v>1</v>
      </c>
      <c r="F3582" t="s">
        <v>315</v>
      </c>
      <c r="G3582" t="s">
        <v>32</v>
      </c>
      <c r="H3582" t="s">
        <v>33</v>
      </c>
      <c r="I3582" t="s">
        <v>55</v>
      </c>
      <c r="J3582" t="s">
        <v>66</v>
      </c>
      <c r="O3582" s="5"/>
      <c r="P3582" s="5"/>
    </row>
    <row r="3583" spans="1:30" x14ac:dyDescent="0.35">
      <c r="A3583" s="4">
        <v>42600</v>
      </c>
      <c r="B3583" t="s">
        <v>30</v>
      </c>
      <c r="C3583">
        <v>202</v>
      </c>
      <c r="D3583">
        <v>10</v>
      </c>
      <c r="E3583">
        <v>1</v>
      </c>
      <c r="F3583" t="s">
        <v>315</v>
      </c>
      <c r="G3583" t="s">
        <v>32</v>
      </c>
      <c r="H3583" t="s">
        <v>33</v>
      </c>
      <c r="I3583" t="s">
        <v>55</v>
      </c>
      <c r="J3583" t="s">
        <v>123</v>
      </c>
      <c r="O3583" s="5"/>
      <c r="P3583" s="5"/>
    </row>
    <row r="3584" spans="1:30" x14ac:dyDescent="0.35">
      <c r="A3584" s="4">
        <v>42600</v>
      </c>
      <c r="B3584" t="s">
        <v>30</v>
      </c>
      <c r="C3584">
        <v>111</v>
      </c>
      <c r="D3584">
        <v>1</v>
      </c>
      <c r="E3584">
        <v>1</v>
      </c>
      <c r="F3584" t="s">
        <v>42</v>
      </c>
      <c r="G3584" t="s">
        <v>32</v>
      </c>
      <c r="H3584" t="s">
        <v>33</v>
      </c>
      <c r="I3584" t="s">
        <v>59</v>
      </c>
      <c r="O3584" s="5"/>
      <c r="P3584" s="5"/>
    </row>
    <row r="3585" spans="1:16" x14ac:dyDescent="0.35">
      <c r="A3585" s="4">
        <v>42600</v>
      </c>
      <c r="B3585" t="s">
        <v>30</v>
      </c>
      <c r="C3585">
        <v>111</v>
      </c>
      <c r="D3585">
        <v>1</v>
      </c>
      <c r="E3585">
        <v>2</v>
      </c>
      <c r="F3585" t="s">
        <v>42</v>
      </c>
      <c r="G3585" t="s">
        <v>32</v>
      </c>
      <c r="H3585" t="s">
        <v>33</v>
      </c>
      <c r="I3585" t="s">
        <v>59</v>
      </c>
      <c r="O3585" s="5"/>
      <c r="P3585" s="5"/>
    </row>
    <row r="3586" spans="1:16" x14ac:dyDescent="0.35">
      <c r="A3586" s="4">
        <v>42600</v>
      </c>
      <c r="B3586" t="s">
        <v>30</v>
      </c>
      <c r="C3586">
        <v>111</v>
      </c>
      <c r="D3586">
        <v>3</v>
      </c>
      <c r="E3586">
        <v>1</v>
      </c>
      <c r="F3586" t="s">
        <v>42</v>
      </c>
      <c r="G3586" t="s">
        <v>32</v>
      </c>
      <c r="H3586" t="s">
        <v>33</v>
      </c>
      <c r="I3586" t="s">
        <v>59</v>
      </c>
      <c r="O3586" s="5"/>
      <c r="P3586" s="5"/>
    </row>
    <row r="3587" spans="1:16" x14ac:dyDescent="0.35">
      <c r="A3587" s="4">
        <v>42600</v>
      </c>
      <c r="B3587" t="s">
        <v>30</v>
      </c>
      <c r="C3587">
        <v>111</v>
      </c>
      <c r="D3587">
        <v>10</v>
      </c>
      <c r="E3587">
        <v>1</v>
      </c>
      <c r="F3587" t="s">
        <v>42</v>
      </c>
      <c r="G3587" t="s">
        <v>32</v>
      </c>
      <c r="H3587" t="s">
        <v>33</v>
      </c>
      <c r="I3587" t="s">
        <v>59</v>
      </c>
      <c r="O3587" s="5"/>
      <c r="P3587" s="5"/>
    </row>
    <row r="3588" spans="1:16" x14ac:dyDescent="0.35">
      <c r="A3588" s="4">
        <v>42600</v>
      </c>
      <c r="B3588" t="s">
        <v>30</v>
      </c>
      <c r="C3588">
        <v>111</v>
      </c>
      <c r="D3588">
        <v>10</v>
      </c>
      <c r="E3588">
        <v>2</v>
      </c>
      <c r="F3588" t="s">
        <v>42</v>
      </c>
      <c r="G3588" t="s">
        <v>32</v>
      </c>
      <c r="H3588" t="s">
        <v>33</v>
      </c>
      <c r="I3588" t="s">
        <v>59</v>
      </c>
      <c r="O3588" s="5"/>
      <c r="P3588" s="5"/>
    </row>
    <row r="3589" spans="1:16" x14ac:dyDescent="0.35">
      <c r="A3589" s="4">
        <v>42600</v>
      </c>
      <c r="B3589" t="s">
        <v>30</v>
      </c>
      <c r="C3589">
        <v>112</v>
      </c>
      <c r="D3589">
        <v>6</v>
      </c>
      <c r="E3589">
        <v>1</v>
      </c>
      <c r="F3589" t="s">
        <v>42</v>
      </c>
      <c r="G3589" t="s">
        <v>32</v>
      </c>
      <c r="H3589" t="s">
        <v>33</v>
      </c>
      <c r="I3589" t="s">
        <v>59</v>
      </c>
      <c r="O3589" s="5"/>
      <c r="P3589" s="5"/>
    </row>
    <row r="3590" spans="1:16" x14ac:dyDescent="0.35">
      <c r="A3590" s="4">
        <v>42600</v>
      </c>
      <c r="B3590" t="s">
        <v>30</v>
      </c>
      <c r="C3590">
        <v>112</v>
      </c>
      <c r="D3590">
        <v>5</v>
      </c>
      <c r="E3590">
        <v>1</v>
      </c>
      <c r="F3590" t="s">
        <v>42</v>
      </c>
      <c r="G3590" t="s">
        <v>32</v>
      </c>
      <c r="H3590" t="s">
        <v>33</v>
      </c>
      <c r="I3590" t="s">
        <v>59</v>
      </c>
      <c r="O3590" s="5"/>
      <c r="P3590" s="5"/>
    </row>
    <row r="3591" spans="1:16" x14ac:dyDescent="0.35">
      <c r="A3591" s="4">
        <v>42600</v>
      </c>
      <c r="B3591" t="s">
        <v>30</v>
      </c>
      <c r="C3591">
        <v>112</v>
      </c>
      <c r="D3591">
        <v>3</v>
      </c>
      <c r="E3591">
        <v>2</v>
      </c>
      <c r="F3591" t="s">
        <v>42</v>
      </c>
      <c r="G3591" t="s">
        <v>32</v>
      </c>
      <c r="H3591" t="s">
        <v>33</v>
      </c>
      <c r="I3591" t="s">
        <v>59</v>
      </c>
      <c r="O3591" s="5"/>
      <c r="P3591" s="5"/>
    </row>
    <row r="3592" spans="1:16" x14ac:dyDescent="0.35">
      <c r="A3592" s="4">
        <v>42600</v>
      </c>
      <c r="B3592" t="s">
        <v>30</v>
      </c>
      <c r="C3592">
        <v>113</v>
      </c>
      <c r="D3592">
        <v>6</v>
      </c>
      <c r="E3592">
        <v>2</v>
      </c>
      <c r="F3592" t="s">
        <v>42</v>
      </c>
      <c r="G3592" t="s">
        <v>32</v>
      </c>
      <c r="H3592" t="s">
        <v>33</v>
      </c>
      <c r="I3592" t="s">
        <v>59</v>
      </c>
      <c r="O3592" s="5"/>
      <c r="P3592" s="5"/>
    </row>
    <row r="3593" spans="1:16" x14ac:dyDescent="0.35">
      <c r="A3593" s="4">
        <v>42600</v>
      </c>
      <c r="B3593" t="s">
        <v>30</v>
      </c>
      <c r="C3593">
        <v>113</v>
      </c>
      <c r="D3593">
        <v>5</v>
      </c>
      <c r="E3593">
        <v>1</v>
      </c>
      <c r="F3593" t="s">
        <v>42</v>
      </c>
      <c r="G3593" t="s">
        <v>32</v>
      </c>
      <c r="H3593" t="s">
        <v>33</v>
      </c>
      <c r="I3593" t="s">
        <v>59</v>
      </c>
      <c r="O3593" s="5"/>
      <c r="P3593" s="5"/>
    </row>
    <row r="3594" spans="1:16" x14ac:dyDescent="0.35">
      <c r="A3594" s="4">
        <v>42600</v>
      </c>
      <c r="B3594" t="s">
        <v>30</v>
      </c>
      <c r="C3594">
        <v>402</v>
      </c>
      <c r="D3594">
        <v>10</v>
      </c>
      <c r="E3594">
        <v>1</v>
      </c>
      <c r="F3594" t="s">
        <v>42</v>
      </c>
      <c r="G3594" t="s">
        <v>32</v>
      </c>
      <c r="H3594" t="s">
        <v>33</v>
      </c>
      <c r="I3594" t="s">
        <v>59</v>
      </c>
      <c r="O3594" s="5"/>
      <c r="P3594" s="5"/>
    </row>
    <row r="3595" spans="1:16" x14ac:dyDescent="0.35">
      <c r="A3595" s="4">
        <v>42600</v>
      </c>
      <c r="B3595" t="s">
        <v>30</v>
      </c>
      <c r="C3595">
        <v>402</v>
      </c>
      <c r="D3595">
        <v>2</v>
      </c>
      <c r="E3595">
        <v>1</v>
      </c>
      <c r="F3595" t="s">
        <v>42</v>
      </c>
      <c r="G3595" t="s">
        <v>32</v>
      </c>
      <c r="H3595" t="s">
        <v>33</v>
      </c>
      <c r="I3595" t="s">
        <v>59</v>
      </c>
      <c r="O3595" s="5"/>
      <c r="P3595" s="5"/>
    </row>
    <row r="3596" spans="1:16" x14ac:dyDescent="0.35">
      <c r="A3596" s="4">
        <v>42600</v>
      </c>
      <c r="B3596" t="s">
        <v>30</v>
      </c>
      <c r="C3596">
        <v>402</v>
      </c>
      <c r="D3596">
        <v>1</v>
      </c>
      <c r="E3596">
        <v>2</v>
      </c>
      <c r="F3596" t="s">
        <v>42</v>
      </c>
      <c r="G3596" t="s">
        <v>32</v>
      </c>
      <c r="H3596" t="s">
        <v>33</v>
      </c>
      <c r="I3596" t="s">
        <v>59</v>
      </c>
      <c r="O3596" s="5"/>
      <c r="P3596" s="5"/>
    </row>
    <row r="3597" spans="1:16" x14ac:dyDescent="0.35">
      <c r="A3597" s="4">
        <v>42600</v>
      </c>
      <c r="B3597" t="s">
        <v>30</v>
      </c>
      <c r="C3597">
        <v>304</v>
      </c>
      <c r="D3597">
        <v>1</v>
      </c>
      <c r="E3597">
        <v>1</v>
      </c>
      <c r="F3597" t="s">
        <v>42</v>
      </c>
      <c r="G3597" t="s">
        <v>32</v>
      </c>
      <c r="H3597" t="s">
        <v>33</v>
      </c>
      <c r="I3597" t="s">
        <v>59</v>
      </c>
      <c r="O3597" s="5"/>
      <c r="P3597" s="5"/>
    </row>
    <row r="3598" spans="1:16" x14ac:dyDescent="0.35">
      <c r="A3598" s="4">
        <v>42600</v>
      </c>
      <c r="B3598" t="s">
        <v>30</v>
      </c>
      <c r="C3598">
        <v>304</v>
      </c>
      <c r="D3598">
        <v>2</v>
      </c>
      <c r="E3598">
        <v>2</v>
      </c>
      <c r="F3598" t="s">
        <v>281</v>
      </c>
      <c r="G3598" t="s">
        <v>32</v>
      </c>
      <c r="H3598" t="s">
        <v>33</v>
      </c>
      <c r="I3598" t="s">
        <v>59</v>
      </c>
      <c r="O3598" s="5"/>
      <c r="P3598" s="5"/>
    </row>
    <row r="3599" spans="1:16" x14ac:dyDescent="0.35">
      <c r="A3599" s="4">
        <v>42600</v>
      </c>
      <c r="B3599" t="s">
        <v>30</v>
      </c>
      <c r="C3599">
        <v>201</v>
      </c>
      <c r="D3599">
        <v>4</v>
      </c>
      <c r="E3599">
        <v>2</v>
      </c>
      <c r="F3599" t="s">
        <v>315</v>
      </c>
      <c r="G3599" t="s">
        <v>32</v>
      </c>
      <c r="H3599" t="s">
        <v>33</v>
      </c>
      <c r="I3599" t="s">
        <v>59</v>
      </c>
      <c r="O3599" s="5"/>
      <c r="P3599" s="5"/>
    </row>
    <row r="3600" spans="1:16" x14ac:dyDescent="0.35">
      <c r="A3600" s="4">
        <v>42600</v>
      </c>
      <c r="B3600" t="s">
        <v>30</v>
      </c>
      <c r="C3600">
        <v>201</v>
      </c>
      <c r="D3600">
        <v>6</v>
      </c>
      <c r="E3600">
        <v>1</v>
      </c>
      <c r="F3600" t="s">
        <v>315</v>
      </c>
      <c r="G3600" t="s">
        <v>32</v>
      </c>
      <c r="H3600" t="s">
        <v>33</v>
      </c>
      <c r="I3600" t="s">
        <v>59</v>
      </c>
      <c r="O3600" s="5"/>
      <c r="P3600" s="5"/>
    </row>
    <row r="3601" spans="1:16" x14ac:dyDescent="0.35">
      <c r="A3601" s="4">
        <v>42600</v>
      </c>
      <c r="B3601" t="s">
        <v>30</v>
      </c>
      <c r="C3601">
        <v>201</v>
      </c>
      <c r="D3601">
        <v>7</v>
      </c>
      <c r="E3601">
        <v>1</v>
      </c>
      <c r="F3601" t="s">
        <v>315</v>
      </c>
      <c r="G3601" t="s">
        <v>32</v>
      </c>
      <c r="H3601" t="s">
        <v>33</v>
      </c>
      <c r="I3601" t="s">
        <v>59</v>
      </c>
      <c r="O3601" s="5"/>
      <c r="P3601" s="5"/>
    </row>
    <row r="3602" spans="1:16" x14ac:dyDescent="0.35">
      <c r="A3602" s="4">
        <v>42600</v>
      </c>
      <c r="B3602" t="s">
        <v>30</v>
      </c>
      <c r="C3602">
        <v>201</v>
      </c>
      <c r="D3602">
        <v>9</v>
      </c>
      <c r="E3602">
        <v>1</v>
      </c>
      <c r="F3602" t="s">
        <v>315</v>
      </c>
      <c r="G3602" t="s">
        <v>32</v>
      </c>
      <c r="H3602" t="s">
        <v>33</v>
      </c>
      <c r="I3602" t="s">
        <v>59</v>
      </c>
      <c r="O3602" s="5"/>
      <c r="P3602" s="5"/>
    </row>
    <row r="3603" spans="1:16" x14ac:dyDescent="0.35">
      <c r="A3603" s="4">
        <v>42600</v>
      </c>
      <c r="B3603" t="s">
        <v>30</v>
      </c>
      <c r="C3603">
        <v>201</v>
      </c>
      <c r="D3603">
        <v>9</v>
      </c>
      <c r="E3603">
        <v>2</v>
      </c>
      <c r="F3603" t="s">
        <v>315</v>
      </c>
      <c r="G3603" t="s">
        <v>32</v>
      </c>
      <c r="H3603" t="s">
        <v>33</v>
      </c>
      <c r="I3603" t="s">
        <v>59</v>
      </c>
      <c r="O3603" s="5"/>
      <c r="P3603" s="5"/>
    </row>
    <row r="3604" spans="1:16" x14ac:dyDescent="0.35">
      <c r="A3604" s="4">
        <v>42600</v>
      </c>
      <c r="B3604" t="s">
        <v>30</v>
      </c>
      <c r="C3604">
        <v>201</v>
      </c>
      <c r="D3604">
        <v>10</v>
      </c>
      <c r="E3604">
        <v>1</v>
      </c>
      <c r="F3604" t="s">
        <v>315</v>
      </c>
      <c r="G3604" t="s">
        <v>32</v>
      </c>
      <c r="H3604" t="s">
        <v>33</v>
      </c>
      <c r="I3604" t="s">
        <v>59</v>
      </c>
      <c r="O3604" s="5"/>
      <c r="P3604" s="5"/>
    </row>
    <row r="3605" spans="1:16" x14ac:dyDescent="0.35">
      <c r="A3605" s="4">
        <v>42600</v>
      </c>
      <c r="B3605" t="s">
        <v>30</v>
      </c>
      <c r="C3605">
        <v>203</v>
      </c>
      <c r="D3605">
        <v>2</v>
      </c>
      <c r="E3605">
        <v>1</v>
      </c>
      <c r="F3605" t="s">
        <v>315</v>
      </c>
      <c r="G3605" t="s">
        <v>32</v>
      </c>
      <c r="H3605" t="s">
        <v>33</v>
      </c>
      <c r="I3605" t="s">
        <v>59</v>
      </c>
      <c r="O3605" s="5"/>
      <c r="P3605" s="5"/>
    </row>
    <row r="3606" spans="1:16" x14ac:dyDescent="0.35">
      <c r="A3606" s="4">
        <v>42600</v>
      </c>
      <c r="B3606" t="s">
        <v>30</v>
      </c>
      <c r="C3606">
        <v>203</v>
      </c>
      <c r="D3606">
        <v>3</v>
      </c>
      <c r="E3606">
        <v>1</v>
      </c>
      <c r="F3606" t="s">
        <v>315</v>
      </c>
      <c r="G3606" t="s">
        <v>32</v>
      </c>
      <c r="H3606" t="s">
        <v>33</v>
      </c>
      <c r="I3606" t="s">
        <v>59</v>
      </c>
      <c r="O3606" s="5"/>
      <c r="P3606" s="5"/>
    </row>
    <row r="3607" spans="1:16" x14ac:dyDescent="0.35">
      <c r="A3607" s="4">
        <v>42600</v>
      </c>
      <c r="B3607" t="s">
        <v>30</v>
      </c>
      <c r="C3607">
        <v>203</v>
      </c>
      <c r="D3607">
        <v>5</v>
      </c>
      <c r="E3607">
        <v>2</v>
      </c>
      <c r="F3607" t="s">
        <v>315</v>
      </c>
      <c r="G3607" t="s">
        <v>32</v>
      </c>
      <c r="H3607" t="s">
        <v>33</v>
      </c>
      <c r="I3607" t="s">
        <v>59</v>
      </c>
      <c r="O3607" s="5"/>
      <c r="P3607" s="5"/>
    </row>
    <row r="3608" spans="1:16" x14ac:dyDescent="0.35">
      <c r="A3608" s="4">
        <v>42600</v>
      </c>
      <c r="B3608" t="s">
        <v>30</v>
      </c>
      <c r="C3608">
        <v>202</v>
      </c>
      <c r="D3608">
        <v>2</v>
      </c>
      <c r="E3608">
        <v>1</v>
      </c>
      <c r="F3608" t="s">
        <v>315</v>
      </c>
      <c r="G3608" t="s">
        <v>32</v>
      </c>
      <c r="H3608" t="s">
        <v>33</v>
      </c>
      <c r="I3608" t="s">
        <v>59</v>
      </c>
      <c r="O3608" s="5"/>
      <c r="P3608" s="5"/>
    </row>
    <row r="3609" spans="1:16" x14ac:dyDescent="0.35">
      <c r="A3609" s="4">
        <v>42600</v>
      </c>
      <c r="B3609" t="s">
        <v>30</v>
      </c>
      <c r="C3609">
        <v>202</v>
      </c>
      <c r="D3609">
        <v>4</v>
      </c>
      <c r="E3609">
        <v>1</v>
      </c>
      <c r="F3609" t="s">
        <v>315</v>
      </c>
      <c r="G3609" t="s">
        <v>32</v>
      </c>
      <c r="H3609" t="s">
        <v>33</v>
      </c>
      <c r="I3609" t="s">
        <v>59</v>
      </c>
      <c r="O3609" s="5"/>
      <c r="P3609" s="5"/>
    </row>
    <row r="3610" spans="1:16" x14ac:dyDescent="0.35">
      <c r="A3610" s="4">
        <v>42600</v>
      </c>
      <c r="B3610" t="s">
        <v>30</v>
      </c>
      <c r="C3610">
        <v>202</v>
      </c>
      <c r="D3610">
        <v>4</v>
      </c>
      <c r="E3610">
        <v>2</v>
      </c>
      <c r="F3610" t="s">
        <v>315</v>
      </c>
      <c r="G3610" t="s">
        <v>32</v>
      </c>
      <c r="H3610" t="s">
        <v>33</v>
      </c>
      <c r="I3610" t="s">
        <v>59</v>
      </c>
      <c r="O3610" s="5"/>
      <c r="P3610" s="5"/>
    </row>
    <row r="3611" spans="1:16" x14ac:dyDescent="0.35">
      <c r="A3611" s="4">
        <v>42600</v>
      </c>
      <c r="B3611" t="s">
        <v>30</v>
      </c>
      <c r="C3611">
        <v>202</v>
      </c>
      <c r="D3611">
        <v>7</v>
      </c>
      <c r="E3611">
        <v>1</v>
      </c>
      <c r="F3611" t="s">
        <v>315</v>
      </c>
      <c r="G3611" t="s">
        <v>32</v>
      </c>
      <c r="H3611" t="s">
        <v>33</v>
      </c>
      <c r="I3611" t="s">
        <v>59</v>
      </c>
      <c r="O3611" s="5"/>
      <c r="P3611" s="5"/>
    </row>
    <row r="3612" spans="1:16" x14ac:dyDescent="0.35">
      <c r="A3612" s="4">
        <v>42600</v>
      </c>
      <c r="B3612" t="s">
        <v>30</v>
      </c>
      <c r="C3612">
        <v>202</v>
      </c>
      <c r="D3612">
        <v>8</v>
      </c>
      <c r="E3612">
        <v>1</v>
      </c>
      <c r="F3612" t="s">
        <v>315</v>
      </c>
      <c r="G3612" t="s">
        <v>32</v>
      </c>
      <c r="H3612" t="s">
        <v>33</v>
      </c>
      <c r="I3612" t="s">
        <v>59</v>
      </c>
      <c r="O3612" s="5"/>
      <c r="P3612" s="5"/>
    </row>
    <row r="3613" spans="1:16" x14ac:dyDescent="0.35">
      <c r="A3613" s="4">
        <v>42600</v>
      </c>
      <c r="B3613" t="s">
        <v>30</v>
      </c>
      <c r="C3613">
        <v>202</v>
      </c>
      <c r="D3613">
        <v>8</v>
      </c>
      <c r="E3613">
        <v>2</v>
      </c>
      <c r="F3613" t="s">
        <v>315</v>
      </c>
      <c r="G3613" t="s">
        <v>32</v>
      </c>
      <c r="H3613" t="s">
        <v>33</v>
      </c>
      <c r="I3613" t="s">
        <v>59</v>
      </c>
      <c r="O3613" s="5"/>
      <c r="P3613" s="5"/>
    </row>
    <row r="3614" spans="1:16" x14ac:dyDescent="0.35">
      <c r="A3614" s="4">
        <v>42600</v>
      </c>
      <c r="B3614" t="s">
        <v>30</v>
      </c>
      <c r="C3614">
        <v>202</v>
      </c>
      <c r="D3614">
        <v>9</v>
      </c>
      <c r="E3614">
        <v>1</v>
      </c>
      <c r="F3614" t="s">
        <v>315</v>
      </c>
      <c r="G3614" t="s">
        <v>32</v>
      </c>
      <c r="H3614" t="s">
        <v>33</v>
      </c>
      <c r="I3614" t="s">
        <v>59</v>
      </c>
      <c r="O3614" s="5"/>
      <c r="P3614" s="5"/>
    </row>
    <row r="3615" spans="1:16" x14ac:dyDescent="0.35">
      <c r="A3615" s="4">
        <v>42600</v>
      </c>
      <c r="B3615" t="s">
        <v>30</v>
      </c>
      <c r="C3615">
        <v>304</v>
      </c>
      <c r="D3615">
        <v>10</v>
      </c>
      <c r="E3615">
        <v>2</v>
      </c>
      <c r="F3615" t="s">
        <v>315</v>
      </c>
      <c r="G3615" t="s">
        <v>32</v>
      </c>
      <c r="H3615" t="s">
        <v>33</v>
      </c>
      <c r="I3615" t="s">
        <v>59</v>
      </c>
      <c r="O3615" s="5"/>
      <c r="P3615" s="5"/>
    </row>
    <row r="3616" spans="1:16" x14ac:dyDescent="0.35">
      <c r="A3616" s="4">
        <v>42600</v>
      </c>
      <c r="B3616" t="s">
        <v>30</v>
      </c>
      <c r="C3616">
        <v>304</v>
      </c>
      <c r="D3616">
        <v>9</v>
      </c>
      <c r="E3616">
        <v>1</v>
      </c>
      <c r="F3616" t="s">
        <v>315</v>
      </c>
      <c r="G3616" t="s">
        <v>32</v>
      </c>
      <c r="H3616" t="s">
        <v>33</v>
      </c>
      <c r="I3616" t="s">
        <v>59</v>
      </c>
      <c r="O3616" s="5"/>
      <c r="P3616" s="5"/>
    </row>
    <row r="3617" spans="1:30" x14ac:dyDescent="0.35">
      <c r="A3617" s="4">
        <v>42600</v>
      </c>
      <c r="B3617" t="s">
        <v>30</v>
      </c>
      <c r="C3617">
        <v>304</v>
      </c>
      <c r="D3617">
        <v>9</v>
      </c>
      <c r="E3617">
        <v>2</v>
      </c>
      <c r="F3617" t="s">
        <v>315</v>
      </c>
      <c r="G3617" t="s">
        <v>32</v>
      </c>
      <c r="H3617" t="s">
        <v>33</v>
      </c>
      <c r="I3617" t="s">
        <v>59</v>
      </c>
      <c r="O3617" s="5"/>
      <c r="P3617" s="5"/>
    </row>
    <row r="3618" spans="1:30" x14ac:dyDescent="0.35">
      <c r="A3618" s="4">
        <v>42600</v>
      </c>
      <c r="B3618" t="s">
        <v>30</v>
      </c>
      <c r="C3618">
        <v>304</v>
      </c>
      <c r="D3618">
        <v>7</v>
      </c>
      <c r="E3618">
        <v>1</v>
      </c>
      <c r="F3618" t="s">
        <v>315</v>
      </c>
      <c r="G3618" t="s">
        <v>32</v>
      </c>
      <c r="H3618" t="s">
        <v>33</v>
      </c>
      <c r="I3618" t="s">
        <v>59</v>
      </c>
      <c r="O3618" s="5"/>
      <c r="P3618" s="5"/>
    </row>
    <row r="3619" spans="1:30" x14ac:dyDescent="0.35">
      <c r="A3619" s="4">
        <v>42600</v>
      </c>
      <c r="B3619" t="s">
        <v>30</v>
      </c>
      <c r="C3619">
        <v>304</v>
      </c>
      <c r="D3619">
        <v>4</v>
      </c>
      <c r="E3619">
        <v>1</v>
      </c>
      <c r="F3619" t="s">
        <v>315</v>
      </c>
      <c r="G3619" t="s">
        <v>32</v>
      </c>
      <c r="H3619" t="s">
        <v>33</v>
      </c>
      <c r="I3619" t="s">
        <v>59</v>
      </c>
      <c r="O3619" s="5"/>
      <c r="P3619" s="5"/>
    </row>
    <row r="3620" spans="1:30" x14ac:dyDescent="0.35">
      <c r="A3620" s="4">
        <v>42600</v>
      </c>
      <c r="B3620" t="s">
        <v>30</v>
      </c>
      <c r="C3620">
        <v>304</v>
      </c>
      <c r="D3620">
        <v>4</v>
      </c>
      <c r="E3620">
        <v>2</v>
      </c>
      <c r="F3620" t="s">
        <v>315</v>
      </c>
      <c r="G3620" t="s">
        <v>32</v>
      </c>
      <c r="H3620" t="s">
        <v>33</v>
      </c>
      <c r="I3620" t="s">
        <v>59</v>
      </c>
      <c r="O3620" s="5"/>
      <c r="P3620" s="5"/>
    </row>
    <row r="3621" spans="1:30" x14ac:dyDescent="0.35">
      <c r="A3621" s="4">
        <v>42600</v>
      </c>
      <c r="B3621" t="s">
        <v>30</v>
      </c>
      <c r="C3621">
        <v>202</v>
      </c>
      <c r="D3621">
        <v>1</v>
      </c>
      <c r="E3621">
        <v>1</v>
      </c>
      <c r="F3621" t="s">
        <v>315</v>
      </c>
      <c r="G3621" t="s">
        <v>32</v>
      </c>
      <c r="H3621" t="s">
        <v>33</v>
      </c>
      <c r="I3621" t="s">
        <v>94</v>
      </c>
      <c r="J3621" t="s">
        <v>35</v>
      </c>
      <c r="K3621" t="s">
        <v>36</v>
      </c>
      <c r="L3621" t="s">
        <v>45</v>
      </c>
      <c r="M3621">
        <v>0</v>
      </c>
      <c r="N3621">
        <v>1</v>
      </c>
      <c r="O3621" s="5" t="s">
        <v>895</v>
      </c>
      <c r="P3621" s="5"/>
      <c r="Q3621">
        <f>35.5-15</f>
        <v>20.5</v>
      </c>
      <c r="R3621" t="s">
        <v>46</v>
      </c>
      <c r="S3621" t="s">
        <v>39</v>
      </c>
      <c r="T3621">
        <v>30</v>
      </c>
      <c r="W3621">
        <v>13.1</v>
      </c>
      <c r="X3621">
        <v>25.5</v>
      </c>
      <c r="Z3621" t="s">
        <v>102</v>
      </c>
      <c r="AA3621" t="s">
        <v>201</v>
      </c>
      <c r="AB3621" t="s">
        <v>86</v>
      </c>
      <c r="AC3621" t="s">
        <v>87</v>
      </c>
      <c r="AD3621" t="s">
        <v>807</v>
      </c>
    </row>
    <row r="3622" spans="1:30" x14ac:dyDescent="0.35">
      <c r="A3622" s="4">
        <v>42600</v>
      </c>
      <c r="B3622" t="s">
        <v>30</v>
      </c>
      <c r="C3622">
        <v>112</v>
      </c>
      <c r="D3622">
        <v>10</v>
      </c>
      <c r="E3622">
        <v>1</v>
      </c>
      <c r="F3622" t="s">
        <v>42</v>
      </c>
      <c r="G3622" t="s">
        <v>32</v>
      </c>
      <c r="H3622" t="s">
        <v>33</v>
      </c>
      <c r="I3622" t="s">
        <v>94</v>
      </c>
      <c r="J3622" t="s">
        <v>44</v>
      </c>
      <c r="K3622" t="s">
        <v>36</v>
      </c>
      <c r="L3622" t="s">
        <v>45</v>
      </c>
      <c r="M3622">
        <v>0</v>
      </c>
      <c r="N3622">
        <v>0</v>
      </c>
      <c r="O3622" s="5" t="s">
        <v>336</v>
      </c>
      <c r="P3622" s="5"/>
      <c r="Q3622">
        <f>31-12.5</f>
        <v>18.5</v>
      </c>
      <c r="R3622" t="s">
        <v>46</v>
      </c>
      <c r="S3622" t="s">
        <v>39</v>
      </c>
      <c r="T3622">
        <v>28</v>
      </c>
      <c r="W3622">
        <v>12.7</v>
      </c>
      <c r="X3622">
        <v>24.3</v>
      </c>
      <c r="AB3622" t="s">
        <v>86</v>
      </c>
      <c r="AC3622" t="s">
        <v>41</v>
      </c>
    </row>
    <row r="3623" spans="1:30" x14ac:dyDescent="0.35">
      <c r="A3623" s="4">
        <v>42600</v>
      </c>
      <c r="B3623" t="s">
        <v>30</v>
      </c>
      <c r="C3623">
        <v>112</v>
      </c>
      <c r="D3623">
        <v>1</v>
      </c>
      <c r="E3623">
        <v>1</v>
      </c>
      <c r="F3623" t="s">
        <v>42</v>
      </c>
      <c r="G3623" t="s">
        <v>32</v>
      </c>
      <c r="H3623" t="s">
        <v>33</v>
      </c>
      <c r="I3623" t="s">
        <v>94</v>
      </c>
      <c r="J3623" t="s">
        <v>44</v>
      </c>
      <c r="K3623" t="s">
        <v>113</v>
      </c>
      <c r="L3623" t="s">
        <v>37</v>
      </c>
      <c r="M3623">
        <v>0</v>
      </c>
      <c r="N3623">
        <v>0</v>
      </c>
      <c r="O3623" s="5" t="s">
        <v>392</v>
      </c>
      <c r="P3623" s="5"/>
      <c r="Q3623">
        <f>31.5-13</f>
        <v>18.5</v>
      </c>
      <c r="R3623" t="s">
        <v>38</v>
      </c>
      <c r="T3623">
        <v>29.5</v>
      </c>
      <c r="W3623">
        <v>12.5</v>
      </c>
      <c r="X3623">
        <v>25</v>
      </c>
      <c r="AB3623" t="s">
        <v>86</v>
      </c>
      <c r="AC3623" t="s">
        <v>41</v>
      </c>
    </row>
    <row r="3624" spans="1:30" x14ac:dyDescent="0.35">
      <c r="A3624" s="4">
        <v>42600</v>
      </c>
      <c r="B3624" t="s">
        <v>30</v>
      </c>
      <c r="C3624">
        <v>112</v>
      </c>
      <c r="D3624">
        <v>5</v>
      </c>
      <c r="E3624">
        <v>1</v>
      </c>
      <c r="F3624" t="s">
        <v>281</v>
      </c>
      <c r="G3624" t="s">
        <v>32</v>
      </c>
      <c r="H3624" t="s">
        <v>33</v>
      </c>
      <c r="I3624" t="s">
        <v>94</v>
      </c>
      <c r="J3624" t="s">
        <v>44</v>
      </c>
      <c r="K3624" t="s">
        <v>36</v>
      </c>
      <c r="L3624" t="s">
        <v>37</v>
      </c>
      <c r="M3624">
        <v>0</v>
      </c>
      <c r="N3624">
        <v>0</v>
      </c>
      <c r="O3624" s="5" t="s">
        <v>809</v>
      </c>
      <c r="P3624" s="5"/>
      <c r="Q3624">
        <v>18.5</v>
      </c>
      <c r="R3624" t="s">
        <v>38</v>
      </c>
      <c r="T3624">
        <v>30</v>
      </c>
      <c r="W3624">
        <v>12.7</v>
      </c>
      <c r="X3624">
        <v>26.5</v>
      </c>
    </row>
    <row r="3625" spans="1:30" x14ac:dyDescent="0.35">
      <c r="A3625" s="4">
        <v>42600</v>
      </c>
      <c r="B3625" t="s">
        <v>30</v>
      </c>
      <c r="C3625">
        <v>113</v>
      </c>
      <c r="D3625">
        <v>2</v>
      </c>
      <c r="E3625">
        <v>2</v>
      </c>
      <c r="F3625" t="s">
        <v>42</v>
      </c>
      <c r="G3625" t="s">
        <v>32</v>
      </c>
      <c r="H3625" t="s">
        <v>33</v>
      </c>
      <c r="I3625" t="s">
        <v>94</v>
      </c>
      <c r="J3625" t="s">
        <v>35</v>
      </c>
      <c r="K3625" t="s">
        <v>113</v>
      </c>
      <c r="L3625" t="s">
        <v>37</v>
      </c>
      <c r="M3625">
        <v>0</v>
      </c>
      <c r="N3625">
        <v>0</v>
      </c>
      <c r="O3625" s="5" t="s">
        <v>896</v>
      </c>
      <c r="P3625" s="5"/>
      <c r="Q3625">
        <f>28.5-13</f>
        <v>15.5</v>
      </c>
      <c r="R3625" t="s">
        <v>38</v>
      </c>
      <c r="T3625">
        <v>27</v>
      </c>
      <c r="W3625">
        <v>12.3</v>
      </c>
      <c r="X3625">
        <v>24.9</v>
      </c>
      <c r="Z3625" t="s">
        <v>102</v>
      </c>
      <c r="AB3625" t="s">
        <v>86</v>
      </c>
      <c r="AC3625" t="s">
        <v>41</v>
      </c>
      <c r="AD3625" t="s">
        <v>897</v>
      </c>
    </row>
    <row r="3626" spans="1:30" x14ac:dyDescent="0.35">
      <c r="A3626" s="4">
        <v>42600</v>
      </c>
      <c r="B3626" t="s">
        <v>30</v>
      </c>
      <c r="C3626">
        <v>113</v>
      </c>
      <c r="D3626">
        <v>2</v>
      </c>
      <c r="E3626">
        <v>1</v>
      </c>
      <c r="F3626" t="s">
        <v>42</v>
      </c>
      <c r="G3626" t="s">
        <v>32</v>
      </c>
      <c r="H3626" t="s">
        <v>33</v>
      </c>
      <c r="I3626" t="s">
        <v>94</v>
      </c>
      <c r="J3626" t="s">
        <v>44</v>
      </c>
      <c r="K3626" t="s">
        <v>36</v>
      </c>
      <c r="L3626" t="s">
        <v>37</v>
      </c>
      <c r="M3626">
        <v>0</v>
      </c>
      <c r="N3626">
        <v>0</v>
      </c>
      <c r="O3626" s="5" t="s">
        <v>861</v>
      </c>
      <c r="P3626" s="5"/>
      <c r="Q3626">
        <f>34-13</f>
        <v>21</v>
      </c>
      <c r="R3626" t="s">
        <v>64</v>
      </c>
      <c r="T3626">
        <v>30</v>
      </c>
      <c r="W3626">
        <v>13.1</v>
      </c>
      <c r="X3626">
        <v>25.2</v>
      </c>
      <c r="AB3626" t="s">
        <v>86</v>
      </c>
      <c r="AC3626" t="s">
        <v>41</v>
      </c>
    </row>
    <row r="3627" spans="1:30" x14ac:dyDescent="0.35">
      <c r="A3627" s="4">
        <v>42600</v>
      </c>
      <c r="B3627" t="s">
        <v>30</v>
      </c>
      <c r="C3627">
        <v>113</v>
      </c>
      <c r="D3627">
        <v>4</v>
      </c>
      <c r="E3627">
        <v>1</v>
      </c>
      <c r="F3627" t="s">
        <v>42</v>
      </c>
      <c r="G3627" t="s">
        <v>32</v>
      </c>
      <c r="H3627" t="s">
        <v>33</v>
      </c>
      <c r="I3627" t="s">
        <v>94</v>
      </c>
      <c r="J3627" t="s">
        <v>44</v>
      </c>
      <c r="K3627" t="s">
        <v>36</v>
      </c>
      <c r="L3627" t="s">
        <v>45</v>
      </c>
      <c r="M3627">
        <v>0</v>
      </c>
      <c r="N3627">
        <v>0</v>
      </c>
      <c r="O3627" s="5" t="s">
        <v>864</v>
      </c>
      <c r="P3627" s="5"/>
      <c r="Q3627">
        <f>31-13</f>
        <v>18</v>
      </c>
      <c r="R3627" t="s">
        <v>46</v>
      </c>
      <c r="S3627" t="s">
        <v>39</v>
      </c>
      <c r="T3627">
        <v>28.5</v>
      </c>
      <c r="W3627">
        <v>12.8</v>
      </c>
      <c r="X3627">
        <v>24.3</v>
      </c>
      <c r="AB3627" t="s">
        <v>86</v>
      </c>
      <c r="AC3627" t="s">
        <v>41</v>
      </c>
    </row>
    <row r="3628" spans="1:30" x14ac:dyDescent="0.35">
      <c r="A3628" s="4">
        <v>42600</v>
      </c>
      <c r="B3628" t="s">
        <v>30</v>
      </c>
      <c r="C3628">
        <v>112</v>
      </c>
      <c r="D3628">
        <v>7</v>
      </c>
      <c r="E3628">
        <v>1</v>
      </c>
      <c r="F3628" t="s">
        <v>281</v>
      </c>
      <c r="G3628" t="s">
        <v>32</v>
      </c>
      <c r="H3628" t="s">
        <v>33</v>
      </c>
      <c r="I3628" t="s">
        <v>94</v>
      </c>
      <c r="J3628" t="s">
        <v>44</v>
      </c>
      <c r="K3628" t="s">
        <v>36</v>
      </c>
      <c r="L3628" t="s">
        <v>37</v>
      </c>
      <c r="M3628">
        <v>0</v>
      </c>
      <c r="N3628">
        <v>0</v>
      </c>
      <c r="O3628" s="5" t="s">
        <v>441</v>
      </c>
      <c r="P3628" s="5"/>
      <c r="Q3628">
        <v>23</v>
      </c>
      <c r="R3628" t="s">
        <v>38</v>
      </c>
      <c r="T3628">
        <v>30</v>
      </c>
      <c r="W3628">
        <v>13.7</v>
      </c>
      <c r="X3628">
        <v>26.7</v>
      </c>
    </row>
    <row r="3629" spans="1:30" x14ac:dyDescent="0.35">
      <c r="A3629" s="4">
        <v>42600</v>
      </c>
      <c r="B3629" t="s">
        <v>30</v>
      </c>
      <c r="C3629">
        <v>113</v>
      </c>
      <c r="D3629">
        <v>1</v>
      </c>
      <c r="E3629">
        <v>2</v>
      </c>
      <c r="F3629" t="s">
        <v>281</v>
      </c>
      <c r="G3629" t="s">
        <v>32</v>
      </c>
      <c r="H3629" t="s">
        <v>33</v>
      </c>
      <c r="I3629" t="s">
        <v>94</v>
      </c>
      <c r="J3629" t="s">
        <v>35</v>
      </c>
      <c r="K3629" t="s">
        <v>36</v>
      </c>
      <c r="L3629" t="s">
        <v>45</v>
      </c>
      <c r="M3629">
        <v>0</v>
      </c>
      <c r="N3629">
        <v>1</v>
      </c>
      <c r="O3629" s="5" t="s">
        <v>898</v>
      </c>
      <c r="P3629" s="5"/>
      <c r="Q3629">
        <v>20</v>
      </c>
      <c r="R3629" t="s">
        <v>46</v>
      </c>
      <c r="S3629" t="s">
        <v>39</v>
      </c>
      <c r="T3629">
        <v>28</v>
      </c>
      <c r="W3629">
        <v>12.9</v>
      </c>
      <c r="X3629">
        <v>26.7</v>
      </c>
      <c r="AD3629" t="s">
        <v>899</v>
      </c>
    </row>
    <row r="3630" spans="1:30" x14ac:dyDescent="0.35">
      <c r="A3630" s="4">
        <v>42600</v>
      </c>
      <c r="B3630" t="s">
        <v>30</v>
      </c>
      <c r="C3630">
        <v>203</v>
      </c>
      <c r="D3630">
        <v>1</v>
      </c>
      <c r="E3630">
        <v>1</v>
      </c>
      <c r="F3630" t="s">
        <v>315</v>
      </c>
      <c r="G3630" t="s">
        <v>32</v>
      </c>
      <c r="H3630" t="s">
        <v>33</v>
      </c>
      <c r="I3630" t="s">
        <v>94</v>
      </c>
      <c r="J3630" t="s">
        <v>44</v>
      </c>
      <c r="K3630" t="s">
        <v>36</v>
      </c>
      <c r="L3630" t="s">
        <v>45</v>
      </c>
      <c r="M3630">
        <v>0</v>
      </c>
      <c r="N3630">
        <v>0</v>
      </c>
      <c r="O3630" s="5"/>
      <c r="P3630" s="5" t="s">
        <v>868</v>
      </c>
      <c r="Q3630">
        <f>47-13.5</f>
        <v>33.5</v>
      </c>
      <c r="R3630" t="s">
        <v>145</v>
      </c>
      <c r="S3630" t="s">
        <v>102</v>
      </c>
      <c r="T3630">
        <v>29</v>
      </c>
      <c r="W3630">
        <v>13.1</v>
      </c>
      <c r="X3630">
        <v>25.7</v>
      </c>
      <c r="Z3630" t="s">
        <v>102</v>
      </c>
      <c r="AA3630" t="s">
        <v>201</v>
      </c>
      <c r="AB3630" t="s">
        <v>86</v>
      </c>
      <c r="AC3630" t="s">
        <v>87</v>
      </c>
    </row>
    <row r="3631" spans="1:30" x14ac:dyDescent="0.35">
      <c r="A3631" s="4">
        <v>42600</v>
      </c>
      <c r="B3631" t="s">
        <v>30</v>
      </c>
      <c r="C3631">
        <v>203</v>
      </c>
      <c r="D3631">
        <v>3</v>
      </c>
      <c r="E3631">
        <v>2</v>
      </c>
      <c r="F3631" t="s">
        <v>315</v>
      </c>
      <c r="G3631" t="s">
        <v>32</v>
      </c>
      <c r="H3631" t="s">
        <v>33</v>
      </c>
      <c r="I3631" t="s">
        <v>94</v>
      </c>
      <c r="J3631" t="s">
        <v>44</v>
      </c>
      <c r="K3631" t="s">
        <v>36</v>
      </c>
      <c r="L3631" t="s">
        <v>37</v>
      </c>
      <c r="M3631">
        <v>0</v>
      </c>
      <c r="N3631">
        <v>0</v>
      </c>
      <c r="O3631" s="5"/>
      <c r="P3631" s="5" t="s">
        <v>866</v>
      </c>
      <c r="Q3631">
        <f>47-13</f>
        <v>34</v>
      </c>
      <c r="R3631" t="s">
        <v>64</v>
      </c>
      <c r="T3631">
        <v>31</v>
      </c>
      <c r="W3631">
        <v>13.2</v>
      </c>
      <c r="X3631">
        <v>26.4</v>
      </c>
      <c r="Z3631" t="s">
        <v>102</v>
      </c>
      <c r="AA3631" t="s">
        <v>201</v>
      </c>
      <c r="AB3631" t="s">
        <v>86</v>
      </c>
      <c r="AC3631" t="s">
        <v>87</v>
      </c>
      <c r="AD3631" t="s">
        <v>725</v>
      </c>
    </row>
    <row r="3632" spans="1:30" x14ac:dyDescent="0.35">
      <c r="A3632" s="4">
        <v>42604</v>
      </c>
      <c r="B3632" t="s">
        <v>30</v>
      </c>
      <c r="C3632">
        <v>501</v>
      </c>
      <c r="D3632">
        <v>6</v>
      </c>
      <c r="E3632">
        <v>1</v>
      </c>
      <c r="F3632" t="s">
        <v>315</v>
      </c>
      <c r="G3632" t="s">
        <v>32</v>
      </c>
      <c r="H3632" t="s">
        <v>33</v>
      </c>
      <c r="I3632" t="s">
        <v>43</v>
      </c>
      <c r="J3632" t="s">
        <v>35</v>
      </c>
      <c r="K3632" t="s">
        <v>36</v>
      </c>
      <c r="L3632" t="s">
        <v>45</v>
      </c>
      <c r="M3632">
        <v>0</v>
      </c>
      <c r="N3632">
        <v>1</v>
      </c>
      <c r="O3632" s="5" t="s">
        <v>900</v>
      </c>
      <c r="P3632" s="5" t="s">
        <v>901</v>
      </c>
      <c r="Q3632">
        <f>40-15.5</f>
        <v>24.5</v>
      </c>
      <c r="R3632" t="s">
        <v>46</v>
      </c>
      <c r="S3632" t="s">
        <v>39</v>
      </c>
      <c r="T3632">
        <v>20</v>
      </c>
      <c r="U3632">
        <v>94</v>
      </c>
      <c r="V3632">
        <v>17.5</v>
      </c>
      <c r="W3632">
        <v>13</v>
      </c>
      <c r="X3632">
        <v>26.8</v>
      </c>
      <c r="Z3632" t="s">
        <v>39</v>
      </c>
      <c r="AB3632" t="s">
        <v>86</v>
      </c>
      <c r="AC3632" t="s">
        <v>41</v>
      </c>
      <c r="AD3632" t="s">
        <v>807</v>
      </c>
    </row>
    <row r="3633" spans="1:30" x14ac:dyDescent="0.35">
      <c r="A3633" s="4">
        <v>42604</v>
      </c>
      <c r="B3633" t="s">
        <v>30</v>
      </c>
      <c r="C3633">
        <v>501</v>
      </c>
      <c r="D3633">
        <v>7</v>
      </c>
      <c r="E3633">
        <v>1</v>
      </c>
      <c r="F3633" t="s">
        <v>315</v>
      </c>
      <c r="G3633" t="s">
        <v>32</v>
      </c>
      <c r="H3633" t="s">
        <v>33</v>
      </c>
      <c r="I3633" t="s">
        <v>43</v>
      </c>
      <c r="J3633" t="s">
        <v>35</v>
      </c>
      <c r="K3633" t="s">
        <v>88</v>
      </c>
      <c r="L3633" t="s">
        <v>45</v>
      </c>
      <c r="M3633">
        <v>0</v>
      </c>
      <c r="N3633">
        <v>1</v>
      </c>
      <c r="O3633" s="5" t="s">
        <v>902</v>
      </c>
      <c r="P3633" s="5" t="s">
        <v>903</v>
      </c>
      <c r="Q3633">
        <f>31-15.5</f>
        <v>15.5</v>
      </c>
      <c r="R3633" t="s">
        <v>46</v>
      </c>
      <c r="S3633" t="s">
        <v>39</v>
      </c>
      <c r="T3633">
        <v>19</v>
      </c>
      <c r="U3633">
        <v>80</v>
      </c>
      <c r="V3633">
        <v>16</v>
      </c>
      <c r="W3633">
        <v>13</v>
      </c>
      <c r="X3633">
        <v>26.3</v>
      </c>
      <c r="Z3633" t="s">
        <v>39</v>
      </c>
      <c r="AB3633" t="s">
        <v>86</v>
      </c>
      <c r="AC3633" t="s">
        <v>41</v>
      </c>
      <c r="AD3633" t="s">
        <v>807</v>
      </c>
    </row>
    <row r="3634" spans="1:30" x14ac:dyDescent="0.35">
      <c r="A3634" s="4">
        <v>42604</v>
      </c>
      <c r="B3634" t="s">
        <v>30</v>
      </c>
      <c r="C3634">
        <v>503</v>
      </c>
      <c r="D3634">
        <v>5</v>
      </c>
      <c r="E3634">
        <v>2</v>
      </c>
      <c r="F3634" t="s">
        <v>315</v>
      </c>
      <c r="G3634" t="s">
        <v>32</v>
      </c>
      <c r="H3634" t="s">
        <v>33</v>
      </c>
      <c r="I3634" t="s">
        <v>43</v>
      </c>
      <c r="J3634" t="s">
        <v>35</v>
      </c>
      <c r="K3634" t="s">
        <v>88</v>
      </c>
      <c r="L3634" t="s">
        <v>45</v>
      </c>
      <c r="M3634">
        <v>0</v>
      </c>
      <c r="N3634">
        <v>1</v>
      </c>
      <c r="O3634" s="5" t="s">
        <v>904</v>
      </c>
      <c r="P3634" s="5" t="s">
        <v>905</v>
      </c>
      <c r="Q3634">
        <f>36.5-22</f>
        <v>14.5</v>
      </c>
      <c r="R3634" t="s">
        <v>46</v>
      </c>
      <c r="S3634" t="s">
        <v>39</v>
      </c>
      <c r="T3634">
        <v>19</v>
      </c>
      <c r="U3634">
        <v>78</v>
      </c>
      <c r="V3634">
        <v>16</v>
      </c>
      <c r="Z3634" t="s">
        <v>39</v>
      </c>
      <c r="AB3634" t="s">
        <v>86</v>
      </c>
      <c r="AC3634" t="s">
        <v>41</v>
      </c>
      <c r="AD3634" t="s">
        <v>807</v>
      </c>
    </row>
    <row r="3635" spans="1:30" x14ac:dyDescent="0.35">
      <c r="A3635" s="4">
        <v>42604</v>
      </c>
      <c r="B3635" t="s">
        <v>30</v>
      </c>
      <c r="C3635">
        <v>901</v>
      </c>
      <c r="D3635">
        <v>3</v>
      </c>
      <c r="E3635">
        <v>1</v>
      </c>
      <c r="F3635" t="s">
        <v>42</v>
      </c>
      <c r="G3635" t="s">
        <v>32</v>
      </c>
      <c r="H3635" t="s">
        <v>33</v>
      </c>
      <c r="I3635" t="s">
        <v>43</v>
      </c>
      <c r="J3635" t="s">
        <v>35</v>
      </c>
      <c r="K3635" t="s">
        <v>113</v>
      </c>
      <c r="L3635" t="s">
        <v>37</v>
      </c>
      <c r="M3635">
        <v>0</v>
      </c>
      <c r="N3635">
        <v>1</v>
      </c>
      <c r="O3635" s="5" t="s">
        <v>906</v>
      </c>
      <c r="P3635" s="5" t="s">
        <v>907</v>
      </c>
      <c r="Q3635">
        <v>15</v>
      </c>
      <c r="R3635" t="s">
        <v>64</v>
      </c>
      <c r="T3635">
        <v>20</v>
      </c>
      <c r="U3635">
        <v>92</v>
      </c>
      <c r="V3635">
        <v>17</v>
      </c>
      <c r="W3635">
        <v>13.2</v>
      </c>
      <c r="X3635">
        <v>24.9</v>
      </c>
      <c r="Z3635" t="s">
        <v>102</v>
      </c>
      <c r="AB3635" t="s">
        <v>230</v>
      </c>
      <c r="AC3635" t="s">
        <v>76</v>
      </c>
      <c r="AD3635" t="s">
        <v>908</v>
      </c>
    </row>
    <row r="3636" spans="1:30" x14ac:dyDescent="0.35">
      <c r="A3636" s="4">
        <v>42604</v>
      </c>
      <c r="B3636" t="s">
        <v>30</v>
      </c>
      <c r="C3636">
        <v>801</v>
      </c>
      <c r="D3636">
        <v>8</v>
      </c>
      <c r="E3636">
        <v>2</v>
      </c>
      <c r="F3636" t="s">
        <v>42</v>
      </c>
      <c r="G3636" t="s">
        <v>32</v>
      </c>
      <c r="H3636" t="s">
        <v>33</v>
      </c>
      <c r="I3636" t="s">
        <v>43</v>
      </c>
      <c r="J3636" t="s">
        <v>35</v>
      </c>
      <c r="K3636" t="s">
        <v>88</v>
      </c>
      <c r="L3636" t="s">
        <v>45</v>
      </c>
      <c r="M3636">
        <v>0</v>
      </c>
      <c r="N3636">
        <v>1</v>
      </c>
      <c r="O3636" s="5" t="s">
        <v>909</v>
      </c>
      <c r="P3636" s="5" t="s">
        <v>910</v>
      </c>
      <c r="Q3636">
        <f>25-13</f>
        <v>12</v>
      </c>
      <c r="R3636" t="s">
        <v>46</v>
      </c>
      <c r="S3636" t="s">
        <v>39</v>
      </c>
      <c r="T3636">
        <v>18</v>
      </c>
      <c r="U3636">
        <v>81</v>
      </c>
      <c r="V3636">
        <v>16</v>
      </c>
      <c r="W3636">
        <v>12.9</v>
      </c>
      <c r="X3636">
        <v>25.7</v>
      </c>
      <c r="Y3636" t="s">
        <v>911</v>
      </c>
      <c r="AB3636" t="s">
        <v>230</v>
      </c>
      <c r="AC3636" t="s">
        <v>76</v>
      </c>
    </row>
    <row r="3637" spans="1:30" x14ac:dyDescent="0.35">
      <c r="A3637" s="4">
        <v>42604</v>
      </c>
      <c r="B3637" t="s">
        <v>30</v>
      </c>
      <c r="C3637">
        <v>801</v>
      </c>
      <c r="D3637">
        <v>7</v>
      </c>
      <c r="E3637">
        <v>1</v>
      </c>
      <c r="F3637" t="s">
        <v>42</v>
      </c>
      <c r="G3637" t="s">
        <v>32</v>
      </c>
      <c r="H3637" t="s">
        <v>33</v>
      </c>
      <c r="I3637" t="s">
        <v>43</v>
      </c>
      <c r="J3637" t="s">
        <v>35</v>
      </c>
      <c r="K3637" t="s">
        <v>113</v>
      </c>
      <c r="L3637" t="s">
        <v>37</v>
      </c>
      <c r="M3637">
        <v>0</v>
      </c>
      <c r="N3637">
        <v>1</v>
      </c>
      <c r="O3637" s="5" t="s">
        <v>912</v>
      </c>
      <c r="P3637" s="5" t="s">
        <v>913</v>
      </c>
      <c r="Q3637">
        <f>27.5-13</f>
        <v>14.5</v>
      </c>
      <c r="R3637" t="s">
        <v>64</v>
      </c>
      <c r="T3637">
        <v>19</v>
      </c>
      <c r="U3637">
        <v>85</v>
      </c>
      <c r="V3637">
        <v>16.5</v>
      </c>
      <c r="W3637">
        <v>13.2</v>
      </c>
      <c r="X3637">
        <v>26.1</v>
      </c>
      <c r="AB3637" t="s">
        <v>230</v>
      </c>
      <c r="AC3637" t="s">
        <v>76</v>
      </c>
    </row>
    <row r="3638" spans="1:30" x14ac:dyDescent="0.35">
      <c r="A3638" s="4">
        <v>42604</v>
      </c>
      <c r="B3638" t="s">
        <v>30</v>
      </c>
      <c r="C3638">
        <v>701</v>
      </c>
      <c r="D3638">
        <v>9</v>
      </c>
      <c r="E3638">
        <v>2</v>
      </c>
      <c r="F3638" t="s">
        <v>42</v>
      </c>
      <c r="G3638" t="s">
        <v>32</v>
      </c>
      <c r="H3638" t="s">
        <v>33</v>
      </c>
      <c r="I3638" t="s">
        <v>43</v>
      </c>
      <c r="J3638" t="s">
        <v>44</v>
      </c>
      <c r="K3638" t="s">
        <v>113</v>
      </c>
      <c r="L3638" t="s">
        <v>37</v>
      </c>
      <c r="M3638">
        <v>0</v>
      </c>
      <c r="N3638">
        <v>0</v>
      </c>
      <c r="O3638" s="5" t="s">
        <v>547</v>
      </c>
      <c r="P3638" s="5" t="s">
        <v>548</v>
      </c>
      <c r="Q3638">
        <f>34-16</f>
        <v>18</v>
      </c>
      <c r="R3638" t="s">
        <v>64</v>
      </c>
      <c r="T3638">
        <v>19</v>
      </c>
      <c r="U3638">
        <v>85</v>
      </c>
      <c r="V3638">
        <v>15.5</v>
      </c>
      <c r="W3638">
        <v>13.1</v>
      </c>
      <c r="X3638">
        <v>26.6</v>
      </c>
      <c r="Z3638" t="s">
        <v>102</v>
      </c>
      <c r="AB3638" t="s">
        <v>230</v>
      </c>
      <c r="AC3638" t="s">
        <v>76</v>
      </c>
    </row>
    <row r="3639" spans="1:30" x14ac:dyDescent="0.35">
      <c r="A3639" s="4">
        <v>42604</v>
      </c>
      <c r="B3639" t="s">
        <v>30</v>
      </c>
      <c r="C3639">
        <v>701</v>
      </c>
      <c r="D3639">
        <v>6</v>
      </c>
      <c r="E3639">
        <v>2</v>
      </c>
      <c r="F3639" t="s">
        <v>42</v>
      </c>
      <c r="G3639" t="s">
        <v>32</v>
      </c>
      <c r="H3639" t="s">
        <v>33</v>
      </c>
      <c r="I3639" t="s">
        <v>43</v>
      </c>
      <c r="J3639" t="s">
        <v>44</v>
      </c>
      <c r="K3639" t="s">
        <v>113</v>
      </c>
      <c r="L3639" t="s">
        <v>37</v>
      </c>
      <c r="M3639">
        <v>0</v>
      </c>
      <c r="N3639">
        <v>0</v>
      </c>
      <c r="O3639" s="5" t="s">
        <v>617</v>
      </c>
      <c r="P3639" s="5" t="s">
        <v>618</v>
      </c>
      <c r="Q3639">
        <f>30.5-15</f>
        <v>15.5</v>
      </c>
      <c r="R3639" t="s">
        <v>64</v>
      </c>
      <c r="T3639">
        <v>19</v>
      </c>
      <c r="U3639">
        <v>85</v>
      </c>
      <c r="V3639">
        <v>16</v>
      </c>
      <c r="W3639">
        <v>12.6</v>
      </c>
      <c r="X3639">
        <v>25.3</v>
      </c>
      <c r="Y3639" t="s">
        <v>914</v>
      </c>
      <c r="Z3639" t="s">
        <v>102</v>
      </c>
      <c r="AB3639" t="s">
        <v>230</v>
      </c>
      <c r="AC3639" t="s">
        <v>76</v>
      </c>
    </row>
    <row r="3640" spans="1:30" x14ac:dyDescent="0.35">
      <c r="A3640" s="4">
        <v>42604</v>
      </c>
      <c r="B3640" t="s">
        <v>30</v>
      </c>
      <c r="C3640">
        <v>401</v>
      </c>
      <c r="D3640">
        <v>3</v>
      </c>
      <c r="E3640">
        <v>1</v>
      </c>
      <c r="F3640" t="s">
        <v>315</v>
      </c>
      <c r="G3640" t="s">
        <v>32</v>
      </c>
      <c r="H3640" t="s">
        <v>33</v>
      </c>
      <c r="I3640" t="s">
        <v>43</v>
      </c>
      <c r="J3640" t="s">
        <v>44</v>
      </c>
      <c r="K3640" t="s">
        <v>112</v>
      </c>
      <c r="L3640" t="s">
        <v>37</v>
      </c>
      <c r="M3640">
        <v>0</v>
      </c>
      <c r="N3640">
        <v>0</v>
      </c>
      <c r="O3640" s="5" t="s">
        <v>690</v>
      </c>
      <c r="P3640" s="5" t="s">
        <v>691</v>
      </c>
      <c r="Q3640">
        <f>32-15</f>
        <v>17</v>
      </c>
      <c r="R3640" t="s">
        <v>64</v>
      </c>
      <c r="T3640">
        <v>18</v>
      </c>
      <c r="U3640">
        <v>95</v>
      </c>
      <c r="V3640">
        <v>16</v>
      </c>
      <c r="W3640">
        <v>13</v>
      </c>
      <c r="X3640">
        <v>26.9</v>
      </c>
      <c r="Z3640" t="s">
        <v>102</v>
      </c>
      <c r="AA3640" t="s">
        <v>201</v>
      </c>
      <c r="AB3640" t="s">
        <v>86</v>
      </c>
      <c r="AC3640" t="s">
        <v>41</v>
      </c>
      <c r="AD3640" t="s">
        <v>915</v>
      </c>
    </row>
    <row r="3641" spans="1:30" x14ac:dyDescent="0.35">
      <c r="A3641" s="4">
        <v>42604</v>
      </c>
      <c r="B3641" t="s">
        <v>30</v>
      </c>
      <c r="C3641">
        <v>701</v>
      </c>
      <c r="D3641">
        <v>1</v>
      </c>
      <c r="E3641">
        <v>2</v>
      </c>
      <c r="F3641" t="s">
        <v>42</v>
      </c>
      <c r="G3641" t="s">
        <v>32</v>
      </c>
      <c r="H3641" t="s">
        <v>33</v>
      </c>
      <c r="I3641" t="s">
        <v>43</v>
      </c>
      <c r="J3641" t="s">
        <v>44</v>
      </c>
      <c r="K3641" t="s">
        <v>113</v>
      </c>
      <c r="L3641" t="s">
        <v>37</v>
      </c>
      <c r="M3641">
        <v>0</v>
      </c>
      <c r="N3641">
        <v>0</v>
      </c>
      <c r="O3641" s="5" t="s">
        <v>562</v>
      </c>
      <c r="P3641" s="5" t="s">
        <v>563</v>
      </c>
      <c r="Q3641">
        <f>33-17</f>
        <v>16</v>
      </c>
      <c r="R3641" t="s">
        <v>64</v>
      </c>
      <c r="T3641">
        <v>19</v>
      </c>
      <c r="U3641">
        <v>82</v>
      </c>
      <c r="V3641">
        <v>17</v>
      </c>
      <c r="W3641">
        <v>15</v>
      </c>
      <c r="X3641">
        <v>25.5</v>
      </c>
      <c r="Z3641" t="s">
        <v>102</v>
      </c>
      <c r="AB3641" t="s">
        <v>230</v>
      </c>
      <c r="AC3641" t="s">
        <v>76</v>
      </c>
    </row>
    <row r="3642" spans="1:30" x14ac:dyDescent="0.35">
      <c r="A3642" s="4">
        <v>42604</v>
      </c>
      <c r="B3642" t="s">
        <v>30</v>
      </c>
      <c r="C3642">
        <v>701</v>
      </c>
      <c r="D3642">
        <v>3</v>
      </c>
      <c r="E3642">
        <v>2</v>
      </c>
      <c r="F3642" t="s">
        <v>42</v>
      </c>
      <c r="G3642" t="s">
        <v>32</v>
      </c>
      <c r="H3642" t="s">
        <v>33</v>
      </c>
      <c r="I3642" t="s">
        <v>43</v>
      </c>
      <c r="J3642" t="s">
        <v>44</v>
      </c>
      <c r="K3642" t="s">
        <v>113</v>
      </c>
      <c r="L3642" t="s">
        <v>37</v>
      </c>
      <c r="M3642">
        <v>0</v>
      </c>
      <c r="N3642">
        <v>0</v>
      </c>
      <c r="O3642" s="5" t="s">
        <v>565</v>
      </c>
      <c r="P3642" s="5" t="s">
        <v>566</v>
      </c>
      <c r="Q3642">
        <f>30-13</f>
        <v>17</v>
      </c>
      <c r="R3642" t="s">
        <v>64</v>
      </c>
      <c r="T3642">
        <v>18</v>
      </c>
      <c r="U3642">
        <v>80</v>
      </c>
      <c r="V3642">
        <v>16</v>
      </c>
      <c r="W3642">
        <v>12.8</v>
      </c>
      <c r="X3642">
        <v>25.2</v>
      </c>
      <c r="Y3642" t="s">
        <v>916</v>
      </c>
      <c r="Z3642" t="s">
        <v>102</v>
      </c>
      <c r="AB3642" t="s">
        <v>230</v>
      </c>
      <c r="AC3642" t="s">
        <v>76</v>
      </c>
    </row>
    <row r="3643" spans="1:30" x14ac:dyDescent="0.35">
      <c r="A3643" s="4">
        <v>42604</v>
      </c>
      <c r="B3643" t="s">
        <v>30</v>
      </c>
      <c r="C3643">
        <v>303</v>
      </c>
      <c r="D3643">
        <v>7</v>
      </c>
      <c r="E3643">
        <v>1</v>
      </c>
      <c r="F3643" t="s">
        <v>315</v>
      </c>
      <c r="G3643" t="s">
        <v>32</v>
      </c>
      <c r="H3643" t="s">
        <v>33</v>
      </c>
      <c r="I3643" t="s">
        <v>43</v>
      </c>
      <c r="J3643" t="s">
        <v>44</v>
      </c>
      <c r="K3643" t="s">
        <v>113</v>
      </c>
      <c r="L3643" t="s">
        <v>37</v>
      </c>
      <c r="M3643">
        <v>0</v>
      </c>
      <c r="N3643">
        <v>0</v>
      </c>
      <c r="O3643" s="5" t="s">
        <v>570</v>
      </c>
      <c r="P3643" s="5" t="s">
        <v>571</v>
      </c>
      <c r="Q3643">
        <f>43-24.5</f>
        <v>18.5</v>
      </c>
      <c r="R3643" t="s">
        <v>38</v>
      </c>
      <c r="T3643">
        <v>19</v>
      </c>
      <c r="U3643">
        <v>79</v>
      </c>
      <c r="V3643">
        <v>17</v>
      </c>
      <c r="W3643">
        <v>13</v>
      </c>
      <c r="X3643">
        <v>27.4</v>
      </c>
      <c r="Z3643" t="s">
        <v>102</v>
      </c>
      <c r="AA3643" t="s">
        <v>201</v>
      </c>
      <c r="AB3643" t="s">
        <v>86</v>
      </c>
      <c r="AC3643" t="s">
        <v>41</v>
      </c>
    </row>
    <row r="3644" spans="1:30" x14ac:dyDescent="0.35">
      <c r="A3644" s="4">
        <v>42604</v>
      </c>
      <c r="B3644" t="s">
        <v>30</v>
      </c>
      <c r="C3644">
        <v>703</v>
      </c>
      <c r="D3644">
        <v>10</v>
      </c>
      <c r="E3644">
        <v>2</v>
      </c>
      <c r="F3644" t="s">
        <v>42</v>
      </c>
      <c r="G3644" t="s">
        <v>32</v>
      </c>
      <c r="H3644" t="s">
        <v>33</v>
      </c>
      <c r="I3644" t="s">
        <v>43</v>
      </c>
      <c r="J3644" t="s">
        <v>44</v>
      </c>
      <c r="K3644" t="s">
        <v>113</v>
      </c>
      <c r="L3644" t="s">
        <v>45</v>
      </c>
      <c r="M3644">
        <v>0</v>
      </c>
      <c r="N3644">
        <v>0</v>
      </c>
      <c r="O3644" s="5" t="s">
        <v>633</v>
      </c>
      <c r="P3644" s="5" t="s">
        <v>634</v>
      </c>
      <c r="Q3644">
        <f>27-13</f>
        <v>14</v>
      </c>
      <c r="R3644" t="s">
        <v>46</v>
      </c>
      <c r="S3644" t="s">
        <v>39</v>
      </c>
      <c r="T3644">
        <v>18</v>
      </c>
      <c r="U3644">
        <v>74.5</v>
      </c>
      <c r="V3644">
        <v>14</v>
      </c>
      <c r="W3644">
        <v>12.7</v>
      </c>
      <c r="X3644">
        <v>24.2</v>
      </c>
      <c r="AB3644" t="s">
        <v>230</v>
      </c>
      <c r="AC3644" t="s">
        <v>76</v>
      </c>
    </row>
    <row r="3645" spans="1:30" x14ac:dyDescent="0.35">
      <c r="A3645" s="4">
        <v>42604</v>
      </c>
      <c r="B3645" t="s">
        <v>30</v>
      </c>
      <c r="C3645">
        <v>703</v>
      </c>
      <c r="D3645">
        <v>3</v>
      </c>
      <c r="E3645">
        <v>2</v>
      </c>
      <c r="F3645" t="s">
        <v>42</v>
      </c>
      <c r="G3645" t="s">
        <v>32</v>
      </c>
      <c r="H3645" t="s">
        <v>33</v>
      </c>
      <c r="I3645" t="s">
        <v>43</v>
      </c>
      <c r="J3645" t="s">
        <v>44</v>
      </c>
      <c r="K3645" t="s">
        <v>113</v>
      </c>
      <c r="L3645" t="s">
        <v>45</v>
      </c>
      <c r="M3645">
        <v>0</v>
      </c>
      <c r="N3645">
        <v>0</v>
      </c>
      <c r="O3645" s="5" t="s">
        <v>635</v>
      </c>
      <c r="P3645" s="5" t="s">
        <v>636</v>
      </c>
      <c r="Q3645">
        <f>27-12.5</f>
        <v>14.5</v>
      </c>
      <c r="R3645" t="s">
        <v>46</v>
      </c>
      <c r="S3645" t="s">
        <v>39</v>
      </c>
      <c r="T3645">
        <v>19</v>
      </c>
      <c r="U3645">
        <v>76</v>
      </c>
      <c r="V3645">
        <v>15</v>
      </c>
      <c r="W3645">
        <v>12.7</v>
      </c>
      <c r="X3645">
        <v>26</v>
      </c>
      <c r="Z3645" t="s">
        <v>102</v>
      </c>
      <c r="AB3645" t="s">
        <v>230</v>
      </c>
      <c r="AC3645" t="s">
        <v>76</v>
      </c>
    </row>
    <row r="3646" spans="1:30" x14ac:dyDescent="0.35">
      <c r="A3646" s="4">
        <v>42604</v>
      </c>
      <c r="B3646" t="s">
        <v>30</v>
      </c>
      <c r="C3646">
        <v>703</v>
      </c>
      <c r="D3646">
        <v>1</v>
      </c>
      <c r="E3646">
        <v>2</v>
      </c>
      <c r="F3646" t="s">
        <v>42</v>
      </c>
      <c r="G3646" t="s">
        <v>32</v>
      </c>
      <c r="H3646" t="s">
        <v>33</v>
      </c>
      <c r="I3646" t="s">
        <v>43</v>
      </c>
      <c r="J3646" t="s">
        <v>66</v>
      </c>
      <c r="O3646" s="5" t="s">
        <v>574</v>
      </c>
      <c r="P3646" s="5" t="s">
        <v>575</v>
      </c>
    </row>
    <row r="3647" spans="1:30" x14ac:dyDescent="0.35">
      <c r="A3647" s="4">
        <v>42604</v>
      </c>
      <c r="B3647" t="s">
        <v>30</v>
      </c>
      <c r="C3647">
        <v>701</v>
      </c>
      <c r="D3647">
        <v>6</v>
      </c>
      <c r="E3647">
        <v>1</v>
      </c>
      <c r="F3647" t="s">
        <v>42</v>
      </c>
      <c r="G3647" t="s">
        <v>32</v>
      </c>
      <c r="H3647" t="s">
        <v>33</v>
      </c>
      <c r="I3647" t="s">
        <v>43</v>
      </c>
      <c r="J3647" t="s">
        <v>44</v>
      </c>
      <c r="K3647" t="s">
        <v>36</v>
      </c>
      <c r="L3647" t="s">
        <v>45</v>
      </c>
      <c r="M3647">
        <v>0</v>
      </c>
      <c r="N3647">
        <v>0</v>
      </c>
      <c r="O3647" s="5" t="s">
        <v>576</v>
      </c>
      <c r="P3647" s="5" t="s">
        <v>577</v>
      </c>
      <c r="Q3647">
        <f>36-15.5</f>
        <v>20.5</v>
      </c>
      <c r="R3647" t="s">
        <v>46</v>
      </c>
      <c r="S3647" t="s">
        <v>39</v>
      </c>
      <c r="T3647">
        <v>18</v>
      </c>
      <c r="U3647">
        <v>86</v>
      </c>
      <c r="V3647">
        <v>14</v>
      </c>
      <c r="W3647">
        <v>13</v>
      </c>
      <c r="X3647">
        <v>26.4</v>
      </c>
      <c r="Z3647" t="s">
        <v>102</v>
      </c>
      <c r="AB3647" t="s">
        <v>230</v>
      </c>
      <c r="AC3647" t="s">
        <v>76</v>
      </c>
      <c r="AD3647" t="s">
        <v>520</v>
      </c>
    </row>
    <row r="3648" spans="1:30" x14ac:dyDescent="0.35">
      <c r="A3648" s="4">
        <v>42604</v>
      </c>
      <c r="B3648" t="s">
        <v>30</v>
      </c>
      <c r="C3648">
        <v>701</v>
      </c>
      <c r="D3648">
        <v>5</v>
      </c>
      <c r="E3648">
        <v>2</v>
      </c>
      <c r="F3648" t="s">
        <v>42</v>
      </c>
      <c r="G3648" t="s">
        <v>32</v>
      </c>
      <c r="H3648" t="s">
        <v>33</v>
      </c>
      <c r="I3648" t="s">
        <v>43</v>
      </c>
      <c r="J3648" t="s">
        <v>44</v>
      </c>
      <c r="K3648" t="s">
        <v>113</v>
      </c>
      <c r="L3648" t="s">
        <v>37</v>
      </c>
      <c r="M3648">
        <v>0</v>
      </c>
      <c r="N3648">
        <v>0</v>
      </c>
      <c r="O3648" s="5" t="s">
        <v>578</v>
      </c>
      <c r="P3648" s="5" t="s">
        <v>579</v>
      </c>
      <c r="Q3648">
        <f>33-15</f>
        <v>18</v>
      </c>
      <c r="R3648" t="s">
        <v>64</v>
      </c>
      <c r="T3648">
        <v>19</v>
      </c>
      <c r="U3648">
        <v>85</v>
      </c>
      <c r="V3648">
        <v>17</v>
      </c>
      <c r="W3648">
        <v>13.1</v>
      </c>
      <c r="X3648">
        <v>28.2</v>
      </c>
      <c r="Z3648" t="s">
        <v>102</v>
      </c>
      <c r="AB3648" t="s">
        <v>230</v>
      </c>
      <c r="AC3648" t="s">
        <v>76</v>
      </c>
    </row>
    <row r="3649" spans="1:30" x14ac:dyDescent="0.35">
      <c r="A3649" s="4">
        <v>42604</v>
      </c>
      <c r="B3649" t="s">
        <v>30</v>
      </c>
      <c r="C3649">
        <v>703</v>
      </c>
      <c r="D3649">
        <v>9</v>
      </c>
      <c r="E3649">
        <v>2</v>
      </c>
      <c r="F3649" t="s">
        <v>42</v>
      </c>
      <c r="G3649" t="s">
        <v>32</v>
      </c>
      <c r="H3649" t="s">
        <v>33</v>
      </c>
      <c r="I3649" t="s">
        <v>43</v>
      </c>
      <c r="J3649" t="s">
        <v>44</v>
      </c>
      <c r="K3649" t="s">
        <v>36</v>
      </c>
      <c r="L3649" t="s">
        <v>37</v>
      </c>
      <c r="M3649">
        <v>0</v>
      </c>
      <c r="N3649">
        <v>0</v>
      </c>
      <c r="O3649" s="5" t="s">
        <v>582</v>
      </c>
      <c r="P3649" s="5" t="s">
        <v>583</v>
      </c>
      <c r="Q3649">
        <f>36.5-14</f>
        <v>22.5</v>
      </c>
      <c r="R3649" t="s">
        <v>64</v>
      </c>
      <c r="T3649">
        <v>20</v>
      </c>
      <c r="U3649">
        <v>94</v>
      </c>
      <c r="V3649">
        <v>19</v>
      </c>
      <c r="W3649">
        <v>13.8</v>
      </c>
      <c r="X3649">
        <v>27.5</v>
      </c>
      <c r="Y3649" t="s">
        <v>917</v>
      </c>
      <c r="AB3649" t="s">
        <v>230</v>
      </c>
      <c r="AC3649" t="s">
        <v>76</v>
      </c>
    </row>
    <row r="3650" spans="1:30" x14ac:dyDescent="0.35">
      <c r="A3650" s="4">
        <v>42604</v>
      </c>
      <c r="B3650" t="s">
        <v>30</v>
      </c>
      <c r="C3650">
        <v>801</v>
      </c>
      <c r="D3650">
        <v>9</v>
      </c>
      <c r="E3650">
        <v>1</v>
      </c>
      <c r="F3650" t="s">
        <v>42</v>
      </c>
      <c r="G3650" t="s">
        <v>32</v>
      </c>
      <c r="H3650" t="s">
        <v>33</v>
      </c>
      <c r="I3650" t="s">
        <v>43</v>
      </c>
      <c r="J3650" t="s">
        <v>44</v>
      </c>
      <c r="K3650" t="s">
        <v>113</v>
      </c>
      <c r="L3650" t="s">
        <v>45</v>
      </c>
      <c r="M3650">
        <v>0</v>
      </c>
      <c r="N3650">
        <v>0</v>
      </c>
      <c r="O3650" s="5" t="s">
        <v>703</v>
      </c>
      <c r="P3650" s="5" t="s">
        <v>704</v>
      </c>
      <c r="Q3650">
        <f>33.5-15.5</f>
        <v>18</v>
      </c>
      <c r="R3650" t="s">
        <v>46</v>
      </c>
      <c r="S3650" t="s">
        <v>39</v>
      </c>
      <c r="T3650">
        <v>19</v>
      </c>
      <c r="U3650">
        <v>84</v>
      </c>
      <c r="V3650">
        <v>16</v>
      </c>
      <c r="W3650">
        <v>12.85</v>
      </c>
      <c r="X3650">
        <v>27.3</v>
      </c>
      <c r="AB3650" t="s">
        <v>230</v>
      </c>
      <c r="AC3650" t="s">
        <v>76</v>
      </c>
    </row>
    <row r="3651" spans="1:30" x14ac:dyDescent="0.35">
      <c r="A3651" s="4">
        <v>42604</v>
      </c>
      <c r="B3651" t="s">
        <v>30</v>
      </c>
      <c r="C3651">
        <v>503</v>
      </c>
      <c r="D3651">
        <v>3</v>
      </c>
      <c r="E3651">
        <v>1</v>
      </c>
      <c r="F3651" t="s">
        <v>315</v>
      </c>
      <c r="G3651" t="s">
        <v>32</v>
      </c>
      <c r="H3651" t="s">
        <v>33</v>
      </c>
      <c r="I3651" t="s">
        <v>43</v>
      </c>
      <c r="J3651" t="s">
        <v>44</v>
      </c>
      <c r="K3651" t="s">
        <v>88</v>
      </c>
      <c r="L3651" t="s">
        <v>37</v>
      </c>
      <c r="M3651">
        <v>0</v>
      </c>
      <c r="N3651">
        <v>0</v>
      </c>
      <c r="O3651" s="5"/>
      <c r="P3651" s="5" t="s">
        <v>697</v>
      </c>
      <c r="Q3651">
        <f>32-17</f>
        <v>15</v>
      </c>
      <c r="R3651" t="s">
        <v>64</v>
      </c>
      <c r="T3651">
        <v>19</v>
      </c>
      <c r="U3651">
        <v>84</v>
      </c>
      <c r="V3651">
        <v>17</v>
      </c>
      <c r="W3651">
        <v>12.9</v>
      </c>
      <c r="X3651">
        <v>26.4</v>
      </c>
      <c r="Z3651" t="s">
        <v>39</v>
      </c>
      <c r="AB3651" t="s">
        <v>86</v>
      </c>
      <c r="AC3651" t="s">
        <v>41</v>
      </c>
      <c r="AD3651" t="s">
        <v>893</v>
      </c>
    </row>
    <row r="3652" spans="1:30" x14ac:dyDescent="0.35">
      <c r="A3652" s="4">
        <v>42604</v>
      </c>
      <c r="B3652" t="s">
        <v>30</v>
      </c>
      <c r="C3652">
        <v>303</v>
      </c>
      <c r="D3652">
        <v>2</v>
      </c>
      <c r="E3652">
        <v>2</v>
      </c>
      <c r="F3652" t="s">
        <v>315</v>
      </c>
      <c r="G3652" t="s">
        <v>32</v>
      </c>
      <c r="H3652" t="s">
        <v>33</v>
      </c>
      <c r="I3652" t="s">
        <v>58</v>
      </c>
      <c r="J3652" t="s">
        <v>35</v>
      </c>
      <c r="K3652" t="s">
        <v>36</v>
      </c>
      <c r="L3652" t="s">
        <v>37</v>
      </c>
      <c r="M3652">
        <v>0</v>
      </c>
      <c r="N3652">
        <v>1</v>
      </c>
      <c r="O3652" s="5" t="s">
        <v>918</v>
      </c>
      <c r="P3652" s="5"/>
      <c r="Q3652">
        <f>39-14</f>
        <v>25</v>
      </c>
      <c r="R3652" t="s">
        <v>38</v>
      </c>
      <c r="T3652">
        <v>17.5</v>
      </c>
      <c r="W3652">
        <v>13.3</v>
      </c>
      <c r="X3652">
        <v>27.5</v>
      </c>
      <c r="Z3652" t="s">
        <v>102</v>
      </c>
      <c r="AA3652" t="s">
        <v>201</v>
      </c>
      <c r="AB3652" t="s">
        <v>86</v>
      </c>
      <c r="AC3652" t="s">
        <v>41</v>
      </c>
      <c r="AD3652" t="s">
        <v>807</v>
      </c>
    </row>
    <row r="3653" spans="1:30" x14ac:dyDescent="0.35">
      <c r="A3653" s="4">
        <v>42604</v>
      </c>
      <c r="B3653" t="s">
        <v>30</v>
      </c>
      <c r="C3653">
        <v>303</v>
      </c>
      <c r="D3653">
        <v>4</v>
      </c>
      <c r="E3653">
        <v>1</v>
      </c>
      <c r="F3653" t="s">
        <v>315</v>
      </c>
      <c r="G3653" t="s">
        <v>32</v>
      </c>
      <c r="H3653" t="s">
        <v>33</v>
      </c>
      <c r="I3653" t="s">
        <v>58</v>
      </c>
      <c r="J3653" t="s">
        <v>35</v>
      </c>
      <c r="K3653" t="s">
        <v>36</v>
      </c>
      <c r="L3653" t="s">
        <v>37</v>
      </c>
      <c r="M3653">
        <v>0</v>
      </c>
      <c r="N3653">
        <v>1</v>
      </c>
      <c r="O3653" s="5" t="s">
        <v>919</v>
      </c>
      <c r="P3653" s="5"/>
      <c r="Q3653">
        <f>32.5-14</f>
        <v>18.5</v>
      </c>
      <c r="R3653" t="s">
        <v>38</v>
      </c>
      <c r="T3653">
        <v>18</v>
      </c>
      <c r="W3653">
        <v>12.9</v>
      </c>
      <c r="X3653">
        <v>26.2</v>
      </c>
      <c r="Z3653" t="s">
        <v>102</v>
      </c>
      <c r="AA3653" t="s">
        <v>201</v>
      </c>
      <c r="AB3653" t="s">
        <v>86</v>
      </c>
      <c r="AC3653" t="s">
        <v>41</v>
      </c>
      <c r="AD3653" t="s">
        <v>807</v>
      </c>
    </row>
    <row r="3654" spans="1:30" x14ac:dyDescent="0.35">
      <c r="A3654" s="4">
        <v>42604</v>
      </c>
      <c r="B3654" t="s">
        <v>30</v>
      </c>
      <c r="C3654">
        <v>303</v>
      </c>
      <c r="D3654">
        <v>6</v>
      </c>
      <c r="E3654">
        <v>2</v>
      </c>
      <c r="F3654" t="s">
        <v>315</v>
      </c>
      <c r="G3654" t="s">
        <v>32</v>
      </c>
      <c r="H3654" t="s">
        <v>33</v>
      </c>
      <c r="I3654" t="s">
        <v>58</v>
      </c>
      <c r="J3654" t="s">
        <v>35</v>
      </c>
      <c r="K3654" t="s">
        <v>36</v>
      </c>
      <c r="L3654" t="s">
        <v>37</v>
      </c>
      <c r="M3654">
        <v>0</v>
      </c>
      <c r="N3654">
        <v>1</v>
      </c>
      <c r="O3654" s="5" t="s">
        <v>920</v>
      </c>
      <c r="P3654" s="5"/>
      <c r="Q3654">
        <f>45-16.5</f>
        <v>28.5</v>
      </c>
      <c r="R3654" t="s">
        <v>38</v>
      </c>
      <c r="T3654">
        <v>17</v>
      </c>
      <c r="W3654">
        <v>12.9</v>
      </c>
      <c r="X3654">
        <v>27</v>
      </c>
      <c r="Z3654" t="s">
        <v>102</v>
      </c>
      <c r="AA3654" t="s">
        <v>201</v>
      </c>
      <c r="AB3654" t="s">
        <v>86</v>
      </c>
      <c r="AC3654" t="s">
        <v>41</v>
      </c>
      <c r="AD3654" t="s">
        <v>807</v>
      </c>
    </row>
    <row r="3655" spans="1:30" x14ac:dyDescent="0.35">
      <c r="A3655" s="4">
        <v>42604</v>
      </c>
      <c r="B3655" t="s">
        <v>30</v>
      </c>
      <c r="C3655">
        <v>303</v>
      </c>
      <c r="D3655">
        <v>10</v>
      </c>
      <c r="E3655">
        <v>2</v>
      </c>
      <c r="F3655" t="s">
        <v>315</v>
      </c>
      <c r="G3655" t="s">
        <v>32</v>
      </c>
      <c r="H3655" t="s">
        <v>33</v>
      </c>
      <c r="I3655" t="s">
        <v>58</v>
      </c>
      <c r="J3655" t="s">
        <v>35</v>
      </c>
      <c r="K3655" t="s">
        <v>36</v>
      </c>
      <c r="L3655" t="s">
        <v>37</v>
      </c>
      <c r="M3655">
        <v>0</v>
      </c>
      <c r="N3655">
        <v>1</v>
      </c>
      <c r="O3655" s="5" t="s">
        <v>921</v>
      </c>
      <c r="P3655" s="5"/>
      <c r="R3655" t="s">
        <v>38</v>
      </c>
      <c r="T3655">
        <v>17</v>
      </c>
      <c r="W3655">
        <v>13</v>
      </c>
      <c r="X3655">
        <v>26.4</v>
      </c>
      <c r="Z3655" t="s">
        <v>102</v>
      </c>
      <c r="AA3655" t="s">
        <v>201</v>
      </c>
      <c r="AB3655" t="s">
        <v>86</v>
      </c>
      <c r="AC3655" t="s">
        <v>41</v>
      </c>
      <c r="AD3655" t="s">
        <v>922</v>
      </c>
    </row>
    <row r="3656" spans="1:30" x14ac:dyDescent="0.35">
      <c r="A3656" s="4">
        <v>42604</v>
      </c>
      <c r="B3656" t="s">
        <v>30</v>
      </c>
      <c r="C3656">
        <v>401</v>
      </c>
      <c r="D3656">
        <v>10</v>
      </c>
      <c r="E3656">
        <v>2</v>
      </c>
      <c r="F3656" t="s">
        <v>315</v>
      </c>
      <c r="G3656" t="s">
        <v>32</v>
      </c>
      <c r="H3656" t="s">
        <v>33</v>
      </c>
      <c r="I3656" t="s">
        <v>58</v>
      </c>
      <c r="J3656" t="s">
        <v>35</v>
      </c>
      <c r="K3656" t="s">
        <v>36</v>
      </c>
      <c r="L3656" t="s">
        <v>37</v>
      </c>
      <c r="M3656">
        <v>0</v>
      </c>
      <c r="N3656">
        <v>1</v>
      </c>
      <c r="O3656" s="5" t="s">
        <v>923</v>
      </c>
      <c r="P3656" s="5"/>
      <c r="Q3656">
        <f>40-20.5</f>
        <v>19.5</v>
      </c>
      <c r="R3656" t="s">
        <v>64</v>
      </c>
      <c r="T3656">
        <v>16.5</v>
      </c>
      <c r="W3656">
        <v>12.9</v>
      </c>
      <c r="X3656">
        <v>26</v>
      </c>
      <c r="Z3656" t="s">
        <v>102</v>
      </c>
      <c r="AA3656" t="s">
        <v>924</v>
      </c>
      <c r="AB3656" t="s">
        <v>86</v>
      </c>
      <c r="AC3656" t="s">
        <v>41</v>
      </c>
      <c r="AD3656" t="s">
        <v>807</v>
      </c>
    </row>
    <row r="3657" spans="1:30" x14ac:dyDescent="0.35">
      <c r="A3657" s="4">
        <v>42604</v>
      </c>
      <c r="B3657" t="s">
        <v>30</v>
      </c>
      <c r="C3657">
        <v>501</v>
      </c>
      <c r="D3657">
        <v>4</v>
      </c>
      <c r="E3657">
        <v>1</v>
      </c>
      <c r="F3657" t="s">
        <v>315</v>
      </c>
      <c r="G3657" t="s">
        <v>32</v>
      </c>
      <c r="H3657" t="s">
        <v>33</v>
      </c>
      <c r="I3657" t="s">
        <v>58</v>
      </c>
      <c r="J3657" t="s">
        <v>35</v>
      </c>
      <c r="K3657" t="s">
        <v>88</v>
      </c>
      <c r="L3657" t="s">
        <v>37</v>
      </c>
      <c r="M3657">
        <v>0</v>
      </c>
      <c r="N3657">
        <v>1</v>
      </c>
      <c r="O3657" s="5" t="s">
        <v>925</v>
      </c>
      <c r="P3657" s="5"/>
      <c r="Q3657">
        <f>27-13.5</f>
        <v>13.5</v>
      </c>
      <c r="R3657" t="s">
        <v>46</v>
      </c>
      <c r="S3657" t="s">
        <v>39</v>
      </c>
      <c r="T3657">
        <v>17</v>
      </c>
      <c r="W3657">
        <v>12.9</v>
      </c>
      <c r="X3657">
        <v>25.7</v>
      </c>
      <c r="Z3657" t="s">
        <v>102</v>
      </c>
      <c r="AB3657" t="s">
        <v>86</v>
      </c>
      <c r="AC3657" t="s">
        <v>41</v>
      </c>
      <c r="AD3657" t="s">
        <v>807</v>
      </c>
    </row>
    <row r="3658" spans="1:30" x14ac:dyDescent="0.35">
      <c r="A3658" s="4">
        <v>42604</v>
      </c>
      <c r="B3658" t="s">
        <v>30</v>
      </c>
      <c r="C3658">
        <v>501</v>
      </c>
      <c r="D3658">
        <v>5</v>
      </c>
      <c r="E3658">
        <v>1</v>
      </c>
      <c r="F3658" t="s">
        <v>315</v>
      </c>
      <c r="G3658" t="s">
        <v>32</v>
      </c>
      <c r="H3658" t="s">
        <v>33</v>
      </c>
      <c r="I3658" t="s">
        <v>58</v>
      </c>
      <c r="J3658" t="s">
        <v>35</v>
      </c>
      <c r="K3658" t="s">
        <v>36</v>
      </c>
      <c r="L3658" t="s">
        <v>37</v>
      </c>
      <c r="M3658">
        <v>0</v>
      </c>
      <c r="N3658">
        <v>1</v>
      </c>
      <c r="O3658" s="5" t="s">
        <v>926</v>
      </c>
      <c r="P3658" s="5"/>
      <c r="Q3658">
        <f>33-13</f>
        <v>20</v>
      </c>
      <c r="R3658" t="s">
        <v>64</v>
      </c>
      <c r="T3658">
        <v>17</v>
      </c>
      <c r="W3658">
        <v>13</v>
      </c>
      <c r="X3658">
        <v>26.5</v>
      </c>
      <c r="Z3658" t="s">
        <v>102</v>
      </c>
      <c r="AA3658" t="s">
        <v>201</v>
      </c>
      <c r="AB3658" t="s">
        <v>86</v>
      </c>
      <c r="AC3658" t="s">
        <v>41</v>
      </c>
      <c r="AD3658" t="s">
        <v>807</v>
      </c>
    </row>
    <row r="3659" spans="1:30" x14ac:dyDescent="0.35">
      <c r="A3659" s="4">
        <v>42604</v>
      </c>
      <c r="B3659" t="s">
        <v>30</v>
      </c>
      <c r="C3659">
        <v>503</v>
      </c>
      <c r="D3659">
        <v>1</v>
      </c>
      <c r="E3659">
        <v>2</v>
      </c>
      <c r="F3659" t="s">
        <v>315</v>
      </c>
      <c r="G3659" t="s">
        <v>32</v>
      </c>
      <c r="H3659" t="s">
        <v>33</v>
      </c>
      <c r="I3659" t="s">
        <v>58</v>
      </c>
      <c r="J3659" t="s">
        <v>35</v>
      </c>
      <c r="K3659" t="s">
        <v>36</v>
      </c>
      <c r="L3659" t="s">
        <v>45</v>
      </c>
      <c r="M3659">
        <v>0</v>
      </c>
      <c r="N3659">
        <v>1</v>
      </c>
      <c r="O3659" s="5" t="s">
        <v>927</v>
      </c>
      <c r="P3659" s="5"/>
      <c r="Q3659">
        <f>32-13.5</f>
        <v>18.5</v>
      </c>
      <c r="R3659" t="s">
        <v>143</v>
      </c>
      <c r="S3659" t="s">
        <v>102</v>
      </c>
      <c r="T3659">
        <v>17</v>
      </c>
      <c r="W3659">
        <v>12.8</v>
      </c>
      <c r="X3659">
        <v>26.5</v>
      </c>
      <c r="Z3659" t="s">
        <v>102</v>
      </c>
      <c r="AA3659" t="s">
        <v>201</v>
      </c>
      <c r="AB3659" t="s">
        <v>86</v>
      </c>
      <c r="AC3659" t="s">
        <v>41</v>
      </c>
      <c r="AD3659" t="s">
        <v>928</v>
      </c>
    </row>
    <row r="3660" spans="1:30" x14ac:dyDescent="0.35">
      <c r="A3660" s="4">
        <v>42604</v>
      </c>
      <c r="B3660" t="s">
        <v>30</v>
      </c>
      <c r="C3660">
        <v>503</v>
      </c>
      <c r="D3660">
        <v>6</v>
      </c>
      <c r="E3660">
        <v>2</v>
      </c>
      <c r="F3660" t="s">
        <v>315</v>
      </c>
      <c r="G3660" t="s">
        <v>32</v>
      </c>
      <c r="H3660" t="s">
        <v>33</v>
      </c>
      <c r="I3660" t="s">
        <v>58</v>
      </c>
      <c r="J3660" t="s">
        <v>35</v>
      </c>
      <c r="K3660" t="s">
        <v>36</v>
      </c>
      <c r="L3660" t="s">
        <v>45</v>
      </c>
      <c r="M3660">
        <v>0</v>
      </c>
      <c r="N3660">
        <v>1</v>
      </c>
      <c r="O3660" s="5" t="s">
        <v>929</v>
      </c>
      <c r="P3660" s="5"/>
      <c r="Q3660">
        <f>38-16</f>
        <v>22</v>
      </c>
      <c r="R3660" t="s">
        <v>46</v>
      </c>
      <c r="S3660" t="s">
        <v>39</v>
      </c>
      <c r="T3660">
        <v>19</v>
      </c>
      <c r="W3660">
        <v>13</v>
      </c>
      <c r="X3660">
        <v>27.3</v>
      </c>
      <c r="Z3660" t="s">
        <v>102</v>
      </c>
      <c r="AA3660" t="s">
        <v>201</v>
      </c>
      <c r="AB3660" t="s">
        <v>86</v>
      </c>
      <c r="AC3660" t="s">
        <v>41</v>
      </c>
      <c r="AD3660" t="s">
        <v>807</v>
      </c>
    </row>
    <row r="3661" spans="1:30" x14ac:dyDescent="0.35">
      <c r="A3661" s="4">
        <v>42604</v>
      </c>
      <c r="B3661" t="s">
        <v>30</v>
      </c>
      <c r="C3661">
        <v>503</v>
      </c>
      <c r="D3661">
        <v>7</v>
      </c>
      <c r="E3661">
        <v>2</v>
      </c>
      <c r="F3661" t="s">
        <v>315</v>
      </c>
      <c r="G3661" t="s">
        <v>32</v>
      </c>
      <c r="H3661" t="s">
        <v>33</v>
      </c>
      <c r="I3661" t="s">
        <v>58</v>
      </c>
      <c r="J3661" t="s">
        <v>35</v>
      </c>
      <c r="K3661" t="s">
        <v>36</v>
      </c>
      <c r="L3661" t="s">
        <v>37</v>
      </c>
      <c r="M3661">
        <v>0</v>
      </c>
      <c r="N3661">
        <v>1</v>
      </c>
      <c r="O3661" s="5" t="s">
        <v>930</v>
      </c>
      <c r="P3661" s="5"/>
      <c r="Q3661">
        <f>33-15.5</f>
        <v>17.5</v>
      </c>
      <c r="R3661" t="s">
        <v>64</v>
      </c>
      <c r="T3661">
        <v>18</v>
      </c>
      <c r="W3661">
        <v>12.8</v>
      </c>
      <c r="X3661">
        <v>26.5</v>
      </c>
      <c r="Z3661" t="s">
        <v>102</v>
      </c>
      <c r="AA3661" t="s">
        <v>931</v>
      </c>
      <c r="AB3661" t="s">
        <v>86</v>
      </c>
      <c r="AC3661" t="s">
        <v>41</v>
      </c>
      <c r="AD3661" t="s">
        <v>807</v>
      </c>
    </row>
    <row r="3662" spans="1:30" x14ac:dyDescent="0.35">
      <c r="A3662" s="4">
        <v>42604</v>
      </c>
      <c r="B3662" t="s">
        <v>30</v>
      </c>
      <c r="C3662">
        <v>503</v>
      </c>
      <c r="D3662">
        <v>8</v>
      </c>
      <c r="E3662">
        <v>2</v>
      </c>
      <c r="F3662" t="s">
        <v>315</v>
      </c>
      <c r="G3662" t="s">
        <v>32</v>
      </c>
      <c r="H3662" t="s">
        <v>33</v>
      </c>
      <c r="I3662" t="s">
        <v>58</v>
      </c>
      <c r="J3662" t="s">
        <v>44</v>
      </c>
      <c r="K3662" t="s">
        <v>36</v>
      </c>
      <c r="L3662" t="s">
        <v>37</v>
      </c>
      <c r="M3662">
        <v>0</v>
      </c>
      <c r="N3662">
        <v>1</v>
      </c>
      <c r="O3662" s="5" t="s">
        <v>932</v>
      </c>
      <c r="P3662" s="5"/>
      <c r="Q3662">
        <f>36-17</f>
        <v>19</v>
      </c>
      <c r="R3662" t="s">
        <v>38</v>
      </c>
      <c r="T3662">
        <v>17</v>
      </c>
      <c r="W3662">
        <v>12.8</v>
      </c>
      <c r="X3662">
        <v>26.3</v>
      </c>
      <c r="Z3662" t="s">
        <v>102</v>
      </c>
      <c r="AA3662" t="s">
        <v>201</v>
      </c>
      <c r="AB3662" t="s">
        <v>86</v>
      </c>
      <c r="AC3662" t="s">
        <v>41</v>
      </c>
      <c r="AD3662" t="s">
        <v>933</v>
      </c>
    </row>
    <row r="3663" spans="1:30" x14ac:dyDescent="0.35">
      <c r="A3663" s="4">
        <v>42604</v>
      </c>
      <c r="B3663" t="s">
        <v>30</v>
      </c>
      <c r="C3663">
        <v>501</v>
      </c>
      <c r="D3663">
        <v>3</v>
      </c>
      <c r="E3663">
        <v>1</v>
      </c>
      <c r="F3663" t="s">
        <v>315</v>
      </c>
      <c r="G3663" t="s">
        <v>32</v>
      </c>
      <c r="H3663" t="s">
        <v>33</v>
      </c>
      <c r="I3663" t="s">
        <v>58</v>
      </c>
      <c r="J3663" t="s">
        <v>44</v>
      </c>
      <c r="K3663" t="s">
        <v>36</v>
      </c>
      <c r="L3663" t="s">
        <v>45</v>
      </c>
      <c r="M3663">
        <v>0</v>
      </c>
      <c r="N3663">
        <v>0</v>
      </c>
      <c r="O3663" s="5" t="s">
        <v>934</v>
      </c>
      <c r="P3663" s="5"/>
      <c r="Q3663">
        <f>43-13</f>
        <v>30</v>
      </c>
      <c r="R3663" t="s">
        <v>143</v>
      </c>
      <c r="S3663" t="s">
        <v>102</v>
      </c>
      <c r="T3663">
        <v>17</v>
      </c>
      <c r="W3663">
        <v>13.1</v>
      </c>
      <c r="X3663">
        <v>30.5</v>
      </c>
      <c r="Z3663" t="s">
        <v>102</v>
      </c>
      <c r="AA3663" t="s">
        <v>201</v>
      </c>
      <c r="AB3663" t="s">
        <v>86</v>
      </c>
      <c r="AC3663" t="s">
        <v>41</v>
      </c>
    </row>
    <row r="3664" spans="1:30" x14ac:dyDescent="0.35">
      <c r="A3664" s="4">
        <v>42604</v>
      </c>
      <c r="B3664" t="s">
        <v>30</v>
      </c>
      <c r="C3664">
        <v>803</v>
      </c>
      <c r="D3664">
        <v>1</v>
      </c>
      <c r="E3664">
        <v>2</v>
      </c>
      <c r="F3664" t="s">
        <v>42</v>
      </c>
      <c r="G3664" t="s">
        <v>32</v>
      </c>
      <c r="H3664" t="s">
        <v>33</v>
      </c>
      <c r="I3664" t="s">
        <v>58</v>
      </c>
      <c r="J3664" t="s">
        <v>35</v>
      </c>
      <c r="K3664" t="s">
        <v>36</v>
      </c>
      <c r="L3664" t="s">
        <v>45</v>
      </c>
      <c r="M3664">
        <v>0</v>
      </c>
      <c r="N3664">
        <v>1</v>
      </c>
      <c r="O3664" s="5" t="s">
        <v>935</v>
      </c>
      <c r="P3664" s="5"/>
      <c r="Q3664">
        <f>41-13.5</f>
        <v>27.5</v>
      </c>
      <c r="R3664" t="s">
        <v>64</v>
      </c>
      <c r="T3664">
        <v>17</v>
      </c>
      <c r="W3664">
        <v>13.2</v>
      </c>
      <c r="X3664">
        <v>26.5</v>
      </c>
      <c r="Z3664" t="s">
        <v>102</v>
      </c>
      <c r="AB3664" t="s">
        <v>230</v>
      </c>
      <c r="AC3664" t="s">
        <v>76</v>
      </c>
      <c r="AD3664" t="s">
        <v>936</v>
      </c>
    </row>
    <row r="3665" spans="1:30" x14ac:dyDescent="0.35">
      <c r="A3665" s="4">
        <v>42604</v>
      </c>
      <c r="B3665" t="s">
        <v>30</v>
      </c>
      <c r="C3665">
        <v>803</v>
      </c>
      <c r="D3665">
        <v>6</v>
      </c>
      <c r="E3665">
        <v>2</v>
      </c>
      <c r="F3665" t="s">
        <v>42</v>
      </c>
      <c r="G3665" t="s">
        <v>32</v>
      </c>
      <c r="H3665" t="s">
        <v>33</v>
      </c>
      <c r="I3665" t="s">
        <v>58</v>
      </c>
      <c r="J3665" t="s">
        <v>937</v>
      </c>
      <c r="M3665">
        <v>0</v>
      </c>
      <c r="N3665">
        <v>1</v>
      </c>
      <c r="O3665" s="5" t="s">
        <v>938</v>
      </c>
      <c r="P3665" s="5"/>
      <c r="AD3665" t="s">
        <v>939</v>
      </c>
    </row>
    <row r="3666" spans="1:30" x14ac:dyDescent="0.35">
      <c r="A3666" s="4">
        <v>42604</v>
      </c>
      <c r="B3666" t="s">
        <v>30</v>
      </c>
      <c r="C3666">
        <v>801</v>
      </c>
      <c r="D3666">
        <v>2</v>
      </c>
      <c r="E3666">
        <v>1</v>
      </c>
      <c r="F3666" t="s">
        <v>42</v>
      </c>
      <c r="G3666" t="s">
        <v>32</v>
      </c>
      <c r="H3666" t="s">
        <v>33</v>
      </c>
      <c r="I3666" t="s">
        <v>58</v>
      </c>
      <c r="J3666" t="s">
        <v>35</v>
      </c>
      <c r="K3666" t="s">
        <v>88</v>
      </c>
      <c r="L3666" t="s">
        <v>45</v>
      </c>
      <c r="M3666">
        <v>0</v>
      </c>
      <c r="N3666">
        <v>1</v>
      </c>
      <c r="O3666" s="5" t="s">
        <v>940</v>
      </c>
      <c r="P3666" s="5"/>
      <c r="Q3666">
        <f>31.5-14.5</f>
        <v>17</v>
      </c>
      <c r="R3666" t="s">
        <v>46</v>
      </c>
      <c r="S3666" t="s">
        <v>39</v>
      </c>
      <c r="T3666">
        <v>17</v>
      </c>
      <c r="W3666">
        <v>12.35</v>
      </c>
      <c r="X3666">
        <v>25.6</v>
      </c>
      <c r="AB3666" t="s">
        <v>230</v>
      </c>
      <c r="AC3666" t="s">
        <v>76</v>
      </c>
    </row>
    <row r="3667" spans="1:30" x14ac:dyDescent="0.35">
      <c r="A3667" s="4">
        <v>42604</v>
      </c>
      <c r="B3667" t="s">
        <v>30</v>
      </c>
      <c r="C3667">
        <v>703</v>
      </c>
      <c r="D3667">
        <v>8</v>
      </c>
      <c r="E3667">
        <v>1</v>
      </c>
      <c r="F3667" t="s">
        <v>42</v>
      </c>
      <c r="G3667" t="s">
        <v>32</v>
      </c>
      <c r="H3667" t="s">
        <v>33</v>
      </c>
      <c r="I3667" t="s">
        <v>58</v>
      </c>
      <c r="J3667" t="s">
        <v>35</v>
      </c>
      <c r="K3667" t="s">
        <v>113</v>
      </c>
      <c r="L3667" t="s">
        <v>45</v>
      </c>
      <c r="M3667">
        <v>0</v>
      </c>
      <c r="N3667">
        <v>1</v>
      </c>
      <c r="O3667" s="5" t="s">
        <v>941</v>
      </c>
      <c r="P3667" s="5"/>
      <c r="Q3667">
        <f>28.5-13</f>
        <v>15.5</v>
      </c>
      <c r="R3667" t="s">
        <v>46</v>
      </c>
      <c r="S3667" t="s">
        <v>39</v>
      </c>
      <c r="T3667">
        <v>19</v>
      </c>
      <c r="W3667">
        <v>12.75</v>
      </c>
      <c r="X3667">
        <v>26.5</v>
      </c>
      <c r="Z3667" t="s">
        <v>102</v>
      </c>
      <c r="AB3667" t="s">
        <v>230</v>
      </c>
      <c r="AC3667" t="s">
        <v>76</v>
      </c>
    </row>
    <row r="3668" spans="1:30" x14ac:dyDescent="0.35">
      <c r="A3668" s="4">
        <v>42604</v>
      </c>
      <c r="B3668" t="s">
        <v>30</v>
      </c>
      <c r="C3668">
        <v>803</v>
      </c>
      <c r="D3668">
        <v>4</v>
      </c>
      <c r="E3668">
        <v>1</v>
      </c>
      <c r="F3668" t="s">
        <v>42</v>
      </c>
      <c r="G3668" t="s">
        <v>32</v>
      </c>
      <c r="H3668" t="s">
        <v>33</v>
      </c>
      <c r="I3668" t="s">
        <v>58</v>
      </c>
      <c r="J3668" t="s">
        <v>44</v>
      </c>
      <c r="K3668" t="s">
        <v>36</v>
      </c>
      <c r="L3668" t="s">
        <v>37</v>
      </c>
      <c r="M3668">
        <v>0</v>
      </c>
      <c r="N3668">
        <v>0</v>
      </c>
      <c r="O3668" s="5" t="s">
        <v>649</v>
      </c>
      <c r="P3668" s="5"/>
      <c r="Q3668">
        <f>35-14.5</f>
        <v>20.5</v>
      </c>
      <c r="R3668" t="s">
        <v>64</v>
      </c>
      <c r="T3668">
        <v>17</v>
      </c>
      <c r="W3668">
        <v>13</v>
      </c>
      <c r="X3668">
        <v>26</v>
      </c>
      <c r="AB3668" t="s">
        <v>230</v>
      </c>
      <c r="AC3668" t="s">
        <v>76</v>
      </c>
      <c r="AD3668" t="s">
        <v>942</v>
      </c>
    </row>
    <row r="3669" spans="1:30" x14ac:dyDescent="0.35">
      <c r="A3669" s="4">
        <v>42604</v>
      </c>
      <c r="B3669" t="s">
        <v>30</v>
      </c>
      <c r="C3669">
        <v>703</v>
      </c>
      <c r="D3669">
        <v>3</v>
      </c>
      <c r="E3669">
        <v>1</v>
      </c>
      <c r="F3669" t="s">
        <v>42</v>
      </c>
      <c r="G3669" t="s">
        <v>32</v>
      </c>
      <c r="H3669" t="s">
        <v>33</v>
      </c>
      <c r="I3669" t="s">
        <v>58</v>
      </c>
      <c r="J3669" t="s">
        <v>44</v>
      </c>
      <c r="K3669" t="s">
        <v>36</v>
      </c>
      <c r="L3669" t="s">
        <v>45</v>
      </c>
      <c r="M3669">
        <v>0</v>
      </c>
      <c r="N3669">
        <v>0</v>
      </c>
      <c r="O3669" s="5" t="s">
        <v>729</v>
      </c>
      <c r="P3669" s="5"/>
      <c r="Q3669">
        <f>33-12.5</f>
        <v>20.5</v>
      </c>
      <c r="R3669" t="s">
        <v>64</v>
      </c>
      <c r="T3669">
        <v>17</v>
      </c>
      <c r="W3669">
        <v>12.7</v>
      </c>
      <c r="X3669">
        <v>27.15</v>
      </c>
      <c r="Z3669" t="s">
        <v>102</v>
      </c>
      <c r="AB3669" t="s">
        <v>230</v>
      </c>
      <c r="AC3669" t="s">
        <v>76</v>
      </c>
    </row>
    <row r="3670" spans="1:30" x14ac:dyDescent="0.35">
      <c r="A3670" s="4">
        <v>42604</v>
      </c>
      <c r="B3670" t="s">
        <v>30</v>
      </c>
      <c r="C3670">
        <v>303</v>
      </c>
      <c r="D3670">
        <v>3</v>
      </c>
      <c r="E3670">
        <v>2</v>
      </c>
      <c r="F3670" t="s">
        <v>315</v>
      </c>
      <c r="G3670" t="s">
        <v>32</v>
      </c>
      <c r="H3670" t="s">
        <v>33</v>
      </c>
      <c r="I3670" t="s">
        <v>58</v>
      </c>
      <c r="J3670" t="s">
        <v>66</v>
      </c>
      <c r="O3670" s="5" t="s">
        <v>592</v>
      </c>
      <c r="P3670" s="5"/>
      <c r="Z3670" t="s">
        <v>102</v>
      </c>
      <c r="AA3670" t="s">
        <v>201</v>
      </c>
    </row>
    <row r="3671" spans="1:30" x14ac:dyDescent="0.35">
      <c r="A3671" s="4">
        <v>42604</v>
      </c>
      <c r="B3671" t="s">
        <v>30</v>
      </c>
      <c r="C3671">
        <v>703</v>
      </c>
      <c r="D3671">
        <v>7</v>
      </c>
      <c r="E3671">
        <v>2</v>
      </c>
      <c r="F3671" t="s">
        <v>42</v>
      </c>
      <c r="G3671" t="s">
        <v>32</v>
      </c>
      <c r="H3671" t="s">
        <v>33</v>
      </c>
      <c r="I3671" t="s">
        <v>58</v>
      </c>
      <c r="J3671" t="s">
        <v>44</v>
      </c>
      <c r="K3671" t="s">
        <v>113</v>
      </c>
      <c r="L3671" t="s">
        <v>45</v>
      </c>
      <c r="M3671">
        <v>0</v>
      </c>
      <c r="N3671">
        <v>0</v>
      </c>
      <c r="O3671" s="5" t="s">
        <v>593</v>
      </c>
      <c r="P3671" s="5"/>
      <c r="Q3671">
        <f>32.5-13</f>
        <v>19.5</v>
      </c>
      <c r="R3671" t="s">
        <v>46</v>
      </c>
      <c r="S3671" t="s">
        <v>39</v>
      </c>
      <c r="T3671">
        <v>17</v>
      </c>
      <c r="W3671">
        <v>12.5</v>
      </c>
      <c r="X3671">
        <v>25</v>
      </c>
      <c r="Z3671" t="s">
        <v>102</v>
      </c>
      <c r="AB3671" t="s">
        <v>230</v>
      </c>
      <c r="AC3671" t="s">
        <v>76</v>
      </c>
    </row>
    <row r="3672" spans="1:30" x14ac:dyDescent="0.35">
      <c r="A3672" s="4">
        <v>42604</v>
      </c>
      <c r="B3672" t="s">
        <v>30</v>
      </c>
      <c r="C3672">
        <v>703</v>
      </c>
      <c r="D3672">
        <v>8</v>
      </c>
      <c r="E3672">
        <v>2</v>
      </c>
      <c r="F3672" t="s">
        <v>42</v>
      </c>
      <c r="G3672" t="s">
        <v>32</v>
      </c>
      <c r="H3672" t="s">
        <v>33</v>
      </c>
      <c r="I3672" t="s">
        <v>58</v>
      </c>
      <c r="J3672" t="s">
        <v>44</v>
      </c>
      <c r="K3672" t="s">
        <v>113</v>
      </c>
      <c r="L3672" t="s">
        <v>45</v>
      </c>
      <c r="M3672">
        <v>0</v>
      </c>
      <c r="N3672">
        <v>0</v>
      </c>
      <c r="O3672" s="5" t="s">
        <v>650</v>
      </c>
      <c r="P3672" s="5"/>
      <c r="Q3672">
        <f>28-13</f>
        <v>15</v>
      </c>
      <c r="R3672" t="s">
        <v>46</v>
      </c>
      <c r="S3672" t="s">
        <v>39</v>
      </c>
      <c r="T3672">
        <v>16</v>
      </c>
      <c r="W3672">
        <v>12.8</v>
      </c>
      <c r="X3672">
        <v>24.2</v>
      </c>
      <c r="Z3672" t="s">
        <v>102</v>
      </c>
      <c r="AB3672" t="s">
        <v>230</v>
      </c>
      <c r="AC3672" t="s">
        <v>76</v>
      </c>
    </row>
    <row r="3673" spans="1:30" x14ac:dyDescent="0.35">
      <c r="A3673" s="4">
        <v>42604</v>
      </c>
      <c r="B3673" t="s">
        <v>30</v>
      </c>
      <c r="C3673">
        <v>303</v>
      </c>
      <c r="D3673">
        <v>4</v>
      </c>
      <c r="E3673">
        <v>2</v>
      </c>
      <c r="F3673" t="s">
        <v>315</v>
      </c>
      <c r="G3673" t="s">
        <v>32</v>
      </c>
      <c r="H3673" t="s">
        <v>33</v>
      </c>
      <c r="I3673" t="s">
        <v>58</v>
      </c>
      <c r="J3673" t="s">
        <v>44</v>
      </c>
      <c r="K3673" t="s">
        <v>112</v>
      </c>
      <c r="L3673" t="s">
        <v>37</v>
      </c>
      <c r="M3673">
        <v>0</v>
      </c>
      <c r="N3673">
        <v>0</v>
      </c>
      <c r="O3673" s="5" t="s">
        <v>597</v>
      </c>
      <c r="P3673" s="5"/>
      <c r="Q3673">
        <f>30-14.5</f>
        <v>15.5</v>
      </c>
      <c r="R3673" t="s">
        <v>64</v>
      </c>
      <c r="T3673">
        <v>17</v>
      </c>
      <c r="W3673">
        <v>12.6</v>
      </c>
      <c r="X3673">
        <v>26.6</v>
      </c>
      <c r="Z3673" t="s">
        <v>102</v>
      </c>
      <c r="AA3673" t="s">
        <v>201</v>
      </c>
      <c r="AB3673" t="s">
        <v>86</v>
      </c>
      <c r="AC3673" t="s">
        <v>41</v>
      </c>
    </row>
    <row r="3674" spans="1:30" x14ac:dyDescent="0.35">
      <c r="A3674" s="4">
        <v>42604</v>
      </c>
      <c r="B3674" t="s">
        <v>30</v>
      </c>
      <c r="C3674">
        <v>303</v>
      </c>
      <c r="D3674">
        <v>9</v>
      </c>
      <c r="E3674">
        <v>2</v>
      </c>
      <c r="F3674" t="s">
        <v>315</v>
      </c>
      <c r="G3674" t="s">
        <v>32</v>
      </c>
      <c r="H3674" t="s">
        <v>33</v>
      </c>
      <c r="I3674" t="s">
        <v>58</v>
      </c>
      <c r="J3674" t="s">
        <v>44</v>
      </c>
      <c r="K3674" t="s">
        <v>36</v>
      </c>
      <c r="L3674" t="s">
        <v>45</v>
      </c>
      <c r="M3674">
        <v>0</v>
      </c>
      <c r="N3674">
        <v>0</v>
      </c>
      <c r="O3674" s="5" t="s">
        <v>598</v>
      </c>
      <c r="P3674" s="5"/>
      <c r="Q3674">
        <f>39-15</f>
        <v>24</v>
      </c>
      <c r="R3674" t="s">
        <v>143</v>
      </c>
      <c r="S3674" t="s">
        <v>102</v>
      </c>
      <c r="T3674">
        <v>17</v>
      </c>
      <c r="W3674">
        <v>13</v>
      </c>
      <c r="X3674">
        <v>28.4</v>
      </c>
      <c r="Z3674" t="s">
        <v>102</v>
      </c>
      <c r="AA3674" t="s">
        <v>201</v>
      </c>
      <c r="AB3674" t="s">
        <v>86</v>
      </c>
      <c r="AC3674" t="s">
        <v>41</v>
      </c>
    </row>
    <row r="3675" spans="1:30" x14ac:dyDescent="0.35">
      <c r="A3675" s="4">
        <v>42604</v>
      </c>
      <c r="B3675" t="s">
        <v>30</v>
      </c>
      <c r="C3675">
        <v>801</v>
      </c>
      <c r="D3675">
        <v>9</v>
      </c>
      <c r="E3675">
        <v>2</v>
      </c>
      <c r="F3675" t="s">
        <v>42</v>
      </c>
      <c r="G3675" t="s">
        <v>32</v>
      </c>
      <c r="H3675" t="s">
        <v>33</v>
      </c>
      <c r="I3675" t="s">
        <v>58</v>
      </c>
      <c r="J3675" t="s">
        <v>44</v>
      </c>
      <c r="K3675" t="s">
        <v>36</v>
      </c>
      <c r="L3675" t="s">
        <v>45</v>
      </c>
      <c r="M3675">
        <v>0</v>
      </c>
      <c r="N3675">
        <v>0</v>
      </c>
      <c r="O3675" s="5" t="s">
        <v>599</v>
      </c>
      <c r="P3675" s="5"/>
      <c r="R3675" t="s">
        <v>74</v>
      </c>
      <c r="S3675" t="s">
        <v>102</v>
      </c>
      <c r="T3675">
        <v>17</v>
      </c>
      <c r="W3675">
        <v>13.5</v>
      </c>
      <c r="X3675">
        <v>25.5</v>
      </c>
      <c r="AB3675" t="s">
        <v>230</v>
      </c>
      <c r="AC3675" t="s">
        <v>76</v>
      </c>
    </row>
    <row r="3676" spans="1:30" x14ac:dyDescent="0.35">
      <c r="A3676" s="4">
        <v>42604</v>
      </c>
      <c r="B3676" t="s">
        <v>30</v>
      </c>
      <c r="C3676">
        <v>703</v>
      </c>
      <c r="D3676">
        <v>2</v>
      </c>
      <c r="E3676">
        <v>2</v>
      </c>
      <c r="F3676" t="s">
        <v>42</v>
      </c>
      <c r="G3676" t="s">
        <v>32</v>
      </c>
      <c r="H3676" t="s">
        <v>33</v>
      </c>
      <c r="I3676" t="s">
        <v>58</v>
      </c>
      <c r="J3676" t="s">
        <v>44</v>
      </c>
      <c r="K3676" t="s">
        <v>36</v>
      </c>
      <c r="L3676" t="s">
        <v>37</v>
      </c>
      <c r="M3676">
        <v>0</v>
      </c>
      <c r="N3676">
        <v>0</v>
      </c>
      <c r="O3676" s="5" t="s">
        <v>655</v>
      </c>
      <c r="P3676" s="5"/>
      <c r="Q3676">
        <f>31-13</f>
        <v>18</v>
      </c>
      <c r="R3676" t="s">
        <v>64</v>
      </c>
      <c r="T3676">
        <v>16.5</v>
      </c>
      <c r="W3676">
        <v>12.5</v>
      </c>
      <c r="Z3676" t="s">
        <v>102</v>
      </c>
      <c r="AB3676" t="s">
        <v>230</v>
      </c>
      <c r="AC3676" t="s">
        <v>76</v>
      </c>
    </row>
    <row r="3677" spans="1:30" x14ac:dyDescent="0.35">
      <c r="A3677" s="4">
        <v>42604</v>
      </c>
      <c r="B3677" t="s">
        <v>30</v>
      </c>
      <c r="C3677">
        <v>801</v>
      </c>
      <c r="D3677">
        <v>6</v>
      </c>
      <c r="E3677">
        <v>2</v>
      </c>
      <c r="F3677" t="s">
        <v>42</v>
      </c>
      <c r="G3677" t="s">
        <v>32</v>
      </c>
      <c r="H3677" t="s">
        <v>33</v>
      </c>
      <c r="I3677" t="s">
        <v>58</v>
      </c>
      <c r="J3677" t="s">
        <v>44</v>
      </c>
      <c r="K3677" t="s">
        <v>36</v>
      </c>
      <c r="L3677" t="s">
        <v>37</v>
      </c>
      <c r="M3677">
        <v>0</v>
      </c>
      <c r="N3677">
        <v>0</v>
      </c>
      <c r="O3677" s="5" t="s">
        <v>604</v>
      </c>
      <c r="P3677" s="5"/>
      <c r="Q3677">
        <f>36-18</f>
        <v>18</v>
      </c>
      <c r="R3677" t="s">
        <v>46</v>
      </c>
      <c r="S3677" t="s">
        <v>39</v>
      </c>
      <c r="T3677">
        <v>17</v>
      </c>
      <c r="W3677">
        <v>12.95</v>
      </c>
      <c r="X3677">
        <v>26.9</v>
      </c>
      <c r="Z3677" t="s">
        <v>102</v>
      </c>
      <c r="AB3677" t="s">
        <v>230</v>
      </c>
      <c r="AC3677" t="s">
        <v>76</v>
      </c>
      <c r="AD3677" t="s">
        <v>943</v>
      </c>
    </row>
    <row r="3678" spans="1:30" x14ac:dyDescent="0.35">
      <c r="A3678" s="4">
        <v>42604</v>
      </c>
      <c r="B3678" t="s">
        <v>30</v>
      </c>
      <c r="C3678">
        <v>401</v>
      </c>
      <c r="D3678">
        <v>1</v>
      </c>
      <c r="E3678">
        <v>1</v>
      </c>
      <c r="F3678" t="s">
        <v>315</v>
      </c>
      <c r="G3678" t="s">
        <v>32</v>
      </c>
      <c r="H3678" t="s">
        <v>33</v>
      </c>
      <c r="I3678" t="s">
        <v>58</v>
      </c>
      <c r="J3678" t="s">
        <v>44</v>
      </c>
      <c r="K3678" t="s">
        <v>36</v>
      </c>
      <c r="L3678" t="s">
        <v>45</v>
      </c>
      <c r="M3678">
        <v>0</v>
      </c>
      <c r="N3678">
        <v>0</v>
      </c>
      <c r="O3678" s="5" t="s">
        <v>657</v>
      </c>
      <c r="P3678" s="5"/>
      <c r="Q3678">
        <f>40-15</f>
        <v>25</v>
      </c>
      <c r="R3678" t="s">
        <v>74</v>
      </c>
      <c r="S3678" t="s">
        <v>102</v>
      </c>
      <c r="T3678">
        <v>16</v>
      </c>
      <c r="W3678">
        <v>13</v>
      </c>
      <c r="X3678">
        <v>28</v>
      </c>
      <c r="Z3678" t="s">
        <v>102</v>
      </c>
      <c r="AA3678" t="s">
        <v>201</v>
      </c>
      <c r="AB3678" t="s">
        <v>86</v>
      </c>
      <c r="AC3678" t="s">
        <v>41</v>
      </c>
      <c r="AD3678" t="s">
        <v>944</v>
      </c>
    </row>
    <row r="3679" spans="1:30" x14ac:dyDescent="0.35">
      <c r="A3679" s="4">
        <v>42604</v>
      </c>
      <c r="B3679" t="s">
        <v>30</v>
      </c>
      <c r="C3679">
        <v>503</v>
      </c>
      <c r="D3679">
        <v>7</v>
      </c>
      <c r="E3679">
        <v>1</v>
      </c>
      <c r="F3679" t="s">
        <v>315</v>
      </c>
      <c r="G3679" t="s">
        <v>32</v>
      </c>
      <c r="H3679" t="s">
        <v>33</v>
      </c>
      <c r="I3679" t="s">
        <v>58</v>
      </c>
      <c r="J3679" t="s">
        <v>66</v>
      </c>
      <c r="O3679" s="5"/>
      <c r="P3679" s="5"/>
    </row>
    <row r="3680" spans="1:30" x14ac:dyDescent="0.35">
      <c r="A3680" s="4">
        <v>42604</v>
      </c>
      <c r="B3680" t="s">
        <v>30</v>
      </c>
      <c r="C3680">
        <v>401</v>
      </c>
      <c r="D3680">
        <v>5</v>
      </c>
      <c r="E3680">
        <v>1</v>
      </c>
      <c r="F3680" t="s">
        <v>315</v>
      </c>
      <c r="G3680" t="s">
        <v>32</v>
      </c>
      <c r="H3680" t="s">
        <v>33</v>
      </c>
      <c r="I3680" t="s">
        <v>58</v>
      </c>
      <c r="J3680" t="s">
        <v>66</v>
      </c>
      <c r="O3680" s="5"/>
      <c r="P3680" s="5"/>
    </row>
    <row r="3681" spans="1:29" x14ac:dyDescent="0.35">
      <c r="A3681" s="4">
        <v>42604</v>
      </c>
      <c r="B3681" t="s">
        <v>30</v>
      </c>
      <c r="C3681">
        <v>401</v>
      </c>
      <c r="D3681">
        <v>6</v>
      </c>
      <c r="E3681">
        <v>1</v>
      </c>
      <c r="F3681" t="s">
        <v>315</v>
      </c>
      <c r="G3681" t="s">
        <v>32</v>
      </c>
      <c r="H3681" t="s">
        <v>33</v>
      </c>
      <c r="I3681" t="s">
        <v>58</v>
      </c>
      <c r="J3681" t="s">
        <v>66</v>
      </c>
      <c r="O3681" s="5"/>
      <c r="P3681" s="5"/>
    </row>
    <row r="3682" spans="1:29" x14ac:dyDescent="0.35">
      <c r="A3682" s="4">
        <v>42604</v>
      </c>
      <c r="B3682" t="s">
        <v>30</v>
      </c>
      <c r="C3682">
        <v>703</v>
      </c>
      <c r="D3682">
        <v>1</v>
      </c>
      <c r="E3682">
        <v>1</v>
      </c>
      <c r="F3682" t="s">
        <v>42</v>
      </c>
      <c r="G3682" t="s">
        <v>32</v>
      </c>
      <c r="H3682" t="s">
        <v>33</v>
      </c>
      <c r="I3682" t="s">
        <v>55</v>
      </c>
      <c r="J3682" t="s">
        <v>66</v>
      </c>
      <c r="O3682" s="5"/>
      <c r="P3682" s="5"/>
    </row>
    <row r="3683" spans="1:29" x14ac:dyDescent="0.35">
      <c r="A3683" s="4">
        <v>42604</v>
      </c>
      <c r="B3683" t="s">
        <v>30</v>
      </c>
      <c r="C3683">
        <v>701</v>
      </c>
      <c r="D3683">
        <v>1</v>
      </c>
      <c r="E3683">
        <v>1</v>
      </c>
      <c r="F3683" t="s">
        <v>42</v>
      </c>
      <c r="G3683" t="s">
        <v>32</v>
      </c>
      <c r="H3683" t="s">
        <v>33</v>
      </c>
      <c r="I3683" t="s">
        <v>55</v>
      </c>
      <c r="J3683" t="s">
        <v>66</v>
      </c>
      <c r="O3683" s="5"/>
      <c r="P3683" s="5"/>
    </row>
    <row r="3684" spans="1:29" x14ac:dyDescent="0.35">
      <c r="A3684" s="4">
        <v>42604</v>
      </c>
      <c r="B3684" t="s">
        <v>30</v>
      </c>
      <c r="C3684">
        <v>701</v>
      </c>
      <c r="D3684">
        <v>4</v>
      </c>
      <c r="E3684">
        <v>2</v>
      </c>
      <c r="F3684" t="s">
        <v>42</v>
      </c>
      <c r="G3684" t="s">
        <v>32</v>
      </c>
      <c r="H3684" t="s">
        <v>33</v>
      </c>
      <c r="I3684" t="s">
        <v>55</v>
      </c>
      <c r="J3684" t="s">
        <v>66</v>
      </c>
      <c r="O3684" s="5"/>
      <c r="P3684" s="5"/>
      <c r="AB3684" t="s">
        <v>230</v>
      </c>
      <c r="AC3684" t="s">
        <v>76</v>
      </c>
    </row>
    <row r="3685" spans="1:29" x14ac:dyDescent="0.35">
      <c r="A3685" s="4">
        <v>42604</v>
      </c>
      <c r="B3685" t="s">
        <v>30</v>
      </c>
      <c r="C3685">
        <v>801</v>
      </c>
      <c r="D3685">
        <v>4</v>
      </c>
      <c r="E3685">
        <v>2</v>
      </c>
      <c r="F3685" t="s">
        <v>42</v>
      </c>
      <c r="G3685" t="s">
        <v>32</v>
      </c>
      <c r="H3685" t="s">
        <v>33</v>
      </c>
      <c r="I3685" t="s">
        <v>55</v>
      </c>
      <c r="J3685" t="s">
        <v>66</v>
      </c>
      <c r="O3685" s="5"/>
      <c r="P3685" s="5"/>
    </row>
    <row r="3686" spans="1:29" x14ac:dyDescent="0.35">
      <c r="A3686" s="4">
        <v>42604</v>
      </c>
      <c r="B3686" t="s">
        <v>30</v>
      </c>
      <c r="C3686">
        <v>803</v>
      </c>
      <c r="D3686">
        <v>6</v>
      </c>
      <c r="E3686">
        <v>1</v>
      </c>
      <c r="F3686" t="s">
        <v>42</v>
      </c>
      <c r="G3686" t="s">
        <v>32</v>
      </c>
      <c r="H3686" t="s">
        <v>33</v>
      </c>
      <c r="I3686" t="s">
        <v>55</v>
      </c>
      <c r="J3686" t="s">
        <v>66</v>
      </c>
      <c r="O3686" s="5"/>
      <c r="P3686" s="5"/>
    </row>
    <row r="3687" spans="1:29" x14ac:dyDescent="0.35">
      <c r="A3687" s="4">
        <v>42604</v>
      </c>
      <c r="B3687" t="s">
        <v>30</v>
      </c>
      <c r="C3687">
        <v>501</v>
      </c>
      <c r="D3687">
        <v>1</v>
      </c>
      <c r="E3687">
        <v>1</v>
      </c>
      <c r="F3687" t="s">
        <v>315</v>
      </c>
      <c r="G3687" t="s">
        <v>32</v>
      </c>
      <c r="H3687" t="s">
        <v>33</v>
      </c>
      <c r="I3687" t="s">
        <v>55</v>
      </c>
      <c r="J3687" t="s">
        <v>66</v>
      </c>
      <c r="O3687" s="5"/>
      <c r="P3687" s="5"/>
    </row>
    <row r="3688" spans="1:29" x14ac:dyDescent="0.35">
      <c r="A3688" s="4">
        <v>42604</v>
      </c>
      <c r="B3688" t="s">
        <v>30</v>
      </c>
      <c r="C3688">
        <v>501</v>
      </c>
      <c r="D3688">
        <v>2</v>
      </c>
      <c r="E3688">
        <v>1</v>
      </c>
      <c r="F3688" t="s">
        <v>315</v>
      </c>
      <c r="G3688" t="s">
        <v>32</v>
      </c>
      <c r="H3688" t="s">
        <v>33</v>
      </c>
      <c r="I3688" t="s">
        <v>55</v>
      </c>
      <c r="J3688" t="s">
        <v>66</v>
      </c>
      <c r="O3688" s="5"/>
      <c r="P3688" s="5"/>
    </row>
    <row r="3689" spans="1:29" x14ac:dyDescent="0.35">
      <c r="A3689" s="4">
        <v>42604</v>
      </c>
      <c r="B3689" t="s">
        <v>30</v>
      </c>
      <c r="C3689">
        <v>503</v>
      </c>
      <c r="D3689">
        <v>1</v>
      </c>
      <c r="E3689">
        <v>1</v>
      </c>
      <c r="F3689" t="s">
        <v>315</v>
      </c>
      <c r="G3689" t="s">
        <v>32</v>
      </c>
      <c r="H3689" t="s">
        <v>33</v>
      </c>
      <c r="I3689" t="s">
        <v>55</v>
      </c>
      <c r="J3689" t="s">
        <v>66</v>
      </c>
      <c r="O3689" s="5"/>
      <c r="P3689" s="5"/>
    </row>
    <row r="3690" spans="1:29" x14ac:dyDescent="0.35">
      <c r="A3690" s="4">
        <v>42604</v>
      </c>
      <c r="B3690" t="s">
        <v>30</v>
      </c>
      <c r="C3690">
        <v>503</v>
      </c>
      <c r="D3690">
        <v>3</v>
      </c>
      <c r="E3690">
        <v>2</v>
      </c>
      <c r="F3690" t="s">
        <v>315</v>
      </c>
      <c r="G3690" t="s">
        <v>32</v>
      </c>
      <c r="H3690" t="s">
        <v>33</v>
      </c>
      <c r="I3690" t="s">
        <v>55</v>
      </c>
      <c r="J3690" t="s">
        <v>66</v>
      </c>
      <c r="O3690" s="5"/>
      <c r="P3690" s="5"/>
    </row>
    <row r="3691" spans="1:29" x14ac:dyDescent="0.35">
      <c r="A3691" s="4">
        <v>42604</v>
      </c>
      <c r="B3691" t="s">
        <v>30</v>
      </c>
      <c r="C3691">
        <v>303</v>
      </c>
      <c r="D3691">
        <v>6</v>
      </c>
      <c r="E3691">
        <v>1</v>
      </c>
      <c r="F3691" t="s">
        <v>315</v>
      </c>
      <c r="G3691" t="s">
        <v>32</v>
      </c>
      <c r="H3691" t="s">
        <v>33</v>
      </c>
      <c r="I3691" t="s">
        <v>55</v>
      </c>
      <c r="J3691" t="s">
        <v>66</v>
      </c>
      <c r="O3691" s="5"/>
      <c r="P3691" s="5"/>
    </row>
    <row r="3692" spans="1:29" x14ac:dyDescent="0.35">
      <c r="A3692" s="4">
        <v>42604</v>
      </c>
      <c r="B3692" t="s">
        <v>30</v>
      </c>
      <c r="C3692">
        <v>401</v>
      </c>
      <c r="D3692">
        <v>4</v>
      </c>
      <c r="E3692">
        <v>1</v>
      </c>
      <c r="F3692" t="s">
        <v>315</v>
      </c>
      <c r="G3692" t="s">
        <v>32</v>
      </c>
      <c r="H3692" t="s">
        <v>33</v>
      </c>
      <c r="I3692" t="s">
        <v>55</v>
      </c>
      <c r="J3692" t="s">
        <v>66</v>
      </c>
      <c r="O3692" s="5"/>
      <c r="P3692" s="5"/>
    </row>
    <row r="3693" spans="1:29" x14ac:dyDescent="0.35">
      <c r="A3693" s="4">
        <v>42604</v>
      </c>
      <c r="B3693" t="s">
        <v>30</v>
      </c>
      <c r="C3693">
        <v>401</v>
      </c>
      <c r="D3693">
        <v>8</v>
      </c>
      <c r="E3693">
        <v>2</v>
      </c>
      <c r="F3693" t="s">
        <v>315</v>
      </c>
      <c r="G3693" t="s">
        <v>32</v>
      </c>
      <c r="H3693" t="s">
        <v>33</v>
      </c>
      <c r="I3693" t="s">
        <v>55</v>
      </c>
      <c r="J3693" t="s">
        <v>66</v>
      </c>
      <c r="O3693" s="5"/>
      <c r="P3693" s="5"/>
    </row>
    <row r="3694" spans="1:29" x14ac:dyDescent="0.35">
      <c r="A3694" s="4">
        <v>42604</v>
      </c>
      <c r="B3694" t="s">
        <v>30</v>
      </c>
      <c r="C3694">
        <v>503</v>
      </c>
      <c r="D3694">
        <v>9</v>
      </c>
      <c r="E3694">
        <v>2</v>
      </c>
      <c r="F3694" t="s">
        <v>315</v>
      </c>
      <c r="G3694" t="s">
        <v>32</v>
      </c>
      <c r="H3694" t="s">
        <v>33</v>
      </c>
      <c r="I3694" t="s">
        <v>72</v>
      </c>
      <c r="J3694" t="s">
        <v>123</v>
      </c>
      <c r="O3694" s="5"/>
      <c r="P3694" s="5"/>
    </row>
    <row r="3695" spans="1:29" x14ac:dyDescent="0.35">
      <c r="A3695" s="4">
        <v>42604</v>
      </c>
      <c r="B3695" t="s">
        <v>30</v>
      </c>
      <c r="C3695">
        <v>703</v>
      </c>
      <c r="D3695">
        <v>2</v>
      </c>
      <c r="E3695">
        <v>1</v>
      </c>
      <c r="F3695" t="s">
        <v>42</v>
      </c>
      <c r="G3695" t="s">
        <v>32</v>
      </c>
      <c r="H3695" t="s">
        <v>33</v>
      </c>
      <c r="I3695" t="s">
        <v>59</v>
      </c>
      <c r="O3695" s="5"/>
      <c r="P3695" s="5"/>
    </row>
    <row r="3696" spans="1:29" x14ac:dyDescent="0.35">
      <c r="A3696" s="4">
        <v>42604</v>
      </c>
      <c r="B3696" t="s">
        <v>30</v>
      </c>
      <c r="C3696">
        <v>703</v>
      </c>
      <c r="D3696">
        <v>4</v>
      </c>
      <c r="E3696">
        <v>1</v>
      </c>
      <c r="F3696" t="s">
        <v>42</v>
      </c>
      <c r="G3696" t="s">
        <v>32</v>
      </c>
      <c r="H3696" t="s">
        <v>33</v>
      </c>
      <c r="I3696" t="s">
        <v>59</v>
      </c>
      <c r="O3696" s="5"/>
      <c r="P3696" s="5"/>
    </row>
    <row r="3697" spans="1:16" x14ac:dyDescent="0.35">
      <c r="A3697" s="4">
        <v>42604</v>
      </c>
      <c r="B3697" t="s">
        <v>30</v>
      </c>
      <c r="C3697">
        <v>703</v>
      </c>
      <c r="D3697">
        <v>4</v>
      </c>
      <c r="E3697">
        <v>2</v>
      </c>
      <c r="F3697" t="s">
        <v>42</v>
      </c>
      <c r="G3697" t="s">
        <v>32</v>
      </c>
      <c r="H3697" t="s">
        <v>33</v>
      </c>
      <c r="I3697" t="s">
        <v>59</v>
      </c>
      <c r="O3697" s="5"/>
      <c r="P3697" s="5"/>
    </row>
    <row r="3698" spans="1:16" x14ac:dyDescent="0.35">
      <c r="A3698" s="4">
        <v>42604</v>
      </c>
      <c r="B3698" t="s">
        <v>30</v>
      </c>
      <c r="C3698">
        <v>703</v>
      </c>
      <c r="D3698">
        <v>5</v>
      </c>
      <c r="E3698">
        <v>1</v>
      </c>
      <c r="F3698" t="s">
        <v>42</v>
      </c>
      <c r="G3698" t="s">
        <v>32</v>
      </c>
      <c r="H3698" t="s">
        <v>33</v>
      </c>
      <c r="I3698" t="s">
        <v>59</v>
      </c>
      <c r="O3698" s="5"/>
      <c r="P3698" s="5"/>
    </row>
    <row r="3699" spans="1:16" x14ac:dyDescent="0.35">
      <c r="A3699" s="4">
        <v>42604</v>
      </c>
      <c r="B3699" t="s">
        <v>30</v>
      </c>
      <c r="C3699">
        <v>703</v>
      </c>
      <c r="D3699">
        <v>7</v>
      </c>
      <c r="E3699">
        <v>1</v>
      </c>
      <c r="F3699" t="s">
        <v>42</v>
      </c>
      <c r="G3699" t="s">
        <v>32</v>
      </c>
      <c r="H3699" t="s">
        <v>33</v>
      </c>
      <c r="I3699" t="s">
        <v>59</v>
      </c>
      <c r="O3699" s="5"/>
      <c r="P3699" s="5"/>
    </row>
    <row r="3700" spans="1:16" x14ac:dyDescent="0.35">
      <c r="A3700" s="4">
        <v>42604</v>
      </c>
      <c r="B3700" t="s">
        <v>30</v>
      </c>
      <c r="C3700">
        <v>703</v>
      </c>
      <c r="D3700">
        <v>9</v>
      </c>
      <c r="E3700">
        <v>1</v>
      </c>
      <c r="F3700" t="s">
        <v>42</v>
      </c>
      <c r="G3700" t="s">
        <v>32</v>
      </c>
      <c r="H3700" t="s">
        <v>33</v>
      </c>
      <c r="I3700" t="s">
        <v>59</v>
      </c>
      <c r="O3700" s="5"/>
      <c r="P3700" s="5"/>
    </row>
    <row r="3701" spans="1:16" x14ac:dyDescent="0.35">
      <c r="A3701" s="4">
        <v>42604</v>
      </c>
      <c r="B3701" t="s">
        <v>30</v>
      </c>
      <c r="C3701">
        <v>703</v>
      </c>
      <c r="D3701">
        <v>10</v>
      </c>
      <c r="E3701">
        <v>1</v>
      </c>
      <c r="F3701" t="s">
        <v>42</v>
      </c>
      <c r="G3701" t="s">
        <v>32</v>
      </c>
      <c r="H3701" t="s">
        <v>33</v>
      </c>
      <c r="I3701" t="s">
        <v>59</v>
      </c>
      <c r="O3701" s="5"/>
      <c r="P3701" s="5"/>
    </row>
    <row r="3702" spans="1:16" x14ac:dyDescent="0.35">
      <c r="A3702" s="4">
        <v>42604</v>
      </c>
      <c r="B3702" t="s">
        <v>30</v>
      </c>
      <c r="C3702">
        <v>701</v>
      </c>
      <c r="D3702">
        <v>2</v>
      </c>
      <c r="E3702">
        <v>1</v>
      </c>
      <c r="F3702" t="s">
        <v>42</v>
      </c>
      <c r="G3702" t="s">
        <v>32</v>
      </c>
      <c r="H3702" t="s">
        <v>33</v>
      </c>
      <c r="I3702" t="s">
        <v>59</v>
      </c>
      <c r="O3702" s="5"/>
      <c r="P3702" s="5"/>
    </row>
    <row r="3703" spans="1:16" x14ac:dyDescent="0.35">
      <c r="A3703" s="4">
        <v>42604</v>
      </c>
      <c r="B3703" t="s">
        <v>30</v>
      </c>
      <c r="C3703">
        <v>701</v>
      </c>
      <c r="D3703">
        <v>3</v>
      </c>
      <c r="E3703">
        <v>1</v>
      </c>
      <c r="F3703" t="s">
        <v>42</v>
      </c>
      <c r="G3703" t="s">
        <v>32</v>
      </c>
      <c r="H3703" t="s">
        <v>33</v>
      </c>
      <c r="I3703" t="s">
        <v>59</v>
      </c>
      <c r="O3703" s="5"/>
      <c r="P3703" s="5"/>
    </row>
    <row r="3704" spans="1:16" x14ac:dyDescent="0.35">
      <c r="A3704" s="4">
        <v>42604</v>
      </c>
      <c r="B3704" t="s">
        <v>30</v>
      </c>
      <c r="C3704">
        <v>701</v>
      </c>
      <c r="D3704">
        <v>5</v>
      </c>
      <c r="E3704">
        <v>1</v>
      </c>
      <c r="F3704" t="s">
        <v>42</v>
      </c>
      <c r="G3704" t="s">
        <v>32</v>
      </c>
      <c r="H3704" t="s">
        <v>33</v>
      </c>
      <c r="I3704" t="s">
        <v>59</v>
      </c>
      <c r="O3704" s="5"/>
      <c r="P3704" s="5"/>
    </row>
    <row r="3705" spans="1:16" x14ac:dyDescent="0.35">
      <c r="A3705" s="4">
        <v>42604</v>
      </c>
      <c r="B3705" t="s">
        <v>30</v>
      </c>
      <c r="C3705">
        <v>701</v>
      </c>
      <c r="D3705">
        <v>7</v>
      </c>
      <c r="E3705">
        <v>1</v>
      </c>
      <c r="F3705" t="s">
        <v>42</v>
      </c>
      <c r="G3705" t="s">
        <v>32</v>
      </c>
      <c r="H3705" t="s">
        <v>33</v>
      </c>
      <c r="I3705" t="s">
        <v>59</v>
      </c>
      <c r="O3705" s="5"/>
      <c r="P3705" s="5"/>
    </row>
    <row r="3706" spans="1:16" x14ac:dyDescent="0.35">
      <c r="A3706" s="4">
        <v>42604</v>
      </c>
      <c r="B3706" t="s">
        <v>30</v>
      </c>
      <c r="C3706">
        <v>701</v>
      </c>
      <c r="D3706">
        <v>7</v>
      </c>
      <c r="E3706">
        <v>2</v>
      </c>
      <c r="F3706" t="s">
        <v>42</v>
      </c>
      <c r="G3706" t="s">
        <v>32</v>
      </c>
      <c r="H3706" t="s">
        <v>33</v>
      </c>
      <c r="I3706" t="s">
        <v>59</v>
      </c>
      <c r="O3706" s="5"/>
      <c r="P3706" s="5"/>
    </row>
    <row r="3707" spans="1:16" x14ac:dyDescent="0.35">
      <c r="A3707" s="4">
        <v>42604</v>
      </c>
      <c r="B3707" t="s">
        <v>30</v>
      </c>
      <c r="C3707">
        <v>701</v>
      </c>
      <c r="D3707">
        <v>8</v>
      </c>
      <c r="E3707">
        <v>1</v>
      </c>
      <c r="F3707" t="s">
        <v>42</v>
      </c>
      <c r="G3707" t="s">
        <v>32</v>
      </c>
      <c r="H3707" t="s">
        <v>33</v>
      </c>
      <c r="I3707" t="s">
        <v>59</v>
      </c>
      <c r="O3707" s="5"/>
      <c r="P3707" s="5"/>
    </row>
    <row r="3708" spans="1:16" x14ac:dyDescent="0.35">
      <c r="A3708" s="4">
        <v>42604</v>
      </c>
      <c r="B3708" t="s">
        <v>30</v>
      </c>
      <c r="C3708">
        <v>701</v>
      </c>
      <c r="D3708">
        <v>9</v>
      </c>
      <c r="E3708">
        <v>1</v>
      </c>
      <c r="F3708" t="s">
        <v>42</v>
      </c>
      <c r="G3708" t="s">
        <v>32</v>
      </c>
      <c r="H3708" t="s">
        <v>33</v>
      </c>
      <c r="I3708" t="s">
        <v>59</v>
      </c>
      <c r="O3708" s="5"/>
      <c r="P3708" s="5"/>
    </row>
    <row r="3709" spans="1:16" x14ac:dyDescent="0.35">
      <c r="A3709" s="4">
        <v>42604</v>
      </c>
      <c r="B3709" t="s">
        <v>30</v>
      </c>
      <c r="C3709">
        <v>801</v>
      </c>
      <c r="D3709">
        <v>1</v>
      </c>
      <c r="E3709">
        <v>1</v>
      </c>
      <c r="F3709" t="s">
        <v>42</v>
      </c>
      <c r="G3709" t="s">
        <v>32</v>
      </c>
      <c r="H3709" t="s">
        <v>33</v>
      </c>
      <c r="I3709" t="s">
        <v>59</v>
      </c>
      <c r="O3709" s="5"/>
      <c r="P3709" s="5"/>
    </row>
    <row r="3710" spans="1:16" x14ac:dyDescent="0.35">
      <c r="A3710" s="4">
        <v>42604</v>
      </c>
      <c r="B3710" t="s">
        <v>30</v>
      </c>
      <c r="C3710">
        <v>801</v>
      </c>
      <c r="D3710">
        <v>1</v>
      </c>
      <c r="E3710">
        <v>2</v>
      </c>
      <c r="F3710" t="s">
        <v>42</v>
      </c>
      <c r="G3710" t="s">
        <v>32</v>
      </c>
      <c r="H3710" t="s">
        <v>33</v>
      </c>
      <c r="I3710" t="s">
        <v>59</v>
      </c>
      <c r="O3710" s="5"/>
      <c r="P3710" s="5"/>
    </row>
    <row r="3711" spans="1:16" x14ac:dyDescent="0.35">
      <c r="A3711" s="4">
        <v>42604</v>
      </c>
      <c r="B3711" t="s">
        <v>30</v>
      </c>
      <c r="C3711">
        <v>801</v>
      </c>
      <c r="D3711">
        <v>3</v>
      </c>
      <c r="E3711">
        <v>1</v>
      </c>
      <c r="F3711" t="s">
        <v>42</v>
      </c>
      <c r="G3711" t="s">
        <v>32</v>
      </c>
      <c r="H3711" t="s">
        <v>33</v>
      </c>
      <c r="I3711" t="s">
        <v>59</v>
      </c>
      <c r="O3711" s="5"/>
      <c r="P3711" s="5"/>
    </row>
    <row r="3712" spans="1:16" x14ac:dyDescent="0.35">
      <c r="A3712" s="4">
        <v>42604</v>
      </c>
      <c r="B3712" t="s">
        <v>30</v>
      </c>
      <c r="C3712">
        <v>801</v>
      </c>
      <c r="D3712">
        <v>3</v>
      </c>
      <c r="E3712">
        <v>2</v>
      </c>
      <c r="F3712" t="s">
        <v>42</v>
      </c>
      <c r="G3712" t="s">
        <v>32</v>
      </c>
      <c r="H3712" t="s">
        <v>33</v>
      </c>
      <c r="I3712" t="s">
        <v>59</v>
      </c>
      <c r="O3712" s="5"/>
      <c r="P3712" s="5"/>
    </row>
    <row r="3713" spans="1:16" x14ac:dyDescent="0.35">
      <c r="A3713" s="4">
        <v>42604</v>
      </c>
      <c r="B3713" t="s">
        <v>30</v>
      </c>
      <c r="C3713">
        <v>801</v>
      </c>
      <c r="D3713">
        <v>4</v>
      </c>
      <c r="E3713">
        <v>1</v>
      </c>
      <c r="F3713" t="s">
        <v>42</v>
      </c>
      <c r="G3713" t="s">
        <v>32</v>
      </c>
      <c r="H3713" t="s">
        <v>33</v>
      </c>
      <c r="I3713" t="s">
        <v>59</v>
      </c>
      <c r="O3713" s="5"/>
      <c r="P3713" s="5"/>
    </row>
    <row r="3714" spans="1:16" x14ac:dyDescent="0.35">
      <c r="A3714" s="4">
        <v>42604</v>
      </c>
      <c r="B3714" t="s">
        <v>30</v>
      </c>
      <c r="C3714">
        <v>801</v>
      </c>
      <c r="D3714">
        <v>6</v>
      </c>
      <c r="E3714">
        <v>1</v>
      </c>
      <c r="F3714" t="s">
        <v>42</v>
      </c>
      <c r="G3714" t="s">
        <v>32</v>
      </c>
      <c r="H3714" t="s">
        <v>33</v>
      </c>
      <c r="I3714" t="s">
        <v>59</v>
      </c>
      <c r="O3714" s="5"/>
      <c r="P3714" s="5"/>
    </row>
    <row r="3715" spans="1:16" x14ac:dyDescent="0.35">
      <c r="A3715" s="4">
        <v>42604</v>
      </c>
      <c r="B3715" t="s">
        <v>30</v>
      </c>
      <c r="C3715">
        <v>801</v>
      </c>
      <c r="D3715">
        <v>8</v>
      </c>
      <c r="E3715">
        <v>1</v>
      </c>
      <c r="F3715" t="s">
        <v>42</v>
      </c>
      <c r="G3715" t="s">
        <v>32</v>
      </c>
      <c r="H3715" t="s">
        <v>33</v>
      </c>
      <c r="I3715" t="s">
        <v>59</v>
      </c>
      <c r="O3715" s="5"/>
      <c r="P3715" s="5"/>
    </row>
    <row r="3716" spans="1:16" x14ac:dyDescent="0.35">
      <c r="A3716" s="4">
        <v>42604</v>
      </c>
      <c r="B3716" t="s">
        <v>30</v>
      </c>
      <c r="C3716">
        <v>803</v>
      </c>
      <c r="D3716">
        <v>9</v>
      </c>
      <c r="E3716">
        <v>1</v>
      </c>
      <c r="F3716" t="s">
        <v>42</v>
      </c>
      <c r="G3716" t="s">
        <v>32</v>
      </c>
      <c r="H3716" t="s">
        <v>33</v>
      </c>
      <c r="I3716" t="s">
        <v>59</v>
      </c>
      <c r="O3716" s="5"/>
      <c r="P3716" s="5"/>
    </row>
    <row r="3717" spans="1:16" x14ac:dyDescent="0.35">
      <c r="A3717" s="4">
        <v>42604</v>
      </c>
      <c r="B3717" t="s">
        <v>30</v>
      </c>
      <c r="C3717">
        <v>803</v>
      </c>
      <c r="D3717">
        <v>8</v>
      </c>
      <c r="E3717">
        <v>1</v>
      </c>
      <c r="F3717" t="s">
        <v>42</v>
      </c>
      <c r="G3717" t="s">
        <v>32</v>
      </c>
      <c r="H3717" t="s">
        <v>33</v>
      </c>
      <c r="I3717" t="s">
        <v>59</v>
      </c>
      <c r="O3717" s="5"/>
      <c r="P3717" s="5"/>
    </row>
    <row r="3718" spans="1:16" x14ac:dyDescent="0.35">
      <c r="A3718" s="4">
        <v>42604</v>
      </c>
      <c r="B3718" t="s">
        <v>30</v>
      </c>
      <c r="C3718">
        <v>803</v>
      </c>
      <c r="D3718">
        <v>8</v>
      </c>
      <c r="E3718">
        <v>2</v>
      </c>
      <c r="F3718" t="s">
        <v>42</v>
      </c>
      <c r="G3718" t="s">
        <v>32</v>
      </c>
      <c r="H3718" t="s">
        <v>33</v>
      </c>
      <c r="I3718" t="s">
        <v>59</v>
      </c>
      <c r="O3718" s="5"/>
      <c r="P3718" s="5"/>
    </row>
    <row r="3719" spans="1:16" x14ac:dyDescent="0.35">
      <c r="A3719" s="4">
        <v>42604</v>
      </c>
      <c r="B3719" t="s">
        <v>30</v>
      </c>
      <c r="C3719">
        <v>803</v>
      </c>
      <c r="D3719">
        <v>7</v>
      </c>
      <c r="E3719">
        <v>1</v>
      </c>
      <c r="F3719" t="s">
        <v>42</v>
      </c>
      <c r="G3719" t="s">
        <v>32</v>
      </c>
      <c r="H3719" t="s">
        <v>33</v>
      </c>
      <c r="I3719" t="s">
        <v>59</v>
      </c>
      <c r="O3719" s="5"/>
      <c r="P3719" s="5"/>
    </row>
    <row r="3720" spans="1:16" x14ac:dyDescent="0.35">
      <c r="A3720" s="4">
        <v>42604</v>
      </c>
      <c r="B3720" t="s">
        <v>30</v>
      </c>
      <c r="C3720">
        <v>803</v>
      </c>
      <c r="D3720">
        <v>7</v>
      </c>
      <c r="E3720">
        <v>2</v>
      </c>
      <c r="F3720" t="s">
        <v>42</v>
      </c>
      <c r="G3720" t="s">
        <v>32</v>
      </c>
      <c r="H3720" t="s">
        <v>33</v>
      </c>
      <c r="I3720" t="s">
        <v>59</v>
      </c>
      <c r="O3720" s="5"/>
      <c r="P3720" s="5"/>
    </row>
    <row r="3721" spans="1:16" x14ac:dyDescent="0.35">
      <c r="A3721" s="4">
        <v>42604</v>
      </c>
      <c r="B3721" t="s">
        <v>30</v>
      </c>
      <c r="C3721">
        <v>803</v>
      </c>
      <c r="D3721">
        <v>3</v>
      </c>
      <c r="E3721">
        <v>1</v>
      </c>
      <c r="F3721" t="s">
        <v>42</v>
      </c>
      <c r="G3721" t="s">
        <v>32</v>
      </c>
      <c r="H3721" t="s">
        <v>33</v>
      </c>
      <c r="I3721" t="s">
        <v>59</v>
      </c>
      <c r="O3721" s="5"/>
      <c r="P3721" s="5"/>
    </row>
    <row r="3722" spans="1:16" x14ac:dyDescent="0.35">
      <c r="A3722" s="4">
        <v>42604</v>
      </c>
      <c r="B3722" t="s">
        <v>30</v>
      </c>
      <c r="C3722">
        <v>803</v>
      </c>
      <c r="D3722">
        <v>3</v>
      </c>
      <c r="E3722">
        <v>2</v>
      </c>
      <c r="F3722" t="s">
        <v>42</v>
      </c>
      <c r="G3722" t="s">
        <v>32</v>
      </c>
      <c r="H3722" t="s">
        <v>33</v>
      </c>
      <c r="I3722" t="s">
        <v>59</v>
      </c>
      <c r="O3722" s="5"/>
      <c r="P3722" s="5"/>
    </row>
    <row r="3723" spans="1:16" x14ac:dyDescent="0.35">
      <c r="A3723" s="4">
        <v>42604</v>
      </c>
      <c r="B3723" t="s">
        <v>30</v>
      </c>
      <c r="C3723">
        <v>803</v>
      </c>
      <c r="D3723">
        <v>2</v>
      </c>
      <c r="E3723">
        <v>1</v>
      </c>
      <c r="F3723" t="s">
        <v>42</v>
      </c>
      <c r="G3723" t="s">
        <v>32</v>
      </c>
      <c r="H3723" t="s">
        <v>33</v>
      </c>
      <c r="I3723" t="s">
        <v>59</v>
      </c>
      <c r="O3723" s="5"/>
      <c r="P3723" s="5"/>
    </row>
    <row r="3724" spans="1:16" x14ac:dyDescent="0.35">
      <c r="A3724" s="4">
        <v>42604</v>
      </c>
      <c r="B3724" t="s">
        <v>30</v>
      </c>
      <c r="C3724">
        <v>803</v>
      </c>
      <c r="D3724">
        <v>1</v>
      </c>
      <c r="E3724">
        <v>1</v>
      </c>
      <c r="F3724" t="s">
        <v>42</v>
      </c>
      <c r="G3724" t="s">
        <v>32</v>
      </c>
      <c r="H3724" t="s">
        <v>33</v>
      </c>
      <c r="I3724" t="s">
        <v>59</v>
      </c>
      <c r="O3724" s="5"/>
      <c r="P3724" s="5"/>
    </row>
    <row r="3725" spans="1:16" x14ac:dyDescent="0.35">
      <c r="A3725" s="4">
        <v>42604</v>
      </c>
      <c r="B3725" t="s">
        <v>30</v>
      </c>
      <c r="C3725">
        <v>901</v>
      </c>
      <c r="D3725">
        <v>1</v>
      </c>
      <c r="E3725">
        <v>1</v>
      </c>
      <c r="F3725" t="s">
        <v>42</v>
      </c>
      <c r="G3725" t="s">
        <v>32</v>
      </c>
      <c r="H3725" t="s">
        <v>33</v>
      </c>
      <c r="I3725" t="s">
        <v>59</v>
      </c>
      <c r="O3725" s="5"/>
      <c r="P3725" s="5"/>
    </row>
    <row r="3726" spans="1:16" x14ac:dyDescent="0.35">
      <c r="A3726" s="4">
        <v>42604</v>
      </c>
      <c r="B3726" t="s">
        <v>30</v>
      </c>
      <c r="C3726">
        <v>901</v>
      </c>
      <c r="D3726">
        <v>1</v>
      </c>
      <c r="E3726">
        <v>2</v>
      </c>
      <c r="F3726" t="s">
        <v>42</v>
      </c>
      <c r="G3726" t="s">
        <v>32</v>
      </c>
      <c r="H3726" t="s">
        <v>33</v>
      </c>
      <c r="I3726" t="s">
        <v>59</v>
      </c>
      <c r="O3726" s="5"/>
      <c r="P3726" s="5"/>
    </row>
    <row r="3727" spans="1:16" x14ac:dyDescent="0.35">
      <c r="A3727" s="4">
        <v>42604</v>
      </c>
      <c r="B3727" t="s">
        <v>30</v>
      </c>
      <c r="C3727">
        <v>901</v>
      </c>
      <c r="D3727">
        <v>5</v>
      </c>
      <c r="E3727">
        <v>1</v>
      </c>
      <c r="F3727" t="s">
        <v>42</v>
      </c>
      <c r="G3727" t="s">
        <v>32</v>
      </c>
      <c r="H3727" t="s">
        <v>33</v>
      </c>
      <c r="I3727" t="s">
        <v>59</v>
      </c>
      <c r="O3727" s="5"/>
      <c r="P3727" s="5"/>
    </row>
    <row r="3728" spans="1:16" x14ac:dyDescent="0.35">
      <c r="A3728" s="4">
        <v>42604</v>
      </c>
      <c r="B3728" t="s">
        <v>30</v>
      </c>
      <c r="C3728">
        <v>901</v>
      </c>
      <c r="D3728">
        <v>5</v>
      </c>
      <c r="E3728">
        <v>2</v>
      </c>
      <c r="F3728" t="s">
        <v>42</v>
      </c>
      <c r="G3728" t="s">
        <v>32</v>
      </c>
      <c r="H3728" t="s">
        <v>33</v>
      </c>
      <c r="I3728" t="s">
        <v>59</v>
      </c>
      <c r="O3728" s="5"/>
      <c r="P3728" s="5"/>
    </row>
    <row r="3729" spans="1:16" x14ac:dyDescent="0.35">
      <c r="A3729" s="4">
        <v>42604</v>
      </c>
      <c r="B3729" t="s">
        <v>30</v>
      </c>
      <c r="C3729">
        <v>901</v>
      </c>
      <c r="D3729">
        <v>10</v>
      </c>
      <c r="E3729">
        <v>1</v>
      </c>
      <c r="F3729" t="s">
        <v>42</v>
      </c>
      <c r="G3729" t="s">
        <v>32</v>
      </c>
      <c r="H3729" t="s">
        <v>33</v>
      </c>
      <c r="I3729" t="s">
        <v>59</v>
      </c>
      <c r="O3729" s="5"/>
      <c r="P3729" s="5"/>
    </row>
    <row r="3730" spans="1:16" x14ac:dyDescent="0.35">
      <c r="A3730" s="4">
        <v>42604</v>
      </c>
      <c r="B3730" t="s">
        <v>30</v>
      </c>
      <c r="C3730">
        <v>901</v>
      </c>
      <c r="D3730">
        <v>10</v>
      </c>
      <c r="E3730">
        <v>2</v>
      </c>
      <c r="F3730" t="s">
        <v>42</v>
      </c>
      <c r="G3730" t="s">
        <v>32</v>
      </c>
      <c r="H3730" t="s">
        <v>33</v>
      </c>
      <c r="I3730" t="s">
        <v>59</v>
      </c>
      <c r="O3730" s="5"/>
      <c r="P3730" s="5"/>
    </row>
    <row r="3731" spans="1:16" x14ac:dyDescent="0.35">
      <c r="A3731" s="4">
        <v>42604</v>
      </c>
      <c r="B3731" t="s">
        <v>30</v>
      </c>
      <c r="C3731">
        <v>501</v>
      </c>
      <c r="D3731">
        <v>5</v>
      </c>
      <c r="E3731">
        <v>2</v>
      </c>
      <c r="F3731" t="s">
        <v>315</v>
      </c>
      <c r="G3731" t="s">
        <v>32</v>
      </c>
      <c r="H3731" t="s">
        <v>33</v>
      </c>
      <c r="I3731" t="s">
        <v>59</v>
      </c>
      <c r="O3731" s="5"/>
      <c r="P3731" s="5"/>
    </row>
    <row r="3732" spans="1:16" x14ac:dyDescent="0.35">
      <c r="A3732" s="4">
        <v>42604</v>
      </c>
      <c r="B3732" t="s">
        <v>30</v>
      </c>
      <c r="C3732">
        <v>501</v>
      </c>
      <c r="D3732">
        <v>10</v>
      </c>
      <c r="E3732">
        <v>1</v>
      </c>
      <c r="F3732" t="s">
        <v>315</v>
      </c>
      <c r="G3732" t="s">
        <v>32</v>
      </c>
      <c r="H3732" t="s">
        <v>33</v>
      </c>
      <c r="I3732" t="s">
        <v>59</v>
      </c>
      <c r="O3732" s="5"/>
      <c r="P3732" s="5"/>
    </row>
    <row r="3733" spans="1:16" x14ac:dyDescent="0.35">
      <c r="A3733" s="4">
        <v>42604</v>
      </c>
      <c r="B3733" t="s">
        <v>30</v>
      </c>
      <c r="C3733">
        <v>503</v>
      </c>
      <c r="D3733">
        <v>2</v>
      </c>
      <c r="E3733">
        <v>1</v>
      </c>
      <c r="F3733" t="s">
        <v>315</v>
      </c>
      <c r="G3733" t="s">
        <v>32</v>
      </c>
      <c r="H3733" t="s">
        <v>33</v>
      </c>
      <c r="I3733" t="s">
        <v>59</v>
      </c>
      <c r="O3733" s="5"/>
      <c r="P3733" s="5"/>
    </row>
    <row r="3734" spans="1:16" x14ac:dyDescent="0.35">
      <c r="A3734" s="4">
        <v>42604</v>
      </c>
      <c r="B3734" t="s">
        <v>30</v>
      </c>
      <c r="C3734">
        <v>503</v>
      </c>
      <c r="D3734">
        <v>4</v>
      </c>
      <c r="E3734">
        <v>1</v>
      </c>
      <c r="F3734" t="s">
        <v>315</v>
      </c>
      <c r="G3734" t="s">
        <v>32</v>
      </c>
      <c r="H3734" t="s">
        <v>33</v>
      </c>
      <c r="I3734" t="s">
        <v>59</v>
      </c>
      <c r="O3734" s="5"/>
      <c r="P3734" s="5"/>
    </row>
    <row r="3735" spans="1:16" x14ac:dyDescent="0.35">
      <c r="A3735" s="4">
        <v>42604</v>
      </c>
      <c r="B3735" t="s">
        <v>30</v>
      </c>
      <c r="C3735">
        <v>503</v>
      </c>
      <c r="D3735">
        <v>5</v>
      </c>
      <c r="E3735">
        <v>1</v>
      </c>
      <c r="F3735" t="s">
        <v>315</v>
      </c>
      <c r="G3735" t="s">
        <v>32</v>
      </c>
      <c r="H3735" t="s">
        <v>33</v>
      </c>
      <c r="I3735" t="s">
        <v>59</v>
      </c>
      <c r="O3735" s="5"/>
      <c r="P3735" s="5"/>
    </row>
    <row r="3736" spans="1:16" x14ac:dyDescent="0.35">
      <c r="A3736" s="4">
        <v>42604</v>
      </c>
      <c r="B3736" t="s">
        <v>30</v>
      </c>
      <c r="C3736">
        <v>503</v>
      </c>
      <c r="D3736">
        <v>6</v>
      </c>
      <c r="E3736">
        <v>1</v>
      </c>
      <c r="F3736" t="s">
        <v>315</v>
      </c>
      <c r="G3736" t="s">
        <v>32</v>
      </c>
      <c r="H3736" t="s">
        <v>33</v>
      </c>
      <c r="I3736" t="s">
        <v>59</v>
      </c>
      <c r="O3736" s="5"/>
      <c r="P3736" s="5"/>
    </row>
    <row r="3737" spans="1:16" x14ac:dyDescent="0.35">
      <c r="A3737" s="4">
        <v>42604</v>
      </c>
      <c r="B3737" t="s">
        <v>30</v>
      </c>
      <c r="C3737">
        <v>503</v>
      </c>
      <c r="D3737">
        <v>8</v>
      </c>
      <c r="E3737">
        <v>1</v>
      </c>
      <c r="F3737" t="s">
        <v>315</v>
      </c>
      <c r="G3737" t="s">
        <v>32</v>
      </c>
      <c r="H3737" t="s">
        <v>33</v>
      </c>
      <c r="I3737" t="s">
        <v>59</v>
      </c>
      <c r="O3737" s="5"/>
      <c r="P3737" s="5"/>
    </row>
    <row r="3738" spans="1:16" x14ac:dyDescent="0.35">
      <c r="A3738" s="4">
        <v>42604</v>
      </c>
      <c r="B3738" t="s">
        <v>30</v>
      </c>
      <c r="C3738">
        <v>503</v>
      </c>
      <c r="D3738">
        <v>9</v>
      </c>
      <c r="E3738">
        <v>1</v>
      </c>
      <c r="F3738" t="s">
        <v>315</v>
      </c>
      <c r="G3738" t="s">
        <v>32</v>
      </c>
      <c r="H3738" t="s">
        <v>33</v>
      </c>
      <c r="I3738" t="s">
        <v>59</v>
      </c>
      <c r="O3738" s="5"/>
      <c r="P3738" s="5"/>
    </row>
    <row r="3739" spans="1:16" x14ac:dyDescent="0.35">
      <c r="A3739" s="4">
        <v>42604</v>
      </c>
      <c r="B3739" t="s">
        <v>30</v>
      </c>
      <c r="C3739">
        <v>503</v>
      </c>
      <c r="D3739">
        <v>10</v>
      </c>
      <c r="E3739">
        <v>1</v>
      </c>
      <c r="F3739" t="s">
        <v>315</v>
      </c>
      <c r="G3739" t="s">
        <v>32</v>
      </c>
      <c r="H3739" t="s">
        <v>33</v>
      </c>
      <c r="I3739" t="s">
        <v>59</v>
      </c>
      <c r="O3739" s="5"/>
      <c r="P3739" s="5"/>
    </row>
    <row r="3740" spans="1:16" x14ac:dyDescent="0.35">
      <c r="A3740" s="4">
        <v>42604</v>
      </c>
      <c r="B3740" t="s">
        <v>30</v>
      </c>
      <c r="C3740">
        <v>503</v>
      </c>
      <c r="D3740">
        <v>10</v>
      </c>
      <c r="E3740">
        <v>2</v>
      </c>
      <c r="F3740" t="s">
        <v>315</v>
      </c>
      <c r="G3740" t="s">
        <v>32</v>
      </c>
      <c r="H3740" t="s">
        <v>33</v>
      </c>
      <c r="I3740" t="s">
        <v>59</v>
      </c>
      <c r="O3740" s="5"/>
      <c r="P3740" s="5"/>
    </row>
    <row r="3741" spans="1:16" x14ac:dyDescent="0.35">
      <c r="A3741" s="4">
        <v>42604</v>
      </c>
      <c r="B3741" t="s">
        <v>30</v>
      </c>
      <c r="C3741">
        <v>303</v>
      </c>
      <c r="D3741">
        <v>1</v>
      </c>
      <c r="E3741">
        <v>1</v>
      </c>
      <c r="F3741" t="s">
        <v>315</v>
      </c>
      <c r="G3741" t="s">
        <v>32</v>
      </c>
      <c r="H3741" t="s">
        <v>33</v>
      </c>
      <c r="I3741" t="s">
        <v>59</v>
      </c>
      <c r="O3741" s="5"/>
      <c r="P3741" s="5"/>
    </row>
    <row r="3742" spans="1:16" x14ac:dyDescent="0.35">
      <c r="A3742" s="4">
        <v>42604</v>
      </c>
      <c r="B3742" t="s">
        <v>30</v>
      </c>
      <c r="C3742">
        <v>303</v>
      </c>
      <c r="D3742">
        <v>2</v>
      </c>
      <c r="E3742">
        <v>1</v>
      </c>
      <c r="F3742" t="s">
        <v>315</v>
      </c>
      <c r="G3742" t="s">
        <v>32</v>
      </c>
      <c r="H3742" t="s">
        <v>33</v>
      </c>
      <c r="I3742" t="s">
        <v>59</v>
      </c>
      <c r="O3742" s="5"/>
      <c r="P3742" s="5"/>
    </row>
    <row r="3743" spans="1:16" x14ac:dyDescent="0.35">
      <c r="A3743" s="4">
        <v>42604</v>
      </c>
      <c r="B3743" t="s">
        <v>30</v>
      </c>
      <c r="C3743">
        <v>303</v>
      </c>
      <c r="D3743">
        <v>3</v>
      </c>
      <c r="E3743">
        <v>1</v>
      </c>
      <c r="F3743" t="s">
        <v>315</v>
      </c>
      <c r="G3743" t="s">
        <v>32</v>
      </c>
      <c r="H3743" t="s">
        <v>33</v>
      </c>
      <c r="I3743" t="s">
        <v>59</v>
      </c>
      <c r="O3743" s="5"/>
      <c r="P3743" s="5"/>
    </row>
    <row r="3744" spans="1:16" x14ac:dyDescent="0.35">
      <c r="A3744" s="4">
        <v>42604</v>
      </c>
      <c r="B3744" t="s">
        <v>30</v>
      </c>
      <c r="C3744">
        <v>303</v>
      </c>
      <c r="D3744">
        <v>5</v>
      </c>
      <c r="E3744">
        <v>1</v>
      </c>
      <c r="F3744" t="s">
        <v>315</v>
      </c>
      <c r="G3744" t="s">
        <v>32</v>
      </c>
      <c r="H3744" t="s">
        <v>33</v>
      </c>
      <c r="I3744" t="s">
        <v>59</v>
      </c>
      <c r="O3744" s="5"/>
      <c r="P3744" s="5"/>
    </row>
    <row r="3745" spans="1:30" x14ac:dyDescent="0.35">
      <c r="A3745" s="4">
        <v>42604</v>
      </c>
      <c r="B3745" t="s">
        <v>30</v>
      </c>
      <c r="C3745">
        <v>303</v>
      </c>
      <c r="D3745">
        <v>8</v>
      </c>
      <c r="E3745">
        <v>1</v>
      </c>
      <c r="F3745" t="s">
        <v>315</v>
      </c>
      <c r="G3745" t="s">
        <v>32</v>
      </c>
      <c r="H3745" t="s">
        <v>33</v>
      </c>
      <c r="I3745" t="s">
        <v>59</v>
      </c>
      <c r="O3745" s="5"/>
      <c r="P3745" s="5"/>
    </row>
    <row r="3746" spans="1:30" x14ac:dyDescent="0.35">
      <c r="A3746" s="4">
        <v>42604</v>
      </c>
      <c r="B3746" t="s">
        <v>30</v>
      </c>
      <c r="C3746">
        <v>303</v>
      </c>
      <c r="D3746">
        <v>9</v>
      </c>
      <c r="E3746">
        <v>1</v>
      </c>
      <c r="F3746" t="s">
        <v>315</v>
      </c>
      <c r="G3746" t="s">
        <v>32</v>
      </c>
      <c r="H3746" t="s">
        <v>33</v>
      </c>
      <c r="I3746" t="s">
        <v>59</v>
      </c>
      <c r="O3746" s="5"/>
      <c r="P3746" s="5"/>
    </row>
    <row r="3747" spans="1:30" x14ac:dyDescent="0.35">
      <c r="A3747" s="4">
        <v>42604</v>
      </c>
      <c r="B3747" t="s">
        <v>30</v>
      </c>
      <c r="C3747">
        <v>303</v>
      </c>
      <c r="D3747">
        <v>10</v>
      </c>
      <c r="E3747">
        <v>1</v>
      </c>
      <c r="F3747" t="s">
        <v>315</v>
      </c>
      <c r="G3747" t="s">
        <v>32</v>
      </c>
      <c r="H3747" t="s">
        <v>33</v>
      </c>
      <c r="I3747" t="s">
        <v>59</v>
      </c>
      <c r="O3747" s="5"/>
      <c r="P3747" s="5"/>
    </row>
    <row r="3748" spans="1:30" x14ac:dyDescent="0.35">
      <c r="A3748" s="4">
        <v>42604</v>
      </c>
      <c r="B3748" t="s">
        <v>30</v>
      </c>
      <c r="C3748">
        <v>401</v>
      </c>
      <c r="D3748">
        <v>1</v>
      </c>
      <c r="E3748">
        <v>2</v>
      </c>
      <c r="F3748" t="s">
        <v>315</v>
      </c>
      <c r="G3748" t="s">
        <v>32</v>
      </c>
      <c r="H3748" t="s">
        <v>33</v>
      </c>
      <c r="I3748" t="s">
        <v>59</v>
      </c>
      <c r="O3748" s="5"/>
      <c r="P3748" s="5"/>
    </row>
    <row r="3749" spans="1:30" x14ac:dyDescent="0.35">
      <c r="A3749" s="4">
        <v>42604</v>
      </c>
      <c r="B3749" t="s">
        <v>30</v>
      </c>
      <c r="C3749">
        <v>401</v>
      </c>
      <c r="D3749">
        <v>2</v>
      </c>
      <c r="E3749">
        <v>1</v>
      </c>
      <c r="F3749" t="s">
        <v>315</v>
      </c>
      <c r="G3749" t="s">
        <v>32</v>
      </c>
      <c r="H3749" t="s">
        <v>33</v>
      </c>
      <c r="I3749" t="s">
        <v>59</v>
      </c>
      <c r="O3749" s="5"/>
      <c r="P3749" s="5"/>
    </row>
    <row r="3750" spans="1:30" x14ac:dyDescent="0.35">
      <c r="A3750" s="4">
        <v>42604</v>
      </c>
      <c r="B3750" t="s">
        <v>30</v>
      </c>
      <c r="C3750">
        <v>401</v>
      </c>
      <c r="D3750">
        <v>2</v>
      </c>
      <c r="E3750">
        <v>2</v>
      </c>
      <c r="F3750" t="s">
        <v>315</v>
      </c>
      <c r="G3750" t="s">
        <v>32</v>
      </c>
      <c r="H3750" t="s">
        <v>33</v>
      </c>
      <c r="I3750" t="s">
        <v>59</v>
      </c>
      <c r="O3750" s="5"/>
      <c r="P3750" s="5"/>
    </row>
    <row r="3751" spans="1:30" x14ac:dyDescent="0.35">
      <c r="A3751" s="4">
        <v>42604</v>
      </c>
      <c r="B3751" t="s">
        <v>30</v>
      </c>
      <c r="C3751">
        <v>401</v>
      </c>
      <c r="D3751">
        <v>4</v>
      </c>
      <c r="E3751">
        <v>2</v>
      </c>
      <c r="F3751" t="s">
        <v>315</v>
      </c>
      <c r="G3751" t="s">
        <v>32</v>
      </c>
      <c r="H3751" t="s">
        <v>33</v>
      </c>
      <c r="I3751" t="s">
        <v>59</v>
      </c>
      <c r="O3751" s="5"/>
      <c r="P3751" s="5"/>
    </row>
    <row r="3752" spans="1:30" x14ac:dyDescent="0.35">
      <c r="A3752" s="4">
        <v>42604</v>
      </c>
      <c r="B3752" t="s">
        <v>30</v>
      </c>
      <c r="C3752">
        <v>401</v>
      </c>
      <c r="D3752">
        <v>6</v>
      </c>
      <c r="E3752">
        <v>2</v>
      </c>
      <c r="F3752" t="s">
        <v>315</v>
      </c>
      <c r="G3752" t="s">
        <v>32</v>
      </c>
      <c r="H3752" t="s">
        <v>33</v>
      </c>
      <c r="I3752" t="s">
        <v>59</v>
      </c>
      <c r="O3752" s="5"/>
      <c r="P3752" s="5"/>
    </row>
    <row r="3753" spans="1:30" x14ac:dyDescent="0.35">
      <c r="A3753" s="4">
        <v>42604</v>
      </c>
      <c r="B3753" t="s">
        <v>30</v>
      </c>
      <c r="C3753">
        <v>401</v>
      </c>
      <c r="D3753">
        <v>7</v>
      </c>
      <c r="E3753">
        <v>1</v>
      </c>
      <c r="F3753" t="s">
        <v>315</v>
      </c>
      <c r="G3753" t="s">
        <v>32</v>
      </c>
      <c r="H3753" t="s">
        <v>33</v>
      </c>
      <c r="I3753" t="s">
        <v>59</v>
      </c>
      <c r="O3753" s="5"/>
      <c r="P3753" s="5"/>
    </row>
    <row r="3754" spans="1:30" x14ac:dyDescent="0.35">
      <c r="A3754" s="4">
        <v>42604</v>
      </c>
      <c r="B3754" t="s">
        <v>30</v>
      </c>
      <c r="C3754">
        <v>401</v>
      </c>
      <c r="D3754">
        <v>7</v>
      </c>
      <c r="E3754">
        <v>2</v>
      </c>
      <c r="F3754" t="s">
        <v>315</v>
      </c>
      <c r="G3754" t="s">
        <v>32</v>
      </c>
      <c r="H3754" t="s">
        <v>33</v>
      </c>
      <c r="I3754" t="s">
        <v>59</v>
      </c>
      <c r="O3754" s="5"/>
      <c r="P3754" s="5"/>
    </row>
    <row r="3755" spans="1:30" x14ac:dyDescent="0.35">
      <c r="A3755" s="4">
        <v>42604</v>
      </c>
      <c r="B3755" t="s">
        <v>30</v>
      </c>
      <c r="C3755">
        <v>401</v>
      </c>
      <c r="D3755">
        <v>8</v>
      </c>
      <c r="E3755">
        <v>1</v>
      </c>
      <c r="F3755" t="s">
        <v>315</v>
      </c>
      <c r="G3755" t="s">
        <v>32</v>
      </c>
      <c r="H3755" t="s">
        <v>33</v>
      </c>
      <c r="I3755" t="s">
        <v>59</v>
      </c>
      <c r="O3755" s="5"/>
      <c r="P3755" s="5"/>
    </row>
    <row r="3756" spans="1:30" x14ac:dyDescent="0.35">
      <c r="A3756" s="4">
        <v>42604</v>
      </c>
      <c r="B3756" t="s">
        <v>30</v>
      </c>
      <c r="C3756">
        <v>401</v>
      </c>
      <c r="D3756">
        <v>9</v>
      </c>
      <c r="E3756">
        <v>1</v>
      </c>
      <c r="F3756" t="s">
        <v>315</v>
      </c>
      <c r="G3756" t="s">
        <v>32</v>
      </c>
      <c r="H3756" t="s">
        <v>33</v>
      </c>
      <c r="I3756" t="s">
        <v>59</v>
      </c>
      <c r="O3756" s="5"/>
      <c r="P3756" s="5"/>
    </row>
    <row r="3757" spans="1:30" x14ac:dyDescent="0.35">
      <c r="A3757" s="4">
        <v>42604</v>
      </c>
      <c r="B3757" t="s">
        <v>30</v>
      </c>
      <c r="C3757">
        <v>401</v>
      </c>
      <c r="D3757">
        <v>9</v>
      </c>
      <c r="E3757">
        <v>2</v>
      </c>
      <c r="F3757" t="s">
        <v>315</v>
      </c>
      <c r="G3757" t="s">
        <v>32</v>
      </c>
      <c r="H3757" t="s">
        <v>33</v>
      </c>
      <c r="I3757" t="s">
        <v>59</v>
      </c>
      <c r="O3757" s="5"/>
      <c r="P3757" s="5"/>
    </row>
    <row r="3758" spans="1:30" x14ac:dyDescent="0.35">
      <c r="A3758" s="4">
        <v>42604</v>
      </c>
      <c r="B3758" t="s">
        <v>30</v>
      </c>
      <c r="C3758">
        <v>401</v>
      </c>
      <c r="D3758">
        <v>10</v>
      </c>
      <c r="E3758">
        <v>1</v>
      </c>
      <c r="F3758" t="s">
        <v>315</v>
      </c>
      <c r="G3758" t="s">
        <v>32</v>
      </c>
      <c r="H3758" t="s">
        <v>33</v>
      </c>
      <c r="I3758" t="s">
        <v>94</v>
      </c>
      <c r="J3758" t="s">
        <v>35</v>
      </c>
      <c r="K3758" t="s">
        <v>36</v>
      </c>
      <c r="L3758" t="s">
        <v>45</v>
      </c>
      <c r="M3758">
        <v>0</v>
      </c>
      <c r="N3758">
        <v>1</v>
      </c>
      <c r="O3758" s="5" t="s">
        <v>945</v>
      </c>
      <c r="P3758" s="5"/>
      <c r="Q3758">
        <f>37-17.5</f>
        <v>19.5</v>
      </c>
      <c r="R3758" t="s">
        <v>46</v>
      </c>
      <c r="S3758" t="s">
        <v>39</v>
      </c>
      <c r="T3758">
        <v>29</v>
      </c>
      <c r="W3758">
        <v>13.1</v>
      </c>
      <c r="X3758">
        <v>25.5</v>
      </c>
      <c r="Z3758" t="s">
        <v>102</v>
      </c>
      <c r="AA3758" t="s">
        <v>201</v>
      </c>
      <c r="AB3758" t="s">
        <v>86</v>
      </c>
      <c r="AC3758" t="s">
        <v>41</v>
      </c>
      <c r="AD3758" t="s">
        <v>807</v>
      </c>
    </row>
    <row r="3759" spans="1:30" x14ac:dyDescent="0.35">
      <c r="A3759" s="4">
        <v>42604</v>
      </c>
      <c r="B3759" t="s">
        <v>30</v>
      </c>
      <c r="C3759">
        <v>701</v>
      </c>
      <c r="D3759">
        <v>8</v>
      </c>
      <c r="E3759">
        <v>2</v>
      </c>
      <c r="F3759" t="s">
        <v>42</v>
      </c>
      <c r="G3759" t="s">
        <v>32</v>
      </c>
      <c r="H3759" t="s">
        <v>33</v>
      </c>
      <c r="I3759" t="s">
        <v>94</v>
      </c>
      <c r="J3759" t="s">
        <v>35</v>
      </c>
      <c r="K3759" t="s">
        <v>36</v>
      </c>
      <c r="L3759" t="s">
        <v>45</v>
      </c>
      <c r="M3759">
        <v>0</v>
      </c>
      <c r="N3759">
        <v>1</v>
      </c>
      <c r="O3759" s="5" t="s">
        <v>946</v>
      </c>
      <c r="P3759" s="5"/>
      <c r="Q3759">
        <f>37-16.5</f>
        <v>20.5</v>
      </c>
      <c r="R3759" t="s">
        <v>46</v>
      </c>
      <c r="S3759" t="s">
        <v>39</v>
      </c>
      <c r="T3759">
        <v>28.5</v>
      </c>
      <c r="W3759">
        <v>12.4</v>
      </c>
      <c r="X3759">
        <v>24.3</v>
      </c>
      <c r="Z3759" t="s">
        <v>102</v>
      </c>
      <c r="AB3759" t="s">
        <v>230</v>
      </c>
      <c r="AC3759" t="s">
        <v>76</v>
      </c>
    </row>
    <row r="3760" spans="1:30" x14ac:dyDescent="0.35">
      <c r="A3760" s="4">
        <v>42604</v>
      </c>
      <c r="B3760" t="s">
        <v>30</v>
      </c>
      <c r="C3760">
        <v>701</v>
      </c>
      <c r="D3760">
        <v>4</v>
      </c>
      <c r="E3760">
        <v>1</v>
      </c>
      <c r="F3760" t="s">
        <v>42</v>
      </c>
      <c r="G3760" t="s">
        <v>32</v>
      </c>
      <c r="H3760" t="s">
        <v>33</v>
      </c>
      <c r="I3760" t="s">
        <v>94</v>
      </c>
      <c r="J3760" t="s">
        <v>35</v>
      </c>
      <c r="K3760" t="s">
        <v>36</v>
      </c>
      <c r="L3760" t="s">
        <v>37</v>
      </c>
      <c r="M3760">
        <v>0</v>
      </c>
      <c r="N3760">
        <v>1</v>
      </c>
      <c r="O3760" s="5" t="s">
        <v>947</v>
      </c>
      <c r="P3760" s="5"/>
      <c r="Q3760">
        <f>34.5-13</f>
        <v>21.5</v>
      </c>
      <c r="R3760" t="s">
        <v>64</v>
      </c>
      <c r="T3760">
        <v>29</v>
      </c>
      <c r="W3760">
        <v>12.5</v>
      </c>
      <c r="X3760">
        <v>24.95</v>
      </c>
      <c r="AB3760" t="s">
        <v>230</v>
      </c>
      <c r="AC3760" t="s">
        <v>76</v>
      </c>
    </row>
    <row r="3761" spans="1:30" x14ac:dyDescent="0.35">
      <c r="A3761" s="4">
        <v>42604</v>
      </c>
      <c r="B3761" t="s">
        <v>30</v>
      </c>
      <c r="C3761">
        <v>701</v>
      </c>
      <c r="D3761">
        <v>2</v>
      </c>
      <c r="E3761">
        <v>2</v>
      </c>
      <c r="F3761" t="s">
        <v>42</v>
      </c>
      <c r="G3761" t="s">
        <v>32</v>
      </c>
      <c r="H3761" t="s">
        <v>33</v>
      </c>
      <c r="I3761" t="s">
        <v>94</v>
      </c>
      <c r="J3761" t="s">
        <v>35</v>
      </c>
      <c r="K3761" t="s">
        <v>36</v>
      </c>
      <c r="L3761" t="s">
        <v>45</v>
      </c>
      <c r="M3761">
        <v>0</v>
      </c>
      <c r="N3761">
        <v>1</v>
      </c>
      <c r="O3761" s="5" t="s">
        <v>948</v>
      </c>
      <c r="P3761" s="5"/>
      <c r="Q3761">
        <f>41-13</f>
        <v>28</v>
      </c>
      <c r="R3761" t="s">
        <v>74</v>
      </c>
      <c r="S3761" t="s">
        <v>102</v>
      </c>
      <c r="T3761">
        <v>29</v>
      </c>
      <c r="W3761">
        <v>13.3</v>
      </c>
      <c r="X3761">
        <v>24</v>
      </c>
      <c r="AB3761" t="s">
        <v>230</v>
      </c>
      <c r="AC3761" t="s">
        <v>76</v>
      </c>
    </row>
    <row r="3762" spans="1:30" x14ac:dyDescent="0.35">
      <c r="A3762" s="4">
        <v>42604</v>
      </c>
      <c r="B3762" t="s">
        <v>30</v>
      </c>
      <c r="C3762">
        <v>703</v>
      </c>
      <c r="D3762">
        <v>6</v>
      </c>
      <c r="E3762">
        <v>1</v>
      </c>
      <c r="F3762" t="s">
        <v>42</v>
      </c>
      <c r="G3762" t="s">
        <v>32</v>
      </c>
      <c r="H3762" t="s">
        <v>33</v>
      </c>
      <c r="I3762" t="s">
        <v>94</v>
      </c>
      <c r="J3762" t="s">
        <v>35</v>
      </c>
      <c r="K3762" t="s">
        <v>113</v>
      </c>
      <c r="L3762" t="s">
        <v>37</v>
      </c>
      <c r="M3762">
        <v>0</v>
      </c>
      <c r="N3762">
        <v>1</v>
      </c>
      <c r="O3762" s="5" t="s">
        <v>949</v>
      </c>
      <c r="P3762" s="5"/>
      <c r="Q3762">
        <f>31-12.5</f>
        <v>18.5</v>
      </c>
      <c r="R3762" t="s">
        <v>64</v>
      </c>
      <c r="T3762">
        <v>28.5</v>
      </c>
      <c r="W3762">
        <v>25.5</v>
      </c>
      <c r="X3762">
        <v>24.95</v>
      </c>
      <c r="AB3762" t="s">
        <v>230</v>
      </c>
      <c r="AC3762" t="s">
        <v>76</v>
      </c>
    </row>
    <row r="3763" spans="1:30" x14ac:dyDescent="0.35">
      <c r="A3763" s="4">
        <v>42604</v>
      </c>
      <c r="B3763" t="s">
        <v>30</v>
      </c>
      <c r="C3763">
        <v>703</v>
      </c>
      <c r="D3763">
        <v>5</v>
      </c>
      <c r="E3763">
        <v>2</v>
      </c>
      <c r="F3763" t="s">
        <v>42</v>
      </c>
      <c r="G3763" t="s">
        <v>32</v>
      </c>
      <c r="H3763" t="s">
        <v>33</v>
      </c>
      <c r="I3763" t="s">
        <v>94</v>
      </c>
      <c r="J3763" t="s">
        <v>44</v>
      </c>
      <c r="K3763" t="s">
        <v>36</v>
      </c>
      <c r="L3763" t="s">
        <v>45</v>
      </c>
      <c r="M3763">
        <v>0</v>
      </c>
      <c r="N3763">
        <v>0</v>
      </c>
      <c r="O3763" s="5" t="s">
        <v>950</v>
      </c>
      <c r="P3763" s="5"/>
      <c r="Q3763">
        <f>44.5-12.5</f>
        <v>32</v>
      </c>
      <c r="R3763" t="s">
        <v>77</v>
      </c>
      <c r="S3763" t="s">
        <v>39</v>
      </c>
      <c r="T3763">
        <v>29.5</v>
      </c>
      <c r="W3763">
        <v>13.3</v>
      </c>
      <c r="X3763">
        <v>26.3</v>
      </c>
      <c r="AB3763" t="s">
        <v>230</v>
      </c>
      <c r="AC3763" t="s">
        <v>76</v>
      </c>
    </row>
    <row r="3764" spans="1:30" x14ac:dyDescent="0.35">
      <c r="A3764" s="4">
        <v>42604</v>
      </c>
      <c r="B3764" t="s">
        <v>30</v>
      </c>
      <c r="C3764">
        <v>803</v>
      </c>
      <c r="D3764">
        <v>9</v>
      </c>
      <c r="E3764">
        <v>2</v>
      </c>
      <c r="F3764" t="s">
        <v>42</v>
      </c>
      <c r="G3764" t="s">
        <v>32</v>
      </c>
      <c r="H3764" t="s">
        <v>33</v>
      </c>
      <c r="I3764" t="s">
        <v>94</v>
      </c>
      <c r="J3764" t="s">
        <v>44</v>
      </c>
      <c r="K3764" t="s">
        <v>36</v>
      </c>
      <c r="L3764" t="s">
        <v>45</v>
      </c>
      <c r="M3764">
        <v>0</v>
      </c>
      <c r="N3764">
        <v>0</v>
      </c>
      <c r="O3764" s="5" t="s">
        <v>609</v>
      </c>
      <c r="P3764" s="5"/>
      <c r="Q3764">
        <f>38-14</f>
        <v>24</v>
      </c>
      <c r="R3764" t="s">
        <v>46</v>
      </c>
      <c r="S3764" t="s">
        <v>39</v>
      </c>
      <c r="T3764">
        <v>29</v>
      </c>
      <c r="W3764">
        <v>13.1</v>
      </c>
      <c r="X3764">
        <v>25.8</v>
      </c>
      <c r="Z3764" t="s">
        <v>102</v>
      </c>
      <c r="AB3764" t="s">
        <v>230</v>
      </c>
      <c r="AC3764" t="s">
        <v>76</v>
      </c>
      <c r="AD3764" t="s">
        <v>951</v>
      </c>
    </row>
    <row r="3765" spans="1:30" x14ac:dyDescent="0.35">
      <c r="A3765" s="4">
        <v>42604</v>
      </c>
      <c r="B3765" t="s">
        <v>30</v>
      </c>
      <c r="C3765">
        <v>401</v>
      </c>
      <c r="D3765">
        <v>3</v>
      </c>
      <c r="E3765">
        <v>2</v>
      </c>
      <c r="F3765" t="s">
        <v>315</v>
      </c>
      <c r="G3765" t="s">
        <v>32</v>
      </c>
      <c r="H3765" t="s">
        <v>33</v>
      </c>
      <c r="I3765" t="s">
        <v>94</v>
      </c>
      <c r="J3765" t="s">
        <v>241</v>
      </c>
      <c r="O3765" s="5"/>
      <c r="P3765" s="5"/>
    </row>
    <row r="3766" spans="1:30" x14ac:dyDescent="0.35">
      <c r="A3766" s="4">
        <v>42605</v>
      </c>
      <c r="B3766" t="s">
        <v>30</v>
      </c>
      <c r="C3766">
        <v>501</v>
      </c>
      <c r="D3766">
        <v>4</v>
      </c>
      <c r="E3766">
        <v>2</v>
      </c>
      <c r="F3766" t="s">
        <v>315</v>
      </c>
      <c r="G3766" t="s">
        <v>32</v>
      </c>
      <c r="H3766" t="s">
        <v>33</v>
      </c>
      <c r="I3766" t="s">
        <v>43</v>
      </c>
      <c r="J3766" t="s">
        <v>35</v>
      </c>
      <c r="K3766" t="s">
        <v>88</v>
      </c>
      <c r="L3766" t="s">
        <v>45</v>
      </c>
      <c r="M3766">
        <v>0</v>
      </c>
      <c r="N3766">
        <v>1</v>
      </c>
      <c r="O3766" s="5" t="s">
        <v>952</v>
      </c>
      <c r="P3766" s="5" t="s">
        <v>953</v>
      </c>
      <c r="Q3766">
        <f>28-15</f>
        <v>13</v>
      </c>
      <c r="R3766" t="s">
        <v>46</v>
      </c>
      <c r="S3766" t="s">
        <v>39</v>
      </c>
      <c r="T3766">
        <v>20</v>
      </c>
      <c r="U3766">
        <v>88</v>
      </c>
      <c r="V3766">
        <v>105</v>
      </c>
      <c r="W3766">
        <v>12.9</v>
      </c>
      <c r="X3766">
        <v>27.8</v>
      </c>
      <c r="Z3766" t="s">
        <v>39</v>
      </c>
      <c r="AB3766" t="s">
        <v>86</v>
      </c>
      <c r="AC3766" t="s">
        <v>41</v>
      </c>
      <c r="AD3766" t="s">
        <v>740</v>
      </c>
    </row>
    <row r="3767" spans="1:30" x14ac:dyDescent="0.35">
      <c r="A3767" s="4">
        <v>42605</v>
      </c>
      <c r="B3767" t="s">
        <v>30</v>
      </c>
      <c r="C3767">
        <v>503</v>
      </c>
      <c r="D3767">
        <v>7</v>
      </c>
      <c r="E3767">
        <v>1</v>
      </c>
      <c r="F3767" t="s">
        <v>315</v>
      </c>
      <c r="G3767" t="s">
        <v>32</v>
      </c>
      <c r="H3767" t="s">
        <v>33</v>
      </c>
      <c r="I3767" t="s">
        <v>43</v>
      </c>
      <c r="J3767" t="s">
        <v>35</v>
      </c>
      <c r="K3767" t="s">
        <v>88</v>
      </c>
      <c r="L3767" t="s">
        <v>37</v>
      </c>
      <c r="M3767">
        <v>0</v>
      </c>
      <c r="N3767">
        <v>1</v>
      </c>
      <c r="O3767" s="5" t="s">
        <v>954</v>
      </c>
      <c r="P3767" s="5" t="s">
        <v>955</v>
      </c>
      <c r="Q3767">
        <f>30-14.5</f>
        <v>15.5</v>
      </c>
      <c r="R3767" t="s">
        <v>64</v>
      </c>
      <c r="T3767">
        <v>20</v>
      </c>
      <c r="U3767">
        <v>82</v>
      </c>
      <c r="V3767">
        <v>17</v>
      </c>
      <c r="W3767">
        <v>13</v>
      </c>
      <c r="X3767">
        <v>27</v>
      </c>
      <c r="Z3767" t="s">
        <v>39</v>
      </c>
      <c r="AB3767" t="s">
        <v>86</v>
      </c>
      <c r="AC3767" t="s">
        <v>41</v>
      </c>
      <c r="AD3767" t="s">
        <v>740</v>
      </c>
    </row>
    <row r="3768" spans="1:30" x14ac:dyDescent="0.35">
      <c r="A3768" s="4">
        <v>42605</v>
      </c>
      <c r="B3768" t="s">
        <v>30</v>
      </c>
      <c r="C3768">
        <v>901</v>
      </c>
      <c r="D3768">
        <v>2</v>
      </c>
      <c r="E3768">
        <v>2</v>
      </c>
      <c r="F3768" t="s">
        <v>42</v>
      </c>
      <c r="G3768" t="s">
        <v>32</v>
      </c>
      <c r="H3768" t="s">
        <v>33</v>
      </c>
      <c r="I3768" t="s">
        <v>43</v>
      </c>
      <c r="J3768" t="s">
        <v>44</v>
      </c>
      <c r="K3768" t="s">
        <v>113</v>
      </c>
      <c r="L3768" t="s">
        <v>37</v>
      </c>
      <c r="M3768">
        <v>0</v>
      </c>
      <c r="N3768">
        <v>0</v>
      </c>
      <c r="O3768" s="5" t="s">
        <v>906</v>
      </c>
      <c r="P3768" s="5" t="s">
        <v>907</v>
      </c>
      <c r="Q3768">
        <f>30-14</f>
        <v>16</v>
      </c>
      <c r="R3768" t="s">
        <v>64</v>
      </c>
      <c r="T3768">
        <v>18.5</v>
      </c>
      <c r="U3768">
        <v>91</v>
      </c>
      <c r="V3768">
        <v>17</v>
      </c>
      <c r="W3768">
        <v>13.1</v>
      </c>
      <c r="X3768">
        <v>24.8</v>
      </c>
      <c r="Z3768" t="s">
        <v>102</v>
      </c>
      <c r="AB3768" t="s">
        <v>47</v>
      </c>
      <c r="AC3768" t="s">
        <v>41</v>
      </c>
    </row>
    <row r="3769" spans="1:30" x14ac:dyDescent="0.35">
      <c r="A3769" s="4">
        <v>42605</v>
      </c>
      <c r="B3769" t="s">
        <v>30</v>
      </c>
      <c r="C3769">
        <v>701</v>
      </c>
      <c r="D3769">
        <v>3</v>
      </c>
      <c r="E3769">
        <v>2</v>
      </c>
      <c r="F3769" t="s">
        <v>42</v>
      </c>
      <c r="G3769" t="s">
        <v>32</v>
      </c>
      <c r="H3769" t="s">
        <v>33</v>
      </c>
      <c r="I3769" t="s">
        <v>43</v>
      </c>
      <c r="J3769" t="s">
        <v>44</v>
      </c>
      <c r="K3769" t="s">
        <v>113</v>
      </c>
      <c r="L3769" t="s">
        <v>37</v>
      </c>
      <c r="M3769">
        <v>0</v>
      </c>
      <c r="N3769">
        <v>0</v>
      </c>
      <c r="O3769" s="5" t="s">
        <v>676</v>
      </c>
      <c r="P3769" s="5" t="s">
        <v>677</v>
      </c>
      <c r="Q3769">
        <f>28.5-13</f>
        <v>15.5</v>
      </c>
      <c r="R3769" t="s">
        <v>64</v>
      </c>
      <c r="T3769">
        <v>17</v>
      </c>
      <c r="U3769">
        <v>83</v>
      </c>
      <c r="V3769">
        <v>14</v>
      </c>
      <c r="W3769">
        <v>13.2</v>
      </c>
      <c r="X3769">
        <v>26.3</v>
      </c>
      <c r="Y3769" t="s">
        <v>956</v>
      </c>
      <c r="AB3769" t="s">
        <v>47</v>
      </c>
      <c r="AC3769" t="s">
        <v>41</v>
      </c>
    </row>
    <row r="3770" spans="1:30" x14ac:dyDescent="0.35">
      <c r="A3770" s="4">
        <v>42605</v>
      </c>
      <c r="B3770" t="s">
        <v>30</v>
      </c>
      <c r="C3770">
        <v>703</v>
      </c>
      <c r="D3770">
        <v>8</v>
      </c>
      <c r="E3770">
        <v>1</v>
      </c>
      <c r="F3770" t="s">
        <v>42</v>
      </c>
      <c r="G3770" t="s">
        <v>32</v>
      </c>
      <c r="H3770" t="s">
        <v>33</v>
      </c>
      <c r="I3770" t="s">
        <v>43</v>
      </c>
      <c r="J3770" t="s">
        <v>44</v>
      </c>
      <c r="K3770" t="s">
        <v>113</v>
      </c>
      <c r="L3770" t="s">
        <v>45</v>
      </c>
      <c r="M3770">
        <v>0</v>
      </c>
      <c r="N3770">
        <v>0</v>
      </c>
      <c r="O3770" s="5" t="s">
        <v>545</v>
      </c>
      <c r="P3770" s="5" t="s">
        <v>546</v>
      </c>
      <c r="Q3770">
        <f>27.5-13</f>
        <v>14.5</v>
      </c>
      <c r="R3770" t="s">
        <v>46</v>
      </c>
      <c r="S3770" t="s">
        <v>39</v>
      </c>
      <c r="T3770">
        <v>20.5</v>
      </c>
      <c r="U3770">
        <v>84</v>
      </c>
      <c r="V3770">
        <v>17.5</v>
      </c>
      <c r="W3770">
        <v>12.6</v>
      </c>
      <c r="X3770">
        <v>27</v>
      </c>
      <c r="Z3770" t="s">
        <v>102</v>
      </c>
      <c r="AB3770" t="s">
        <v>47</v>
      </c>
      <c r="AC3770" t="s">
        <v>41</v>
      </c>
    </row>
    <row r="3771" spans="1:30" x14ac:dyDescent="0.35">
      <c r="A3771" s="4">
        <v>42605</v>
      </c>
      <c r="B3771" t="s">
        <v>30</v>
      </c>
      <c r="C3771">
        <v>701</v>
      </c>
      <c r="D3771">
        <v>10</v>
      </c>
      <c r="E3771">
        <v>2</v>
      </c>
      <c r="F3771" t="s">
        <v>42</v>
      </c>
      <c r="G3771" t="s">
        <v>32</v>
      </c>
      <c r="H3771" t="s">
        <v>33</v>
      </c>
      <c r="I3771" t="s">
        <v>43</v>
      </c>
      <c r="J3771" t="s">
        <v>44</v>
      </c>
      <c r="K3771" t="s">
        <v>113</v>
      </c>
      <c r="L3771" t="s">
        <v>37</v>
      </c>
      <c r="M3771">
        <v>0</v>
      </c>
      <c r="N3771">
        <v>0</v>
      </c>
      <c r="O3771" s="5" t="s">
        <v>547</v>
      </c>
      <c r="P3771" s="5" t="s">
        <v>548</v>
      </c>
      <c r="Q3771">
        <f>32-14</f>
        <v>18</v>
      </c>
      <c r="R3771" t="s">
        <v>64</v>
      </c>
      <c r="T3771">
        <v>19</v>
      </c>
      <c r="U3771">
        <v>87</v>
      </c>
      <c r="V3771">
        <v>17</v>
      </c>
      <c r="W3771">
        <v>13</v>
      </c>
      <c r="X3771">
        <v>26.8</v>
      </c>
      <c r="Y3771" t="s">
        <v>957</v>
      </c>
      <c r="Z3771" t="s">
        <v>102</v>
      </c>
      <c r="AB3771" t="s">
        <v>47</v>
      </c>
      <c r="AC3771" t="s">
        <v>41</v>
      </c>
    </row>
    <row r="3772" spans="1:30" x14ac:dyDescent="0.35">
      <c r="A3772" s="4">
        <v>42605</v>
      </c>
      <c r="B3772" t="s">
        <v>30</v>
      </c>
      <c r="C3772">
        <v>703</v>
      </c>
      <c r="D3772">
        <v>1</v>
      </c>
      <c r="E3772">
        <v>2</v>
      </c>
      <c r="F3772" t="s">
        <v>42</v>
      </c>
      <c r="G3772" t="s">
        <v>32</v>
      </c>
      <c r="H3772" t="s">
        <v>33</v>
      </c>
      <c r="I3772" t="s">
        <v>43</v>
      </c>
      <c r="J3772" t="s">
        <v>44</v>
      </c>
      <c r="K3772" t="s">
        <v>113</v>
      </c>
      <c r="L3772" t="s">
        <v>37</v>
      </c>
      <c r="M3772">
        <v>0</v>
      </c>
      <c r="N3772">
        <v>0</v>
      </c>
      <c r="O3772" s="5" t="s">
        <v>614</v>
      </c>
      <c r="P3772" s="5" t="s">
        <v>615</v>
      </c>
      <c r="Q3772">
        <f>28.5-13</f>
        <v>15.5</v>
      </c>
      <c r="R3772" t="s">
        <v>64</v>
      </c>
      <c r="T3772">
        <v>20</v>
      </c>
      <c r="U3772">
        <v>78</v>
      </c>
      <c r="V3772">
        <v>16</v>
      </c>
      <c r="W3772">
        <v>13.1</v>
      </c>
      <c r="X3772">
        <v>27.1</v>
      </c>
      <c r="AB3772" t="s">
        <v>47</v>
      </c>
      <c r="AC3772" t="s">
        <v>41</v>
      </c>
    </row>
    <row r="3773" spans="1:30" x14ac:dyDescent="0.35">
      <c r="A3773" s="4">
        <v>42605</v>
      </c>
      <c r="B3773" t="s">
        <v>30</v>
      </c>
      <c r="C3773">
        <v>701</v>
      </c>
      <c r="D3773">
        <v>6</v>
      </c>
      <c r="E3773">
        <v>2</v>
      </c>
      <c r="F3773" t="s">
        <v>42</v>
      </c>
      <c r="G3773" t="s">
        <v>32</v>
      </c>
      <c r="H3773" t="s">
        <v>33</v>
      </c>
      <c r="I3773" t="s">
        <v>43</v>
      </c>
      <c r="J3773" t="s">
        <v>44</v>
      </c>
      <c r="K3773" t="s">
        <v>113</v>
      </c>
      <c r="L3773" t="s">
        <v>37</v>
      </c>
      <c r="M3773">
        <v>0</v>
      </c>
      <c r="N3773">
        <v>0</v>
      </c>
      <c r="O3773" s="5" t="s">
        <v>617</v>
      </c>
      <c r="P3773" s="5" t="s">
        <v>618</v>
      </c>
      <c r="Q3773">
        <f>27.5-13.5</f>
        <v>14</v>
      </c>
      <c r="R3773" t="s">
        <v>64</v>
      </c>
      <c r="T3773">
        <v>19</v>
      </c>
      <c r="U3773">
        <v>82</v>
      </c>
      <c r="V3773">
        <v>18</v>
      </c>
      <c r="W3773">
        <v>12.7</v>
      </c>
      <c r="X3773">
        <v>24.9</v>
      </c>
      <c r="Y3773" t="s">
        <v>958</v>
      </c>
      <c r="Z3773" t="s">
        <v>102</v>
      </c>
      <c r="AB3773" t="s">
        <v>47</v>
      </c>
      <c r="AC3773" t="s">
        <v>41</v>
      </c>
    </row>
    <row r="3774" spans="1:30" x14ac:dyDescent="0.35">
      <c r="A3774" s="4">
        <v>42605</v>
      </c>
      <c r="B3774" t="s">
        <v>30</v>
      </c>
      <c r="C3774">
        <v>401</v>
      </c>
      <c r="D3774">
        <v>5</v>
      </c>
      <c r="E3774">
        <v>2</v>
      </c>
      <c r="F3774" t="s">
        <v>315</v>
      </c>
      <c r="G3774" t="s">
        <v>32</v>
      </c>
      <c r="H3774" t="s">
        <v>33</v>
      </c>
      <c r="I3774" t="s">
        <v>43</v>
      </c>
      <c r="J3774" t="s">
        <v>44</v>
      </c>
      <c r="K3774" t="s">
        <v>36</v>
      </c>
      <c r="L3774" t="s">
        <v>37</v>
      </c>
      <c r="M3774">
        <v>0</v>
      </c>
      <c r="N3774">
        <v>0</v>
      </c>
      <c r="O3774" s="5" t="s">
        <v>690</v>
      </c>
      <c r="P3774" s="5" t="s">
        <v>691</v>
      </c>
      <c r="Q3774">
        <f>32-14</f>
        <v>18</v>
      </c>
      <c r="R3774" t="s">
        <v>64</v>
      </c>
      <c r="T3774">
        <v>19</v>
      </c>
      <c r="U3774">
        <v>96</v>
      </c>
      <c r="V3774">
        <v>17</v>
      </c>
      <c r="W3774">
        <v>13</v>
      </c>
      <c r="X3774">
        <v>28</v>
      </c>
      <c r="Z3774" t="s">
        <v>102</v>
      </c>
      <c r="AA3774" t="s">
        <v>201</v>
      </c>
      <c r="AB3774" t="s">
        <v>86</v>
      </c>
      <c r="AC3774" t="s">
        <v>41</v>
      </c>
    </row>
    <row r="3775" spans="1:30" x14ac:dyDescent="0.35">
      <c r="A3775" s="4">
        <v>42605</v>
      </c>
      <c r="B3775" t="s">
        <v>30</v>
      </c>
      <c r="C3775">
        <v>401</v>
      </c>
      <c r="D3775">
        <v>3</v>
      </c>
      <c r="E3775">
        <v>2</v>
      </c>
      <c r="F3775" t="s">
        <v>315</v>
      </c>
      <c r="G3775" t="s">
        <v>32</v>
      </c>
      <c r="H3775" t="s">
        <v>33</v>
      </c>
      <c r="I3775" t="s">
        <v>43</v>
      </c>
      <c r="J3775" t="s">
        <v>44</v>
      </c>
      <c r="K3775" t="s">
        <v>113</v>
      </c>
      <c r="L3775" t="s">
        <v>45</v>
      </c>
      <c r="M3775">
        <v>0</v>
      </c>
      <c r="N3775">
        <v>0</v>
      </c>
      <c r="O3775" s="5" t="s">
        <v>626</v>
      </c>
      <c r="P3775" s="5" t="s">
        <v>627</v>
      </c>
      <c r="Q3775">
        <f>36-16</f>
        <v>20</v>
      </c>
      <c r="R3775" t="s">
        <v>46</v>
      </c>
      <c r="S3775" t="s">
        <v>39</v>
      </c>
      <c r="T3775">
        <v>20</v>
      </c>
      <c r="U3775">
        <v>98</v>
      </c>
      <c r="V3775">
        <v>17.5</v>
      </c>
      <c r="W3775">
        <v>13.1</v>
      </c>
      <c r="X3775">
        <v>28.5</v>
      </c>
      <c r="Z3775" t="s">
        <v>102</v>
      </c>
      <c r="AA3775" t="s">
        <v>201</v>
      </c>
      <c r="AB3775" t="s">
        <v>86</v>
      </c>
      <c r="AC3775" t="s">
        <v>41</v>
      </c>
    </row>
    <row r="3776" spans="1:30" x14ac:dyDescent="0.35">
      <c r="A3776" s="4">
        <v>42605</v>
      </c>
      <c r="B3776" t="s">
        <v>30</v>
      </c>
      <c r="C3776">
        <v>303</v>
      </c>
      <c r="D3776">
        <v>3</v>
      </c>
      <c r="E3776">
        <v>2</v>
      </c>
      <c r="F3776" t="s">
        <v>315</v>
      </c>
      <c r="G3776" t="s">
        <v>32</v>
      </c>
      <c r="H3776" t="s">
        <v>33</v>
      </c>
      <c r="I3776" t="s">
        <v>43</v>
      </c>
      <c r="J3776" t="s">
        <v>44</v>
      </c>
      <c r="K3776" t="s">
        <v>113</v>
      </c>
      <c r="L3776" t="s">
        <v>45</v>
      </c>
      <c r="M3776">
        <v>0</v>
      </c>
      <c r="N3776">
        <v>0</v>
      </c>
      <c r="O3776" s="5" t="s">
        <v>628</v>
      </c>
      <c r="P3776" s="5" t="s">
        <v>629</v>
      </c>
      <c r="Q3776">
        <f>27-13.5</f>
        <v>13.5</v>
      </c>
      <c r="R3776" t="s">
        <v>46</v>
      </c>
      <c r="S3776" t="s">
        <v>39</v>
      </c>
      <c r="T3776">
        <v>18</v>
      </c>
      <c r="U3776">
        <v>80</v>
      </c>
      <c r="V3776">
        <v>16</v>
      </c>
      <c r="W3776">
        <v>12.8</v>
      </c>
      <c r="X3776">
        <v>26.8</v>
      </c>
      <c r="Z3776" t="s">
        <v>102</v>
      </c>
      <c r="AB3776" t="s">
        <v>86</v>
      </c>
      <c r="AC3776" t="s">
        <v>41</v>
      </c>
      <c r="AD3776" t="s">
        <v>710</v>
      </c>
    </row>
    <row r="3777" spans="1:30" x14ac:dyDescent="0.35">
      <c r="A3777" s="4">
        <v>42605</v>
      </c>
      <c r="B3777" t="s">
        <v>30</v>
      </c>
      <c r="C3777">
        <v>503</v>
      </c>
      <c r="D3777">
        <v>10</v>
      </c>
      <c r="E3777">
        <v>2</v>
      </c>
      <c r="F3777" t="s">
        <v>315</v>
      </c>
      <c r="G3777" t="s">
        <v>32</v>
      </c>
      <c r="H3777" t="s">
        <v>33</v>
      </c>
      <c r="I3777" t="s">
        <v>43</v>
      </c>
      <c r="J3777" t="s">
        <v>44</v>
      </c>
      <c r="K3777" t="s">
        <v>88</v>
      </c>
      <c r="L3777" t="s">
        <v>45</v>
      </c>
      <c r="M3777">
        <v>0</v>
      </c>
      <c r="N3777">
        <v>0</v>
      </c>
      <c r="O3777" s="5" t="s">
        <v>551</v>
      </c>
      <c r="P3777" s="5" t="s">
        <v>552</v>
      </c>
      <c r="Q3777">
        <f>24-13.5</f>
        <v>10.5</v>
      </c>
      <c r="R3777" t="s">
        <v>46</v>
      </c>
      <c r="S3777" t="s">
        <v>39</v>
      </c>
      <c r="Z3777" t="s">
        <v>39</v>
      </c>
      <c r="AB3777" t="s">
        <v>86</v>
      </c>
      <c r="AC3777" t="s">
        <v>41</v>
      </c>
      <c r="AD3777" t="s">
        <v>959</v>
      </c>
    </row>
    <row r="3778" spans="1:30" x14ac:dyDescent="0.35">
      <c r="A3778" s="4">
        <v>42605</v>
      </c>
      <c r="B3778" t="s">
        <v>30</v>
      </c>
      <c r="C3778">
        <v>501</v>
      </c>
      <c r="D3778">
        <v>2</v>
      </c>
      <c r="E3778">
        <v>2</v>
      </c>
      <c r="F3778" t="s">
        <v>315</v>
      </c>
      <c r="G3778" t="s">
        <v>32</v>
      </c>
      <c r="H3778" t="s">
        <v>33</v>
      </c>
      <c r="I3778" t="s">
        <v>43</v>
      </c>
      <c r="J3778" t="s">
        <v>44</v>
      </c>
      <c r="K3778" t="s">
        <v>113</v>
      </c>
      <c r="L3778" t="s">
        <v>37</v>
      </c>
      <c r="M3778">
        <v>0</v>
      </c>
      <c r="N3778">
        <v>0</v>
      </c>
      <c r="O3778" s="5" t="s">
        <v>555</v>
      </c>
      <c r="P3778" s="5" t="s">
        <v>556</v>
      </c>
      <c r="Q3778">
        <f>32-16</f>
        <v>16</v>
      </c>
      <c r="R3778" t="s">
        <v>64</v>
      </c>
      <c r="T3778">
        <v>19.5</v>
      </c>
      <c r="U3778">
        <v>85</v>
      </c>
      <c r="V3778">
        <v>17</v>
      </c>
      <c r="W3778">
        <v>13</v>
      </c>
      <c r="X3778">
        <v>27.5</v>
      </c>
      <c r="Z3778" t="s">
        <v>102</v>
      </c>
      <c r="AB3778" t="s">
        <v>86</v>
      </c>
      <c r="AC3778" t="s">
        <v>41</v>
      </c>
    </row>
    <row r="3779" spans="1:30" x14ac:dyDescent="0.35">
      <c r="A3779" s="4">
        <v>42605</v>
      </c>
      <c r="B3779" t="s">
        <v>30</v>
      </c>
      <c r="C3779">
        <v>703</v>
      </c>
      <c r="D3779">
        <v>1</v>
      </c>
      <c r="E3779">
        <v>1</v>
      </c>
      <c r="F3779" t="s">
        <v>42</v>
      </c>
      <c r="G3779" t="s">
        <v>32</v>
      </c>
      <c r="H3779" t="s">
        <v>33</v>
      </c>
      <c r="I3779" t="s">
        <v>43</v>
      </c>
      <c r="J3779" t="s">
        <v>44</v>
      </c>
      <c r="K3779" t="s">
        <v>112</v>
      </c>
      <c r="L3779" t="s">
        <v>37</v>
      </c>
      <c r="M3779">
        <v>0</v>
      </c>
      <c r="N3779">
        <v>0</v>
      </c>
      <c r="O3779" s="5" t="s">
        <v>557</v>
      </c>
      <c r="P3779" s="5" t="s">
        <v>558</v>
      </c>
      <c r="Q3779">
        <f>30-13</f>
        <v>17</v>
      </c>
      <c r="R3779" t="s">
        <v>64</v>
      </c>
      <c r="T3779">
        <v>18.5</v>
      </c>
      <c r="U3779">
        <v>86</v>
      </c>
      <c r="V3779">
        <v>18</v>
      </c>
      <c r="W3779">
        <v>12.9</v>
      </c>
      <c r="X3779">
        <v>25.9</v>
      </c>
      <c r="AB3779" t="s">
        <v>47</v>
      </c>
      <c r="AC3779" t="s">
        <v>41</v>
      </c>
    </row>
    <row r="3780" spans="1:30" x14ac:dyDescent="0.35">
      <c r="A3780" s="4">
        <v>42605</v>
      </c>
      <c r="B3780" t="s">
        <v>30</v>
      </c>
      <c r="C3780">
        <v>701</v>
      </c>
      <c r="D3780">
        <v>4</v>
      </c>
      <c r="E3780">
        <v>1</v>
      </c>
      <c r="F3780" t="s">
        <v>42</v>
      </c>
      <c r="G3780" t="s">
        <v>32</v>
      </c>
      <c r="H3780" t="s">
        <v>33</v>
      </c>
      <c r="I3780" t="s">
        <v>43</v>
      </c>
      <c r="J3780" t="s">
        <v>44</v>
      </c>
      <c r="K3780" t="s">
        <v>113</v>
      </c>
      <c r="L3780" t="s">
        <v>37</v>
      </c>
      <c r="M3780">
        <v>0</v>
      </c>
      <c r="N3780">
        <v>0</v>
      </c>
      <c r="O3780" s="5" t="s">
        <v>562</v>
      </c>
      <c r="P3780" s="5" t="s">
        <v>563</v>
      </c>
      <c r="Q3780">
        <f>31.5-14</f>
        <v>17.5</v>
      </c>
      <c r="R3780" t="s">
        <v>64</v>
      </c>
      <c r="T3780">
        <v>19</v>
      </c>
      <c r="U3780">
        <v>83</v>
      </c>
      <c r="V3780">
        <v>15.5</v>
      </c>
      <c r="W3780">
        <v>13</v>
      </c>
      <c r="X3780">
        <v>26.8</v>
      </c>
      <c r="Z3780" t="s">
        <v>102</v>
      </c>
      <c r="AB3780" t="s">
        <v>47</v>
      </c>
      <c r="AC3780" t="s">
        <v>41</v>
      </c>
      <c r="AD3780" t="s">
        <v>960</v>
      </c>
    </row>
    <row r="3781" spans="1:30" x14ac:dyDescent="0.35">
      <c r="A3781" s="4">
        <v>42605</v>
      </c>
      <c r="B3781" t="s">
        <v>30</v>
      </c>
      <c r="C3781">
        <v>701</v>
      </c>
      <c r="D3781">
        <v>1</v>
      </c>
      <c r="E3781">
        <v>1</v>
      </c>
      <c r="F3781" t="s">
        <v>42</v>
      </c>
      <c r="G3781" t="s">
        <v>32</v>
      </c>
      <c r="H3781" t="s">
        <v>33</v>
      </c>
      <c r="I3781" t="s">
        <v>43</v>
      </c>
      <c r="J3781" t="s">
        <v>44</v>
      </c>
      <c r="K3781" t="s">
        <v>113</v>
      </c>
      <c r="L3781" t="s">
        <v>37</v>
      </c>
      <c r="M3781">
        <v>0</v>
      </c>
      <c r="N3781">
        <v>0</v>
      </c>
      <c r="O3781" s="5" t="s">
        <v>565</v>
      </c>
      <c r="P3781" s="5" t="s">
        <v>566</v>
      </c>
      <c r="Q3781">
        <f>34-16.5</f>
        <v>17.5</v>
      </c>
      <c r="R3781" t="s">
        <v>64</v>
      </c>
      <c r="T3781">
        <v>18</v>
      </c>
      <c r="U3781">
        <v>89</v>
      </c>
      <c r="V3781">
        <v>17</v>
      </c>
      <c r="W3781">
        <v>13.1</v>
      </c>
      <c r="X3781">
        <v>26.5</v>
      </c>
      <c r="Y3781" t="s">
        <v>961</v>
      </c>
      <c r="Z3781" t="s">
        <v>102</v>
      </c>
      <c r="AB3781" t="s">
        <v>47</v>
      </c>
      <c r="AC3781" t="s">
        <v>41</v>
      </c>
    </row>
    <row r="3782" spans="1:30" x14ac:dyDescent="0.35">
      <c r="A3782" s="4">
        <v>42605</v>
      </c>
      <c r="B3782" t="s">
        <v>30</v>
      </c>
      <c r="C3782">
        <v>703</v>
      </c>
      <c r="D3782">
        <v>6</v>
      </c>
      <c r="E3782">
        <v>1</v>
      </c>
      <c r="F3782" t="s">
        <v>42</v>
      </c>
      <c r="G3782" t="s">
        <v>32</v>
      </c>
      <c r="H3782" t="s">
        <v>33</v>
      </c>
      <c r="I3782" t="s">
        <v>43</v>
      </c>
      <c r="J3782" t="s">
        <v>44</v>
      </c>
      <c r="K3782" t="s">
        <v>113</v>
      </c>
      <c r="L3782" t="s">
        <v>45</v>
      </c>
      <c r="M3782">
        <v>0</v>
      </c>
      <c r="N3782">
        <v>0</v>
      </c>
      <c r="O3782" s="5" t="s">
        <v>568</v>
      </c>
      <c r="P3782" s="5" t="s">
        <v>569</v>
      </c>
      <c r="Q3782">
        <f>30-16</f>
        <v>14</v>
      </c>
      <c r="R3782" t="s">
        <v>46</v>
      </c>
      <c r="S3782" t="s">
        <v>39</v>
      </c>
      <c r="T3782">
        <v>19</v>
      </c>
      <c r="U3782">
        <v>77</v>
      </c>
      <c r="V3782">
        <v>16</v>
      </c>
      <c r="W3782">
        <v>12.9</v>
      </c>
      <c r="X3782">
        <v>25.9</v>
      </c>
      <c r="AB3782" t="s">
        <v>47</v>
      </c>
      <c r="AC3782" t="s">
        <v>41</v>
      </c>
    </row>
    <row r="3783" spans="1:30" x14ac:dyDescent="0.35">
      <c r="A3783" s="4">
        <v>42605</v>
      </c>
      <c r="B3783" t="s">
        <v>30</v>
      </c>
      <c r="C3783">
        <v>703</v>
      </c>
      <c r="D3783">
        <v>3</v>
      </c>
      <c r="E3783">
        <v>1</v>
      </c>
      <c r="F3783" t="s">
        <v>42</v>
      </c>
      <c r="G3783" t="s">
        <v>32</v>
      </c>
      <c r="H3783" t="s">
        <v>33</v>
      </c>
      <c r="I3783" t="s">
        <v>43</v>
      </c>
      <c r="J3783" t="s">
        <v>44</v>
      </c>
      <c r="K3783" t="s">
        <v>113</v>
      </c>
      <c r="L3783" t="s">
        <v>45</v>
      </c>
      <c r="M3783">
        <v>0</v>
      </c>
      <c r="N3783">
        <v>0</v>
      </c>
      <c r="O3783" s="5" t="s">
        <v>635</v>
      </c>
      <c r="P3783" s="5" t="s">
        <v>636</v>
      </c>
      <c r="Q3783">
        <f>28-13</f>
        <v>15</v>
      </c>
      <c r="R3783" t="s">
        <v>46</v>
      </c>
      <c r="S3783" t="s">
        <v>39</v>
      </c>
      <c r="T3783">
        <v>18.5</v>
      </c>
      <c r="U3783">
        <v>79</v>
      </c>
      <c r="V3783">
        <v>15</v>
      </c>
      <c r="W3783">
        <v>12.6</v>
      </c>
      <c r="X3783">
        <v>25.75</v>
      </c>
      <c r="Z3783" t="s">
        <v>102</v>
      </c>
      <c r="AB3783" t="s">
        <v>47</v>
      </c>
      <c r="AC3783" t="s">
        <v>41</v>
      </c>
    </row>
    <row r="3784" spans="1:30" x14ac:dyDescent="0.35">
      <c r="A3784" s="4">
        <v>42605</v>
      </c>
      <c r="B3784" t="s">
        <v>30</v>
      </c>
      <c r="C3784">
        <v>503</v>
      </c>
      <c r="D3784">
        <v>9</v>
      </c>
      <c r="E3784">
        <v>1</v>
      </c>
      <c r="F3784" t="s">
        <v>315</v>
      </c>
      <c r="G3784" t="s">
        <v>32</v>
      </c>
      <c r="H3784" t="s">
        <v>33</v>
      </c>
      <c r="I3784" t="s">
        <v>43</v>
      </c>
      <c r="J3784" t="s">
        <v>44</v>
      </c>
      <c r="K3784" t="s">
        <v>36</v>
      </c>
      <c r="L3784" t="s">
        <v>37</v>
      </c>
      <c r="M3784">
        <v>0</v>
      </c>
      <c r="N3784">
        <v>0</v>
      </c>
      <c r="O3784" s="5" t="s">
        <v>639</v>
      </c>
      <c r="P3784" s="5" t="s">
        <v>640</v>
      </c>
      <c r="Q3784">
        <f>37-18</f>
        <v>19</v>
      </c>
      <c r="R3784" t="s">
        <v>64</v>
      </c>
      <c r="T3784">
        <v>19</v>
      </c>
      <c r="U3784">
        <v>83</v>
      </c>
      <c r="V3784">
        <v>16</v>
      </c>
      <c r="W3784">
        <v>12.9</v>
      </c>
      <c r="X3784">
        <v>27</v>
      </c>
      <c r="Z3784" t="s">
        <v>102</v>
      </c>
      <c r="AA3784" t="s">
        <v>201</v>
      </c>
      <c r="AB3784" t="s">
        <v>86</v>
      </c>
      <c r="AC3784" t="s">
        <v>41</v>
      </c>
      <c r="AD3784" t="s">
        <v>962</v>
      </c>
    </row>
    <row r="3785" spans="1:30" x14ac:dyDescent="0.35">
      <c r="A3785" s="4">
        <v>42605</v>
      </c>
      <c r="B3785" t="s">
        <v>30</v>
      </c>
      <c r="C3785">
        <v>701</v>
      </c>
      <c r="D3785">
        <v>8</v>
      </c>
      <c r="E3785">
        <v>2</v>
      </c>
      <c r="F3785" t="s">
        <v>42</v>
      </c>
      <c r="G3785" t="s">
        <v>32</v>
      </c>
      <c r="H3785" t="s">
        <v>33</v>
      </c>
      <c r="I3785" t="s">
        <v>43</v>
      </c>
      <c r="J3785" t="s">
        <v>44</v>
      </c>
      <c r="K3785" t="s">
        <v>36</v>
      </c>
      <c r="L3785" t="s">
        <v>45</v>
      </c>
      <c r="M3785">
        <v>0</v>
      </c>
      <c r="N3785">
        <v>0</v>
      </c>
      <c r="O3785" s="5" t="s">
        <v>576</v>
      </c>
      <c r="P3785" s="5" t="s">
        <v>577</v>
      </c>
      <c r="Q3785">
        <f>32-13</f>
        <v>19</v>
      </c>
      <c r="R3785" t="s">
        <v>64</v>
      </c>
      <c r="T3785">
        <v>18</v>
      </c>
      <c r="U3785">
        <v>86</v>
      </c>
      <c r="V3785">
        <v>15</v>
      </c>
      <c r="W3785">
        <v>13.5</v>
      </c>
      <c r="X3785">
        <v>27.7</v>
      </c>
      <c r="Z3785" t="s">
        <v>102</v>
      </c>
      <c r="AB3785" t="s">
        <v>47</v>
      </c>
      <c r="AC3785" t="s">
        <v>41</v>
      </c>
      <c r="AD3785" t="s">
        <v>963</v>
      </c>
    </row>
    <row r="3786" spans="1:30" x14ac:dyDescent="0.35">
      <c r="A3786" s="4">
        <v>42605</v>
      </c>
      <c r="B3786" t="s">
        <v>30</v>
      </c>
      <c r="C3786">
        <v>701</v>
      </c>
      <c r="D3786">
        <v>7</v>
      </c>
      <c r="E3786">
        <v>1</v>
      </c>
      <c r="F3786" t="s">
        <v>42</v>
      </c>
      <c r="G3786" t="s">
        <v>32</v>
      </c>
      <c r="H3786" t="s">
        <v>33</v>
      </c>
      <c r="I3786" t="s">
        <v>43</v>
      </c>
      <c r="J3786" t="s">
        <v>44</v>
      </c>
      <c r="K3786" t="s">
        <v>113</v>
      </c>
      <c r="L3786" t="s">
        <v>37</v>
      </c>
      <c r="M3786">
        <v>0</v>
      </c>
      <c r="N3786">
        <v>0</v>
      </c>
      <c r="O3786" s="5">
        <v>50761</v>
      </c>
      <c r="P3786" s="5" t="s">
        <v>579</v>
      </c>
      <c r="Q3786">
        <f>30-13.5</f>
        <v>16.5</v>
      </c>
      <c r="R3786" t="s">
        <v>64</v>
      </c>
      <c r="T3786">
        <v>19</v>
      </c>
      <c r="U3786">
        <v>86</v>
      </c>
      <c r="V3786">
        <v>17</v>
      </c>
      <c r="W3786">
        <v>13.2</v>
      </c>
      <c r="X3786">
        <v>28.2</v>
      </c>
      <c r="Z3786" t="s">
        <v>102</v>
      </c>
      <c r="AB3786" t="s">
        <v>47</v>
      </c>
      <c r="AC3786" t="s">
        <v>41</v>
      </c>
    </row>
    <row r="3787" spans="1:30" x14ac:dyDescent="0.35">
      <c r="A3787" s="4">
        <v>42605</v>
      </c>
      <c r="B3787" t="s">
        <v>30</v>
      </c>
      <c r="C3787">
        <v>901</v>
      </c>
      <c r="D3787">
        <v>2</v>
      </c>
      <c r="E3787">
        <v>1</v>
      </c>
      <c r="F3787" t="s">
        <v>42</v>
      </c>
      <c r="G3787" t="s">
        <v>32</v>
      </c>
      <c r="H3787" t="s">
        <v>33</v>
      </c>
      <c r="I3787" t="s">
        <v>43</v>
      </c>
      <c r="J3787" t="s">
        <v>44</v>
      </c>
      <c r="K3787" t="s">
        <v>113</v>
      </c>
      <c r="L3787" t="s">
        <v>37</v>
      </c>
      <c r="M3787">
        <v>0</v>
      </c>
      <c r="N3787">
        <v>0</v>
      </c>
      <c r="O3787" s="5" t="s">
        <v>964</v>
      </c>
      <c r="P3787" s="5" t="s">
        <v>965</v>
      </c>
      <c r="Q3787">
        <f>30-13.5</f>
        <v>16.5</v>
      </c>
      <c r="R3787" t="s">
        <v>64</v>
      </c>
      <c r="T3787">
        <v>18</v>
      </c>
      <c r="U3787">
        <v>89</v>
      </c>
      <c r="V3787">
        <v>16.5</v>
      </c>
      <c r="W3787">
        <v>12.9</v>
      </c>
      <c r="AB3787" t="s">
        <v>47</v>
      </c>
      <c r="AC3787" t="s">
        <v>41</v>
      </c>
    </row>
    <row r="3788" spans="1:30" x14ac:dyDescent="0.35">
      <c r="A3788" s="4">
        <v>42605</v>
      </c>
      <c r="B3788" t="s">
        <v>30</v>
      </c>
      <c r="C3788">
        <v>703</v>
      </c>
      <c r="D3788">
        <v>8</v>
      </c>
      <c r="E3788">
        <v>2</v>
      </c>
      <c r="F3788" t="s">
        <v>42</v>
      </c>
      <c r="G3788" t="s">
        <v>32</v>
      </c>
      <c r="H3788" t="s">
        <v>33</v>
      </c>
      <c r="I3788" t="s">
        <v>43</v>
      </c>
      <c r="J3788" t="s">
        <v>44</v>
      </c>
      <c r="K3788" t="s">
        <v>36</v>
      </c>
      <c r="L3788" t="s">
        <v>37</v>
      </c>
      <c r="M3788">
        <v>0</v>
      </c>
      <c r="N3788">
        <v>0</v>
      </c>
      <c r="O3788" s="5" t="s">
        <v>582</v>
      </c>
      <c r="P3788" s="5" t="s">
        <v>583</v>
      </c>
      <c r="Q3788">
        <f>33-13</f>
        <v>20</v>
      </c>
      <c r="R3788" t="s">
        <v>64</v>
      </c>
      <c r="T3788">
        <v>20</v>
      </c>
      <c r="U3788">
        <v>90</v>
      </c>
      <c r="V3788">
        <v>18</v>
      </c>
      <c r="W3788">
        <v>13.6</v>
      </c>
      <c r="X3788">
        <v>26.5</v>
      </c>
      <c r="AB3788" t="s">
        <v>47</v>
      </c>
      <c r="AC3788" t="s">
        <v>41</v>
      </c>
    </row>
    <row r="3789" spans="1:30" x14ac:dyDescent="0.35">
      <c r="A3789" s="4">
        <v>42605</v>
      </c>
      <c r="B3789" t="s">
        <v>30</v>
      </c>
      <c r="C3789">
        <v>801</v>
      </c>
      <c r="D3789">
        <v>7</v>
      </c>
      <c r="E3789">
        <v>2</v>
      </c>
      <c r="F3789" t="s">
        <v>42</v>
      </c>
      <c r="G3789" t="s">
        <v>32</v>
      </c>
      <c r="H3789" t="s">
        <v>33</v>
      </c>
      <c r="I3789" t="s">
        <v>43</v>
      </c>
      <c r="J3789" t="s">
        <v>44</v>
      </c>
      <c r="K3789" t="s">
        <v>113</v>
      </c>
      <c r="L3789" t="s">
        <v>45</v>
      </c>
      <c r="M3789">
        <v>0</v>
      </c>
      <c r="N3789">
        <v>0</v>
      </c>
      <c r="O3789" s="5" t="s">
        <v>708</v>
      </c>
      <c r="P3789" s="5" t="s">
        <v>709</v>
      </c>
      <c r="Q3789">
        <f>30.5-15</f>
        <v>15.5</v>
      </c>
      <c r="R3789" t="s">
        <v>46</v>
      </c>
      <c r="S3789" t="s">
        <v>39</v>
      </c>
      <c r="T3789">
        <v>19</v>
      </c>
      <c r="U3789">
        <v>87</v>
      </c>
      <c r="V3789">
        <v>18</v>
      </c>
      <c r="W3789">
        <v>13.2</v>
      </c>
      <c r="X3789">
        <v>26.8</v>
      </c>
      <c r="Z3789" t="s">
        <v>102</v>
      </c>
      <c r="AB3789" t="s">
        <v>47</v>
      </c>
      <c r="AC3789" t="s">
        <v>41</v>
      </c>
    </row>
    <row r="3790" spans="1:30" x14ac:dyDescent="0.35">
      <c r="A3790" s="4">
        <v>42605</v>
      </c>
      <c r="B3790" t="s">
        <v>30</v>
      </c>
      <c r="C3790">
        <v>801</v>
      </c>
      <c r="D3790">
        <v>6</v>
      </c>
      <c r="E3790">
        <v>2</v>
      </c>
      <c r="F3790" t="s">
        <v>42</v>
      </c>
      <c r="G3790" t="s">
        <v>32</v>
      </c>
      <c r="H3790" t="s">
        <v>33</v>
      </c>
      <c r="I3790" t="s">
        <v>43</v>
      </c>
      <c r="J3790" t="s">
        <v>44</v>
      </c>
      <c r="K3790" t="s">
        <v>113</v>
      </c>
      <c r="L3790" t="s">
        <v>45</v>
      </c>
      <c r="M3790">
        <v>0</v>
      </c>
      <c r="N3790">
        <v>0</v>
      </c>
      <c r="O3790" s="5" t="s">
        <v>966</v>
      </c>
      <c r="P3790" s="5" t="s">
        <v>967</v>
      </c>
      <c r="Q3790">
        <f>31-13</f>
        <v>18</v>
      </c>
      <c r="R3790" t="s">
        <v>46</v>
      </c>
      <c r="S3790" t="s">
        <v>39</v>
      </c>
      <c r="T3790">
        <v>20</v>
      </c>
      <c r="U3790">
        <v>92</v>
      </c>
      <c r="V3790">
        <v>16.5</v>
      </c>
      <c r="W3790">
        <v>12.85</v>
      </c>
      <c r="X3790">
        <v>27.4</v>
      </c>
      <c r="Z3790" t="s">
        <v>102</v>
      </c>
      <c r="AB3790" t="s">
        <v>47</v>
      </c>
      <c r="AC3790" t="s">
        <v>41</v>
      </c>
      <c r="AD3790" t="s">
        <v>968</v>
      </c>
    </row>
    <row r="3791" spans="1:30" x14ac:dyDescent="0.35">
      <c r="A3791" s="4">
        <v>42605</v>
      </c>
      <c r="B3791" t="s">
        <v>30</v>
      </c>
      <c r="C3791">
        <v>503</v>
      </c>
      <c r="D3791">
        <v>1</v>
      </c>
      <c r="E3791">
        <v>2</v>
      </c>
      <c r="F3791" t="s">
        <v>315</v>
      </c>
      <c r="G3791" t="s">
        <v>32</v>
      </c>
      <c r="H3791" t="s">
        <v>33</v>
      </c>
      <c r="I3791" t="s">
        <v>43</v>
      </c>
      <c r="J3791" t="s">
        <v>44</v>
      </c>
      <c r="K3791" t="s">
        <v>88</v>
      </c>
      <c r="L3791" t="s">
        <v>37</v>
      </c>
      <c r="M3791">
        <v>0</v>
      </c>
      <c r="N3791">
        <v>0</v>
      </c>
      <c r="O3791" s="5" t="s">
        <v>587</v>
      </c>
      <c r="P3791" s="5" t="s">
        <v>585</v>
      </c>
      <c r="Q3791">
        <f>30.5-16</f>
        <v>14.5</v>
      </c>
      <c r="R3791" t="s">
        <v>64</v>
      </c>
      <c r="T3791">
        <v>19</v>
      </c>
      <c r="U3791">
        <v>75</v>
      </c>
      <c r="V3791">
        <v>17</v>
      </c>
      <c r="W3791">
        <v>12.9</v>
      </c>
      <c r="X3791">
        <v>26.3</v>
      </c>
      <c r="Z3791" t="s">
        <v>102</v>
      </c>
      <c r="AA3791" t="s">
        <v>201</v>
      </c>
      <c r="AB3791" t="s">
        <v>86</v>
      </c>
      <c r="AC3791" t="s">
        <v>41</v>
      </c>
    </row>
    <row r="3792" spans="1:30" x14ac:dyDescent="0.35">
      <c r="A3792" s="4">
        <v>42605</v>
      </c>
      <c r="B3792" t="s">
        <v>30</v>
      </c>
      <c r="C3792">
        <v>503</v>
      </c>
      <c r="D3792">
        <v>9</v>
      </c>
      <c r="E3792">
        <v>2</v>
      </c>
      <c r="F3792" t="s">
        <v>315</v>
      </c>
      <c r="G3792" t="s">
        <v>32</v>
      </c>
      <c r="H3792" t="s">
        <v>33</v>
      </c>
      <c r="I3792" t="s">
        <v>34</v>
      </c>
      <c r="J3792" t="s">
        <v>44</v>
      </c>
      <c r="K3792" t="s">
        <v>36</v>
      </c>
      <c r="L3792" t="s">
        <v>45</v>
      </c>
      <c r="M3792">
        <v>0</v>
      </c>
      <c r="N3792">
        <v>0</v>
      </c>
      <c r="O3792" s="5" t="s">
        <v>590</v>
      </c>
      <c r="P3792" s="5"/>
      <c r="Q3792">
        <f>133-50</f>
        <v>83</v>
      </c>
      <c r="R3792" t="s">
        <v>143</v>
      </c>
      <c r="S3792" t="s">
        <v>102</v>
      </c>
      <c r="T3792">
        <v>30</v>
      </c>
      <c r="Z3792" t="s">
        <v>102</v>
      </c>
      <c r="AA3792" t="s">
        <v>201</v>
      </c>
      <c r="AB3792" t="s">
        <v>86</v>
      </c>
      <c r="AC3792" t="s">
        <v>41</v>
      </c>
    </row>
    <row r="3793" spans="1:30" x14ac:dyDescent="0.35">
      <c r="A3793" s="4">
        <v>42605</v>
      </c>
      <c r="B3793" t="s">
        <v>30</v>
      </c>
      <c r="C3793">
        <v>701</v>
      </c>
      <c r="D3793">
        <v>2</v>
      </c>
      <c r="E3793">
        <v>1</v>
      </c>
      <c r="F3793" t="s">
        <v>42</v>
      </c>
      <c r="G3793" t="s">
        <v>32</v>
      </c>
      <c r="H3793" t="s">
        <v>33</v>
      </c>
      <c r="I3793" t="s">
        <v>34</v>
      </c>
      <c r="J3793" t="s">
        <v>44</v>
      </c>
      <c r="K3793" t="s">
        <v>36</v>
      </c>
      <c r="L3793" t="s">
        <v>45</v>
      </c>
      <c r="M3793">
        <v>0</v>
      </c>
      <c r="N3793">
        <v>0</v>
      </c>
      <c r="O3793" s="5"/>
      <c r="P3793" s="5" t="s">
        <v>93</v>
      </c>
      <c r="Q3793">
        <f>185-90</f>
        <v>95</v>
      </c>
      <c r="R3793" t="s">
        <v>46</v>
      </c>
      <c r="S3793" t="s">
        <v>39</v>
      </c>
      <c r="T3793">
        <v>31</v>
      </c>
      <c r="W3793">
        <v>22.75</v>
      </c>
      <c r="X3793">
        <v>43.1</v>
      </c>
      <c r="AB3793" t="s">
        <v>47</v>
      </c>
      <c r="AC3793" t="s">
        <v>41</v>
      </c>
    </row>
    <row r="3794" spans="1:30" x14ac:dyDescent="0.35">
      <c r="A3794" s="4">
        <v>42605</v>
      </c>
      <c r="B3794" t="s">
        <v>30</v>
      </c>
      <c r="C3794">
        <v>801</v>
      </c>
      <c r="D3794">
        <v>5</v>
      </c>
      <c r="E3794">
        <v>2</v>
      </c>
      <c r="F3794" t="s">
        <v>42</v>
      </c>
      <c r="G3794" t="s">
        <v>32</v>
      </c>
      <c r="H3794" t="s">
        <v>33</v>
      </c>
      <c r="I3794" t="s">
        <v>34</v>
      </c>
      <c r="J3794" t="s">
        <v>44</v>
      </c>
      <c r="K3794" t="s">
        <v>36</v>
      </c>
      <c r="L3794" t="s">
        <v>37</v>
      </c>
      <c r="M3794">
        <v>0</v>
      </c>
      <c r="N3794">
        <v>0</v>
      </c>
      <c r="O3794" s="5"/>
      <c r="P3794" s="5" t="s">
        <v>591</v>
      </c>
      <c r="Q3794">
        <f>193-95</f>
        <v>98</v>
      </c>
      <c r="R3794" t="s">
        <v>64</v>
      </c>
      <c r="T3794">
        <v>29</v>
      </c>
      <c r="W3794">
        <v>23.3</v>
      </c>
      <c r="X3794">
        <v>42</v>
      </c>
      <c r="AB3794" t="s">
        <v>47</v>
      </c>
      <c r="AC3794" t="s">
        <v>41</v>
      </c>
    </row>
    <row r="3795" spans="1:30" x14ac:dyDescent="0.35">
      <c r="A3795" s="4">
        <v>42605</v>
      </c>
      <c r="B3795" t="s">
        <v>30</v>
      </c>
      <c r="C3795">
        <v>901</v>
      </c>
      <c r="D3795">
        <v>3</v>
      </c>
      <c r="E3795">
        <v>1</v>
      </c>
      <c r="F3795" t="s">
        <v>42</v>
      </c>
      <c r="G3795" t="s">
        <v>32</v>
      </c>
      <c r="H3795" t="s">
        <v>33</v>
      </c>
      <c r="I3795" t="s">
        <v>34</v>
      </c>
      <c r="J3795" t="s">
        <v>122</v>
      </c>
      <c r="O3795" s="5"/>
      <c r="P3795" s="5"/>
    </row>
    <row r="3796" spans="1:30" x14ac:dyDescent="0.35">
      <c r="A3796" s="4">
        <v>42605</v>
      </c>
      <c r="B3796" t="s">
        <v>30</v>
      </c>
      <c r="C3796">
        <v>303</v>
      </c>
      <c r="D3796">
        <v>4</v>
      </c>
      <c r="E3796">
        <v>1</v>
      </c>
      <c r="F3796" t="s">
        <v>315</v>
      </c>
      <c r="G3796" t="s">
        <v>32</v>
      </c>
      <c r="H3796" t="s">
        <v>33</v>
      </c>
      <c r="I3796" t="s">
        <v>58</v>
      </c>
      <c r="J3796" t="s">
        <v>44</v>
      </c>
      <c r="K3796" t="s">
        <v>36</v>
      </c>
      <c r="L3796" t="s">
        <v>37</v>
      </c>
      <c r="M3796">
        <v>0</v>
      </c>
      <c r="N3796">
        <v>0</v>
      </c>
      <c r="O3796" s="5" t="s">
        <v>918</v>
      </c>
      <c r="P3796" s="5"/>
      <c r="Q3796">
        <f>40-15.5</f>
        <v>24.5</v>
      </c>
      <c r="R3796" t="s">
        <v>38</v>
      </c>
      <c r="T3796">
        <v>19</v>
      </c>
      <c r="W3796">
        <v>13.2</v>
      </c>
      <c r="X3796">
        <v>27.1</v>
      </c>
      <c r="Z3796" t="s">
        <v>102</v>
      </c>
      <c r="AA3796" t="s">
        <v>201</v>
      </c>
      <c r="AB3796" t="s">
        <v>86</v>
      </c>
      <c r="AC3796" t="s">
        <v>41</v>
      </c>
    </row>
    <row r="3797" spans="1:30" x14ac:dyDescent="0.35">
      <c r="A3797" s="4">
        <v>42605</v>
      </c>
      <c r="B3797" t="s">
        <v>30</v>
      </c>
      <c r="C3797">
        <v>303</v>
      </c>
      <c r="D3797">
        <v>10</v>
      </c>
      <c r="E3797">
        <v>2</v>
      </c>
      <c r="F3797" t="s">
        <v>315</v>
      </c>
      <c r="G3797" t="s">
        <v>32</v>
      </c>
      <c r="H3797" t="s">
        <v>33</v>
      </c>
      <c r="I3797" t="s">
        <v>58</v>
      </c>
      <c r="J3797" t="s">
        <v>44</v>
      </c>
      <c r="K3797" t="s">
        <v>36</v>
      </c>
      <c r="L3797" t="s">
        <v>37</v>
      </c>
      <c r="M3797">
        <v>0</v>
      </c>
      <c r="N3797">
        <v>0</v>
      </c>
      <c r="O3797" s="5" t="s">
        <v>919</v>
      </c>
      <c r="P3797" s="5"/>
      <c r="Q3797">
        <f>39.5-19</f>
        <v>20.5</v>
      </c>
      <c r="R3797" t="s">
        <v>38</v>
      </c>
      <c r="Z3797" t="s">
        <v>102</v>
      </c>
      <c r="AA3797" t="s">
        <v>201</v>
      </c>
      <c r="AB3797" t="s">
        <v>86</v>
      </c>
      <c r="AC3797" t="s">
        <v>41</v>
      </c>
    </row>
    <row r="3798" spans="1:30" x14ac:dyDescent="0.35">
      <c r="A3798" s="4">
        <v>42605</v>
      </c>
      <c r="B3798" t="s">
        <v>30</v>
      </c>
      <c r="C3798">
        <v>401</v>
      </c>
      <c r="D3798">
        <v>10</v>
      </c>
      <c r="E3798">
        <v>2</v>
      </c>
      <c r="F3798" t="s">
        <v>315</v>
      </c>
      <c r="G3798" t="s">
        <v>32</v>
      </c>
      <c r="H3798" t="s">
        <v>33</v>
      </c>
      <c r="I3798" t="s">
        <v>58</v>
      </c>
      <c r="J3798" t="s">
        <v>44</v>
      </c>
      <c r="K3798" t="s">
        <v>36</v>
      </c>
      <c r="L3798" t="s">
        <v>37</v>
      </c>
      <c r="M3798">
        <v>0</v>
      </c>
      <c r="N3798">
        <v>0</v>
      </c>
      <c r="O3798" s="5" t="s">
        <v>923</v>
      </c>
      <c r="P3798" s="5"/>
      <c r="Q3798">
        <f>32-14</f>
        <v>18</v>
      </c>
      <c r="R3798" t="s">
        <v>64</v>
      </c>
      <c r="T3798">
        <v>16</v>
      </c>
      <c r="W3798">
        <v>13</v>
      </c>
      <c r="X3798">
        <v>26.4</v>
      </c>
      <c r="Z3798" t="s">
        <v>102</v>
      </c>
      <c r="AA3798" t="s">
        <v>201</v>
      </c>
      <c r="AB3798" t="s">
        <v>86</v>
      </c>
      <c r="AC3798" t="s">
        <v>41</v>
      </c>
    </row>
    <row r="3799" spans="1:30" x14ac:dyDescent="0.35">
      <c r="A3799" s="4">
        <v>42605</v>
      </c>
      <c r="B3799" t="s">
        <v>30</v>
      </c>
      <c r="C3799">
        <v>303</v>
      </c>
      <c r="D3799">
        <v>1</v>
      </c>
      <c r="E3799">
        <v>1</v>
      </c>
      <c r="F3799" t="s">
        <v>315</v>
      </c>
      <c r="G3799" t="s">
        <v>32</v>
      </c>
      <c r="H3799" t="s">
        <v>33</v>
      </c>
      <c r="I3799" t="s">
        <v>58</v>
      </c>
      <c r="J3799" t="s">
        <v>35</v>
      </c>
      <c r="K3799" t="s">
        <v>36</v>
      </c>
      <c r="L3799" t="s">
        <v>45</v>
      </c>
      <c r="M3799">
        <v>0</v>
      </c>
      <c r="N3799">
        <v>1</v>
      </c>
      <c r="O3799" s="5" t="s">
        <v>969</v>
      </c>
      <c r="P3799" s="5"/>
      <c r="Q3799">
        <f>42-13.5</f>
        <v>28.5</v>
      </c>
      <c r="R3799" t="s">
        <v>143</v>
      </c>
      <c r="S3799" t="s">
        <v>102</v>
      </c>
      <c r="T3799">
        <v>18</v>
      </c>
      <c r="W3799">
        <v>12.8</v>
      </c>
      <c r="X3799">
        <v>26.6</v>
      </c>
      <c r="Z3799" t="s">
        <v>102</v>
      </c>
      <c r="AA3799" t="s">
        <v>201</v>
      </c>
      <c r="AB3799" t="s">
        <v>86</v>
      </c>
      <c r="AC3799" t="s">
        <v>41</v>
      </c>
      <c r="AD3799" t="s">
        <v>970</v>
      </c>
    </row>
    <row r="3800" spans="1:30" x14ac:dyDescent="0.35">
      <c r="A3800" s="4">
        <v>42605</v>
      </c>
      <c r="B3800" t="s">
        <v>30</v>
      </c>
      <c r="C3800">
        <v>401</v>
      </c>
      <c r="D3800">
        <v>4</v>
      </c>
      <c r="E3800">
        <v>2</v>
      </c>
      <c r="F3800" t="s">
        <v>315</v>
      </c>
      <c r="G3800" t="s">
        <v>32</v>
      </c>
      <c r="H3800" t="s">
        <v>33</v>
      </c>
      <c r="I3800" t="s">
        <v>58</v>
      </c>
      <c r="J3800" t="s">
        <v>35</v>
      </c>
      <c r="K3800" t="s">
        <v>113</v>
      </c>
      <c r="L3800" t="s">
        <v>45</v>
      </c>
      <c r="M3800">
        <v>0</v>
      </c>
      <c r="N3800">
        <v>1</v>
      </c>
      <c r="O3800" s="5" t="s">
        <v>971</v>
      </c>
      <c r="P3800" s="5"/>
      <c r="Q3800">
        <f>32-16</f>
        <v>16</v>
      </c>
      <c r="R3800" t="s">
        <v>46</v>
      </c>
      <c r="S3800" t="s">
        <v>39</v>
      </c>
      <c r="T3800">
        <v>17</v>
      </c>
      <c r="W3800">
        <v>13</v>
      </c>
      <c r="X3800">
        <v>26.1</v>
      </c>
      <c r="Z3800" t="s">
        <v>102</v>
      </c>
      <c r="AA3800" t="s">
        <v>201</v>
      </c>
      <c r="AB3800" t="s">
        <v>86</v>
      </c>
      <c r="AC3800" t="s">
        <v>41</v>
      </c>
      <c r="AD3800" t="s">
        <v>807</v>
      </c>
    </row>
    <row r="3801" spans="1:30" x14ac:dyDescent="0.35">
      <c r="A3801" s="4">
        <v>42605</v>
      </c>
      <c r="B3801" t="s">
        <v>30</v>
      </c>
      <c r="C3801">
        <v>503</v>
      </c>
      <c r="D3801">
        <v>7</v>
      </c>
      <c r="E3801">
        <v>2</v>
      </c>
      <c r="F3801" t="s">
        <v>315</v>
      </c>
      <c r="G3801" t="s">
        <v>32</v>
      </c>
      <c r="H3801" t="s">
        <v>33</v>
      </c>
      <c r="I3801" t="s">
        <v>58</v>
      </c>
      <c r="J3801" t="s">
        <v>44</v>
      </c>
      <c r="K3801" t="s">
        <v>36</v>
      </c>
      <c r="L3801" t="s">
        <v>45</v>
      </c>
      <c r="M3801">
        <v>0</v>
      </c>
      <c r="N3801">
        <v>0</v>
      </c>
      <c r="O3801" s="5" t="s">
        <v>929</v>
      </c>
      <c r="P3801" s="5"/>
      <c r="Q3801">
        <f>42-19</f>
        <v>23</v>
      </c>
      <c r="R3801" t="s">
        <v>46</v>
      </c>
      <c r="S3801" t="s">
        <v>39</v>
      </c>
      <c r="Z3801" t="s">
        <v>102</v>
      </c>
      <c r="AA3801" t="s">
        <v>201</v>
      </c>
      <c r="AB3801" t="s">
        <v>86</v>
      </c>
      <c r="AC3801" t="s">
        <v>41</v>
      </c>
    </row>
    <row r="3802" spans="1:30" x14ac:dyDescent="0.35">
      <c r="A3802" s="4">
        <v>42605</v>
      </c>
      <c r="B3802" t="s">
        <v>30</v>
      </c>
      <c r="C3802">
        <v>701</v>
      </c>
      <c r="D3802">
        <v>6</v>
      </c>
      <c r="E3802">
        <v>1</v>
      </c>
      <c r="F3802" t="s">
        <v>42</v>
      </c>
      <c r="G3802" t="s">
        <v>32</v>
      </c>
      <c r="H3802" t="s">
        <v>33</v>
      </c>
      <c r="I3802" t="s">
        <v>58</v>
      </c>
      <c r="J3802" t="s">
        <v>35</v>
      </c>
      <c r="K3802" t="s">
        <v>88</v>
      </c>
      <c r="L3802" t="s">
        <v>37</v>
      </c>
      <c r="M3802">
        <v>0</v>
      </c>
      <c r="N3802">
        <v>1</v>
      </c>
      <c r="O3802" s="5" t="s">
        <v>972</v>
      </c>
      <c r="P3802" s="5"/>
      <c r="Q3802">
        <f>29.5-13</f>
        <v>16.5</v>
      </c>
      <c r="R3802" t="s">
        <v>64</v>
      </c>
      <c r="T3802">
        <v>16</v>
      </c>
      <c r="W3802">
        <v>12.45</v>
      </c>
      <c r="X3802">
        <v>24.8</v>
      </c>
      <c r="Z3802" t="s">
        <v>102</v>
      </c>
      <c r="AB3802" t="s">
        <v>47</v>
      </c>
      <c r="AC3802" t="s">
        <v>41</v>
      </c>
    </row>
    <row r="3803" spans="1:30" x14ac:dyDescent="0.35">
      <c r="A3803" s="4">
        <v>42605</v>
      </c>
      <c r="B3803" t="s">
        <v>30</v>
      </c>
      <c r="C3803">
        <v>703</v>
      </c>
      <c r="D3803">
        <v>9</v>
      </c>
      <c r="E3803">
        <v>2</v>
      </c>
      <c r="F3803" t="s">
        <v>42</v>
      </c>
      <c r="G3803" t="s">
        <v>32</v>
      </c>
      <c r="H3803" t="s">
        <v>33</v>
      </c>
      <c r="I3803" t="s">
        <v>58</v>
      </c>
      <c r="J3803" t="s">
        <v>35</v>
      </c>
      <c r="K3803" t="s">
        <v>36</v>
      </c>
      <c r="L3803" t="s">
        <v>37</v>
      </c>
      <c r="M3803">
        <v>0</v>
      </c>
      <c r="N3803">
        <v>1</v>
      </c>
      <c r="O3803" s="5" t="s">
        <v>973</v>
      </c>
      <c r="P3803" s="5"/>
      <c r="Q3803">
        <f>34-13</f>
        <v>21</v>
      </c>
      <c r="R3803" t="s">
        <v>64</v>
      </c>
      <c r="T3803">
        <v>16</v>
      </c>
      <c r="W3803">
        <v>12.8</v>
      </c>
      <c r="X3803">
        <v>25.7</v>
      </c>
      <c r="Y3803" t="s">
        <v>974</v>
      </c>
      <c r="Z3803" t="s">
        <v>102</v>
      </c>
      <c r="AB3803" t="s">
        <v>47</v>
      </c>
      <c r="AC3803" t="s">
        <v>41</v>
      </c>
    </row>
    <row r="3804" spans="1:30" x14ac:dyDescent="0.35">
      <c r="A3804" s="4">
        <v>42605</v>
      </c>
      <c r="B3804" t="s">
        <v>30</v>
      </c>
      <c r="C3804">
        <v>703</v>
      </c>
      <c r="D3804">
        <v>2</v>
      </c>
      <c r="E3804">
        <v>1</v>
      </c>
      <c r="F3804" t="s">
        <v>42</v>
      </c>
      <c r="G3804" t="s">
        <v>32</v>
      </c>
      <c r="H3804" t="s">
        <v>33</v>
      </c>
      <c r="I3804" t="s">
        <v>58</v>
      </c>
      <c r="J3804" t="s">
        <v>35</v>
      </c>
      <c r="K3804" t="s">
        <v>88</v>
      </c>
      <c r="L3804" t="s">
        <v>45</v>
      </c>
      <c r="M3804">
        <v>0</v>
      </c>
      <c r="N3804">
        <v>1</v>
      </c>
      <c r="O3804" s="5" t="s">
        <v>975</v>
      </c>
      <c r="P3804" s="5"/>
      <c r="Q3804">
        <f>28.5-13</f>
        <v>15.5</v>
      </c>
      <c r="R3804" t="s">
        <v>46</v>
      </c>
      <c r="S3804" t="s">
        <v>39</v>
      </c>
      <c r="T3804">
        <v>16</v>
      </c>
      <c r="W3804">
        <v>12.7</v>
      </c>
      <c r="X3804">
        <v>26.4</v>
      </c>
      <c r="Z3804" t="s">
        <v>102</v>
      </c>
      <c r="AB3804" t="s">
        <v>47</v>
      </c>
      <c r="AC3804" t="s">
        <v>41</v>
      </c>
    </row>
    <row r="3805" spans="1:30" x14ac:dyDescent="0.35">
      <c r="A3805" s="4">
        <v>42605</v>
      </c>
      <c r="B3805" t="s">
        <v>30</v>
      </c>
      <c r="C3805">
        <v>801</v>
      </c>
      <c r="D3805">
        <v>1</v>
      </c>
      <c r="E3805">
        <v>2</v>
      </c>
      <c r="F3805" t="s">
        <v>42</v>
      </c>
      <c r="G3805" t="s">
        <v>32</v>
      </c>
      <c r="H3805" t="s">
        <v>33</v>
      </c>
      <c r="I3805" t="s">
        <v>58</v>
      </c>
      <c r="J3805" t="s">
        <v>44</v>
      </c>
      <c r="K3805" t="s">
        <v>88</v>
      </c>
      <c r="L3805" t="s">
        <v>45</v>
      </c>
      <c r="M3805">
        <v>0</v>
      </c>
      <c r="N3805">
        <v>0</v>
      </c>
      <c r="O3805" s="5" t="s">
        <v>940</v>
      </c>
      <c r="P3805" s="5"/>
      <c r="Q3805">
        <f>29-13.5</f>
        <v>15.5</v>
      </c>
      <c r="R3805" t="s">
        <v>46</v>
      </c>
      <c r="S3805" t="s">
        <v>39</v>
      </c>
      <c r="T3805">
        <v>17</v>
      </c>
      <c r="W3805">
        <v>12.4</v>
      </c>
      <c r="X3805">
        <v>26.5</v>
      </c>
      <c r="AB3805" t="s">
        <v>47</v>
      </c>
      <c r="AC3805" t="s">
        <v>41</v>
      </c>
      <c r="AD3805" t="s">
        <v>976</v>
      </c>
    </row>
    <row r="3806" spans="1:30" x14ac:dyDescent="0.35">
      <c r="A3806" s="4">
        <v>42605</v>
      </c>
      <c r="B3806" t="s">
        <v>30</v>
      </c>
      <c r="C3806">
        <v>703</v>
      </c>
      <c r="D3806">
        <v>7</v>
      </c>
      <c r="E3806">
        <v>2</v>
      </c>
      <c r="F3806" t="s">
        <v>42</v>
      </c>
      <c r="G3806" t="s">
        <v>32</v>
      </c>
      <c r="H3806" t="s">
        <v>33</v>
      </c>
      <c r="I3806" t="s">
        <v>58</v>
      </c>
      <c r="J3806" t="s">
        <v>44</v>
      </c>
      <c r="K3806" t="s">
        <v>113</v>
      </c>
      <c r="L3806" t="s">
        <v>45</v>
      </c>
      <c r="M3806">
        <v>0</v>
      </c>
      <c r="N3806">
        <v>0</v>
      </c>
      <c r="O3806" s="5" t="s">
        <v>941</v>
      </c>
      <c r="P3806" s="5"/>
      <c r="Q3806">
        <f>30-12.5</f>
        <v>17.5</v>
      </c>
      <c r="R3806" t="s">
        <v>46</v>
      </c>
      <c r="S3806" t="s">
        <v>39</v>
      </c>
      <c r="T3806">
        <v>18</v>
      </c>
      <c r="W3806">
        <v>12.9</v>
      </c>
      <c r="X3806">
        <v>26.7</v>
      </c>
      <c r="Z3806" t="s">
        <v>102</v>
      </c>
      <c r="AB3806" t="s">
        <v>47</v>
      </c>
      <c r="AC3806" t="s">
        <v>41</v>
      </c>
      <c r="AD3806" t="s">
        <v>127</v>
      </c>
    </row>
    <row r="3807" spans="1:30" x14ac:dyDescent="0.35">
      <c r="A3807" s="4">
        <v>42605</v>
      </c>
      <c r="B3807" t="s">
        <v>30</v>
      </c>
      <c r="C3807">
        <v>803</v>
      </c>
      <c r="D3807">
        <v>3</v>
      </c>
      <c r="E3807">
        <v>2</v>
      </c>
      <c r="F3807" t="s">
        <v>42</v>
      </c>
      <c r="G3807" t="s">
        <v>32</v>
      </c>
      <c r="H3807" t="s">
        <v>33</v>
      </c>
      <c r="I3807" t="s">
        <v>58</v>
      </c>
      <c r="J3807" t="s">
        <v>44</v>
      </c>
      <c r="K3807" t="s">
        <v>36</v>
      </c>
      <c r="L3807" t="s">
        <v>37</v>
      </c>
      <c r="M3807">
        <v>0</v>
      </c>
      <c r="N3807">
        <v>0</v>
      </c>
      <c r="O3807" s="5" t="s">
        <v>649</v>
      </c>
      <c r="P3807" s="5"/>
      <c r="Q3807">
        <f>33.5-14</f>
        <v>19.5</v>
      </c>
      <c r="R3807" t="s">
        <v>64</v>
      </c>
      <c r="T3807">
        <v>17</v>
      </c>
      <c r="W3807">
        <v>13</v>
      </c>
      <c r="X3807">
        <v>26</v>
      </c>
      <c r="AB3807" t="s">
        <v>47</v>
      </c>
      <c r="AC3807" t="s">
        <v>41</v>
      </c>
    </row>
    <row r="3808" spans="1:30" x14ac:dyDescent="0.35">
      <c r="A3808" s="4">
        <v>42605</v>
      </c>
      <c r="B3808" t="s">
        <v>30</v>
      </c>
      <c r="C3808">
        <v>703</v>
      </c>
      <c r="D3808">
        <v>2</v>
      </c>
      <c r="E3808">
        <v>2</v>
      </c>
      <c r="F3808" t="s">
        <v>42</v>
      </c>
      <c r="G3808" t="s">
        <v>32</v>
      </c>
      <c r="H3808" t="s">
        <v>33</v>
      </c>
      <c r="I3808" t="s">
        <v>58</v>
      </c>
      <c r="J3808" t="s">
        <v>44</v>
      </c>
      <c r="K3808" t="s">
        <v>36</v>
      </c>
      <c r="L3808" t="s">
        <v>45</v>
      </c>
      <c r="M3808">
        <v>0</v>
      </c>
      <c r="N3808">
        <v>0</v>
      </c>
      <c r="O3808" s="5" t="s">
        <v>729</v>
      </c>
      <c r="P3808" s="5"/>
      <c r="Q3808">
        <f>34-13</f>
        <v>21</v>
      </c>
      <c r="R3808" t="s">
        <v>46</v>
      </c>
      <c r="S3808" t="s">
        <v>39</v>
      </c>
      <c r="T3808">
        <v>17</v>
      </c>
      <c r="W3808">
        <v>12.7</v>
      </c>
      <c r="X3808">
        <v>26.6</v>
      </c>
      <c r="Z3808" t="s">
        <v>102</v>
      </c>
      <c r="AB3808" t="s">
        <v>47</v>
      </c>
      <c r="AC3808" t="s">
        <v>41</v>
      </c>
    </row>
    <row r="3809" spans="1:30" x14ac:dyDescent="0.35">
      <c r="A3809" s="4">
        <v>42605</v>
      </c>
      <c r="B3809" t="s">
        <v>30</v>
      </c>
      <c r="C3809">
        <v>703</v>
      </c>
      <c r="D3809">
        <v>10</v>
      </c>
      <c r="E3809">
        <v>2</v>
      </c>
      <c r="F3809" t="s">
        <v>42</v>
      </c>
      <c r="G3809" t="s">
        <v>32</v>
      </c>
      <c r="H3809" t="s">
        <v>33</v>
      </c>
      <c r="I3809" t="s">
        <v>58</v>
      </c>
      <c r="J3809" t="s">
        <v>44</v>
      </c>
      <c r="K3809" t="s">
        <v>113</v>
      </c>
      <c r="L3809" t="s">
        <v>45</v>
      </c>
      <c r="M3809">
        <v>0</v>
      </c>
      <c r="N3809">
        <v>0</v>
      </c>
      <c r="O3809" s="5" t="s">
        <v>650</v>
      </c>
      <c r="P3809" s="5"/>
      <c r="Q3809">
        <f>30.5-13</f>
        <v>17.5</v>
      </c>
      <c r="R3809" t="s">
        <v>46</v>
      </c>
      <c r="S3809" t="s">
        <v>39</v>
      </c>
      <c r="T3809">
        <v>17.5</v>
      </c>
      <c r="W3809">
        <v>12.7</v>
      </c>
      <c r="X3809">
        <v>26.3</v>
      </c>
      <c r="Z3809" t="s">
        <v>102</v>
      </c>
      <c r="AB3809" t="s">
        <v>47</v>
      </c>
      <c r="AC3809" t="s">
        <v>41</v>
      </c>
    </row>
    <row r="3810" spans="1:30" x14ac:dyDescent="0.35">
      <c r="A3810" s="4">
        <v>42605</v>
      </c>
      <c r="B3810" t="s">
        <v>30</v>
      </c>
      <c r="C3810">
        <v>303</v>
      </c>
      <c r="D3810">
        <v>2</v>
      </c>
      <c r="E3810">
        <v>1</v>
      </c>
      <c r="F3810" t="s">
        <v>315</v>
      </c>
      <c r="G3810" t="s">
        <v>32</v>
      </c>
      <c r="H3810" t="s">
        <v>33</v>
      </c>
      <c r="I3810" t="s">
        <v>58</v>
      </c>
      <c r="J3810" t="s">
        <v>44</v>
      </c>
      <c r="K3810" t="s">
        <v>36</v>
      </c>
      <c r="L3810" t="s">
        <v>37</v>
      </c>
      <c r="M3810">
        <v>0</v>
      </c>
      <c r="N3810">
        <v>0</v>
      </c>
      <c r="O3810" s="5" t="s">
        <v>597</v>
      </c>
      <c r="P3810" s="5"/>
      <c r="Q3810">
        <f>36.5-18</f>
        <v>18.5</v>
      </c>
      <c r="R3810" t="s">
        <v>64</v>
      </c>
      <c r="W3810">
        <v>12.9</v>
      </c>
      <c r="X3810">
        <v>27.4</v>
      </c>
      <c r="Z3810" t="s">
        <v>102</v>
      </c>
      <c r="AA3810" t="s">
        <v>201</v>
      </c>
      <c r="AB3810" t="s">
        <v>86</v>
      </c>
      <c r="AC3810" t="s">
        <v>41</v>
      </c>
      <c r="AD3810" t="s">
        <v>893</v>
      </c>
    </row>
    <row r="3811" spans="1:30" x14ac:dyDescent="0.35">
      <c r="A3811" s="4">
        <v>42605</v>
      </c>
      <c r="B3811" t="s">
        <v>30</v>
      </c>
      <c r="C3811">
        <v>303</v>
      </c>
      <c r="D3811">
        <v>5</v>
      </c>
      <c r="E3811">
        <v>1</v>
      </c>
      <c r="F3811" t="s">
        <v>315</v>
      </c>
      <c r="G3811" t="s">
        <v>32</v>
      </c>
      <c r="H3811" t="s">
        <v>33</v>
      </c>
      <c r="I3811" t="s">
        <v>58</v>
      </c>
      <c r="J3811" t="s">
        <v>44</v>
      </c>
      <c r="K3811" t="s">
        <v>36</v>
      </c>
      <c r="L3811" t="s">
        <v>45</v>
      </c>
      <c r="M3811">
        <v>0</v>
      </c>
      <c r="N3811">
        <v>0</v>
      </c>
      <c r="O3811" s="5" t="s">
        <v>598</v>
      </c>
      <c r="P3811" s="5"/>
      <c r="Q3811">
        <f>38-14</f>
        <v>24</v>
      </c>
      <c r="R3811" t="s">
        <v>46</v>
      </c>
      <c r="S3811" t="s">
        <v>39</v>
      </c>
      <c r="T3811">
        <v>16.5</v>
      </c>
      <c r="W3811">
        <v>13.1</v>
      </c>
      <c r="X3811">
        <v>27</v>
      </c>
      <c r="Z3811" t="s">
        <v>102</v>
      </c>
      <c r="AA3811" t="s">
        <v>201</v>
      </c>
      <c r="AB3811" t="s">
        <v>86</v>
      </c>
      <c r="AC3811" t="s">
        <v>41</v>
      </c>
      <c r="AD3811" t="s">
        <v>710</v>
      </c>
    </row>
    <row r="3812" spans="1:30" x14ac:dyDescent="0.35">
      <c r="A3812" s="4">
        <v>42605</v>
      </c>
      <c r="B3812" t="s">
        <v>30</v>
      </c>
      <c r="C3812">
        <v>801</v>
      </c>
      <c r="D3812">
        <v>8</v>
      </c>
      <c r="E3812">
        <v>2</v>
      </c>
      <c r="F3812" t="s">
        <v>42</v>
      </c>
      <c r="G3812" t="s">
        <v>32</v>
      </c>
      <c r="H3812" t="s">
        <v>33</v>
      </c>
      <c r="I3812" t="s">
        <v>58</v>
      </c>
      <c r="J3812" t="s">
        <v>44</v>
      </c>
      <c r="K3812" t="s">
        <v>36</v>
      </c>
      <c r="L3812" t="s">
        <v>45</v>
      </c>
      <c r="M3812">
        <v>0</v>
      </c>
      <c r="N3812">
        <v>0</v>
      </c>
      <c r="O3812" s="5" t="s">
        <v>599</v>
      </c>
      <c r="P3812" s="5"/>
      <c r="Q3812">
        <f>44-14</f>
        <v>30</v>
      </c>
      <c r="R3812" t="s">
        <v>46</v>
      </c>
      <c r="S3812" t="s">
        <v>39</v>
      </c>
      <c r="T3812">
        <v>17</v>
      </c>
      <c r="W3812">
        <v>13.5</v>
      </c>
      <c r="X3812">
        <v>27.1</v>
      </c>
      <c r="AB3812" t="s">
        <v>47</v>
      </c>
      <c r="AC3812" t="s">
        <v>41</v>
      </c>
    </row>
    <row r="3813" spans="1:30" x14ac:dyDescent="0.35">
      <c r="A3813" s="4">
        <v>42605</v>
      </c>
      <c r="B3813" t="s">
        <v>30</v>
      </c>
      <c r="C3813">
        <v>801</v>
      </c>
      <c r="D3813">
        <v>3</v>
      </c>
      <c r="E3813">
        <v>2</v>
      </c>
      <c r="F3813" t="s">
        <v>42</v>
      </c>
      <c r="G3813" t="s">
        <v>32</v>
      </c>
      <c r="H3813" t="s">
        <v>33</v>
      </c>
      <c r="I3813" t="s">
        <v>58</v>
      </c>
      <c r="J3813" t="s">
        <v>44</v>
      </c>
      <c r="K3813" t="s">
        <v>112</v>
      </c>
      <c r="L3813" t="s">
        <v>37</v>
      </c>
      <c r="M3813">
        <v>0</v>
      </c>
      <c r="N3813">
        <v>0</v>
      </c>
      <c r="O3813" s="5" t="s">
        <v>604</v>
      </c>
      <c r="P3813" s="5"/>
      <c r="Q3813">
        <f>32-14</f>
        <v>18</v>
      </c>
      <c r="R3813" t="s">
        <v>64</v>
      </c>
      <c r="T3813">
        <v>16</v>
      </c>
      <c r="W3813">
        <v>13</v>
      </c>
      <c r="X3813">
        <v>25.1</v>
      </c>
      <c r="Z3813" t="s">
        <v>102</v>
      </c>
      <c r="AB3813" t="s">
        <v>47</v>
      </c>
      <c r="AC3813" t="s">
        <v>41</v>
      </c>
    </row>
    <row r="3814" spans="1:30" x14ac:dyDescent="0.35">
      <c r="A3814" s="4">
        <v>42605</v>
      </c>
      <c r="B3814" t="s">
        <v>30</v>
      </c>
      <c r="C3814">
        <v>401</v>
      </c>
      <c r="D3814">
        <v>4</v>
      </c>
      <c r="E3814">
        <v>1</v>
      </c>
      <c r="F3814" t="s">
        <v>315</v>
      </c>
      <c r="G3814" t="s">
        <v>32</v>
      </c>
      <c r="H3814" t="s">
        <v>33</v>
      </c>
      <c r="I3814" t="s">
        <v>58</v>
      </c>
      <c r="J3814" t="s">
        <v>44</v>
      </c>
      <c r="K3814" t="s">
        <v>113</v>
      </c>
      <c r="L3814" t="s">
        <v>37</v>
      </c>
      <c r="M3814">
        <v>0</v>
      </c>
      <c r="N3814">
        <v>0</v>
      </c>
      <c r="O3814" s="5" t="s">
        <v>764</v>
      </c>
      <c r="P3814" s="5"/>
      <c r="Q3814">
        <f>32-13</f>
        <v>19</v>
      </c>
      <c r="R3814" t="s">
        <v>38</v>
      </c>
      <c r="T3814">
        <v>18</v>
      </c>
      <c r="W3814">
        <v>13</v>
      </c>
      <c r="X3814">
        <v>26.4</v>
      </c>
      <c r="Z3814" t="s">
        <v>102</v>
      </c>
      <c r="AA3814" t="s">
        <v>201</v>
      </c>
      <c r="AB3814" t="s">
        <v>86</v>
      </c>
      <c r="AC3814" t="s">
        <v>41</v>
      </c>
    </row>
    <row r="3815" spans="1:30" x14ac:dyDescent="0.35">
      <c r="A3815" s="4">
        <v>42605</v>
      </c>
      <c r="B3815" t="s">
        <v>30</v>
      </c>
      <c r="C3815">
        <v>501</v>
      </c>
      <c r="D3815">
        <v>4</v>
      </c>
      <c r="E3815">
        <v>1</v>
      </c>
      <c r="F3815" t="s">
        <v>315</v>
      </c>
      <c r="G3815" t="s">
        <v>32</v>
      </c>
      <c r="H3815" t="s">
        <v>33</v>
      </c>
      <c r="I3815" t="s">
        <v>58</v>
      </c>
      <c r="J3815" t="s">
        <v>44</v>
      </c>
      <c r="K3815" t="s">
        <v>36</v>
      </c>
      <c r="L3815" t="s">
        <v>45</v>
      </c>
      <c r="M3815">
        <v>0</v>
      </c>
      <c r="N3815">
        <v>0</v>
      </c>
      <c r="O3815" s="5" t="s">
        <v>279</v>
      </c>
      <c r="P3815" s="5"/>
      <c r="Q3815">
        <f>46.5-15.5</f>
        <v>31</v>
      </c>
      <c r="R3815" t="s">
        <v>143</v>
      </c>
      <c r="S3815" t="s">
        <v>102</v>
      </c>
      <c r="T3815">
        <v>18</v>
      </c>
      <c r="W3815">
        <v>12.9</v>
      </c>
      <c r="X3815">
        <v>27.1</v>
      </c>
      <c r="Z3815" t="s">
        <v>102</v>
      </c>
      <c r="AA3815" t="s">
        <v>201</v>
      </c>
      <c r="AB3815" t="s">
        <v>86</v>
      </c>
      <c r="AC3815" t="s">
        <v>41</v>
      </c>
    </row>
    <row r="3816" spans="1:30" x14ac:dyDescent="0.35">
      <c r="A3816" s="4">
        <v>42605</v>
      </c>
      <c r="B3816" t="s">
        <v>30</v>
      </c>
      <c r="C3816">
        <v>703</v>
      </c>
      <c r="D3816">
        <v>6</v>
      </c>
      <c r="E3816">
        <v>2</v>
      </c>
      <c r="F3816" t="s">
        <v>42</v>
      </c>
      <c r="G3816" t="s">
        <v>32</v>
      </c>
      <c r="H3816" t="s">
        <v>33</v>
      </c>
      <c r="I3816" t="s">
        <v>58</v>
      </c>
      <c r="J3816" t="s">
        <v>66</v>
      </c>
      <c r="O3816" s="5"/>
      <c r="P3816" s="5"/>
      <c r="AB3816" t="s">
        <v>47</v>
      </c>
      <c r="AC3816" t="s">
        <v>41</v>
      </c>
    </row>
    <row r="3817" spans="1:30" x14ac:dyDescent="0.35">
      <c r="A3817" s="4">
        <v>42605</v>
      </c>
      <c r="B3817" t="s">
        <v>30</v>
      </c>
      <c r="C3817">
        <v>303</v>
      </c>
      <c r="D3817">
        <v>4</v>
      </c>
      <c r="E3817">
        <v>2</v>
      </c>
      <c r="F3817" t="s">
        <v>315</v>
      </c>
      <c r="G3817" t="s">
        <v>32</v>
      </c>
      <c r="H3817" t="s">
        <v>33</v>
      </c>
      <c r="I3817" t="s">
        <v>58</v>
      </c>
      <c r="J3817" t="s">
        <v>66</v>
      </c>
      <c r="O3817" s="5"/>
      <c r="P3817" s="5"/>
      <c r="AD3817" t="s">
        <v>710</v>
      </c>
    </row>
    <row r="3818" spans="1:30" x14ac:dyDescent="0.35">
      <c r="A3818" s="4">
        <v>42605</v>
      </c>
      <c r="B3818" t="s">
        <v>30</v>
      </c>
      <c r="C3818">
        <v>501</v>
      </c>
      <c r="D3818">
        <v>6</v>
      </c>
      <c r="E3818">
        <v>1</v>
      </c>
      <c r="F3818" t="s">
        <v>315</v>
      </c>
      <c r="G3818" t="s">
        <v>32</v>
      </c>
      <c r="H3818" t="s">
        <v>33</v>
      </c>
      <c r="I3818" t="s">
        <v>65</v>
      </c>
      <c r="J3818" t="s">
        <v>44</v>
      </c>
      <c r="K3818" t="s">
        <v>36</v>
      </c>
      <c r="L3818" t="s">
        <v>37</v>
      </c>
      <c r="M3818">
        <v>0</v>
      </c>
      <c r="N3818">
        <v>0</v>
      </c>
      <c r="O3818" s="5" t="s">
        <v>652</v>
      </c>
      <c r="P3818" s="5"/>
      <c r="Q3818">
        <f>172-48</f>
        <v>124</v>
      </c>
      <c r="R3818" t="s">
        <v>64</v>
      </c>
      <c r="T3818">
        <v>42</v>
      </c>
      <c r="W3818">
        <v>25.3</v>
      </c>
      <c r="X3818">
        <v>45.2</v>
      </c>
      <c r="Z3818" t="s">
        <v>39</v>
      </c>
      <c r="AB3818" t="s">
        <v>86</v>
      </c>
      <c r="AC3818" t="s">
        <v>41</v>
      </c>
      <c r="AD3818" t="s">
        <v>710</v>
      </c>
    </row>
    <row r="3819" spans="1:30" x14ac:dyDescent="0.35">
      <c r="A3819" s="4">
        <v>42605</v>
      </c>
      <c r="B3819" t="s">
        <v>30</v>
      </c>
      <c r="C3819">
        <v>703</v>
      </c>
      <c r="D3819">
        <v>3</v>
      </c>
      <c r="E3819">
        <v>2</v>
      </c>
      <c r="F3819" t="s">
        <v>42</v>
      </c>
      <c r="G3819" t="s">
        <v>32</v>
      </c>
      <c r="H3819" t="s">
        <v>33</v>
      </c>
      <c r="I3819" t="s">
        <v>65</v>
      </c>
      <c r="J3819" t="s">
        <v>44</v>
      </c>
      <c r="K3819" t="s">
        <v>36</v>
      </c>
      <c r="L3819" t="s">
        <v>45</v>
      </c>
      <c r="M3819">
        <v>0</v>
      </c>
      <c r="N3819">
        <v>0</v>
      </c>
      <c r="O3819" s="5" t="s">
        <v>605</v>
      </c>
      <c r="P3819" s="5"/>
      <c r="Q3819">
        <f>255-94.5</f>
        <v>160.5</v>
      </c>
      <c r="R3819" t="s">
        <v>46</v>
      </c>
      <c r="S3819" t="s">
        <v>39</v>
      </c>
      <c r="T3819">
        <v>43</v>
      </c>
      <c r="W3819">
        <v>26.8</v>
      </c>
      <c r="X3819">
        <v>46</v>
      </c>
      <c r="AB3819" t="s">
        <v>47</v>
      </c>
      <c r="AC3819" t="s">
        <v>41</v>
      </c>
    </row>
    <row r="3820" spans="1:30" x14ac:dyDescent="0.35">
      <c r="A3820" s="4">
        <v>42605</v>
      </c>
      <c r="B3820" t="s">
        <v>30</v>
      </c>
      <c r="C3820">
        <v>501</v>
      </c>
      <c r="D3820">
        <v>8</v>
      </c>
      <c r="E3820">
        <v>2</v>
      </c>
      <c r="F3820" t="s">
        <v>315</v>
      </c>
      <c r="G3820" t="s">
        <v>32</v>
      </c>
      <c r="H3820" t="s">
        <v>33</v>
      </c>
      <c r="I3820" t="s">
        <v>65</v>
      </c>
      <c r="J3820" t="s">
        <v>96</v>
      </c>
      <c r="K3820" t="s">
        <v>36</v>
      </c>
      <c r="L3820" t="s">
        <v>37</v>
      </c>
      <c r="O3820" s="5"/>
      <c r="P3820" s="5"/>
      <c r="R3820" t="s">
        <v>64</v>
      </c>
    </row>
    <row r="3821" spans="1:30" x14ac:dyDescent="0.35">
      <c r="A3821" s="4">
        <v>42605</v>
      </c>
      <c r="B3821" t="s">
        <v>30</v>
      </c>
      <c r="C3821">
        <v>701</v>
      </c>
      <c r="D3821">
        <v>8</v>
      </c>
      <c r="E3821">
        <v>1</v>
      </c>
      <c r="F3821" t="s">
        <v>42</v>
      </c>
      <c r="G3821" t="s">
        <v>32</v>
      </c>
      <c r="H3821" t="s">
        <v>33</v>
      </c>
      <c r="I3821" t="s">
        <v>55</v>
      </c>
      <c r="J3821" t="s">
        <v>66</v>
      </c>
      <c r="O3821" s="5"/>
      <c r="P3821" s="5"/>
      <c r="AB3821" t="s">
        <v>47</v>
      </c>
      <c r="AC3821" t="s">
        <v>41</v>
      </c>
    </row>
    <row r="3822" spans="1:30" x14ac:dyDescent="0.35">
      <c r="A3822" s="4">
        <v>42605</v>
      </c>
      <c r="B3822" t="s">
        <v>30</v>
      </c>
      <c r="C3822">
        <v>701</v>
      </c>
      <c r="D3822">
        <v>9</v>
      </c>
      <c r="E3822">
        <v>1</v>
      </c>
      <c r="F3822" t="s">
        <v>42</v>
      </c>
      <c r="G3822" t="s">
        <v>32</v>
      </c>
      <c r="H3822" t="s">
        <v>33</v>
      </c>
      <c r="I3822" t="s">
        <v>55</v>
      </c>
      <c r="J3822" t="s">
        <v>66</v>
      </c>
      <c r="O3822" s="5"/>
      <c r="P3822" s="5"/>
    </row>
    <row r="3823" spans="1:30" x14ac:dyDescent="0.35">
      <c r="A3823" s="4">
        <v>42605</v>
      </c>
      <c r="B3823" t="s">
        <v>30</v>
      </c>
      <c r="C3823">
        <v>801</v>
      </c>
      <c r="D3823">
        <v>2</v>
      </c>
      <c r="E3823">
        <v>2</v>
      </c>
      <c r="F3823" t="s">
        <v>42</v>
      </c>
      <c r="G3823" t="s">
        <v>32</v>
      </c>
      <c r="H3823" t="s">
        <v>33</v>
      </c>
      <c r="I3823" t="s">
        <v>55</v>
      </c>
      <c r="J3823" t="s">
        <v>66</v>
      </c>
      <c r="O3823" s="5"/>
      <c r="P3823" s="5"/>
    </row>
    <row r="3824" spans="1:30" x14ac:dyDescent="0.35">
      <c r="A3824" s="4">
        <v>42605</v>
      </c>
      <c r="B3824" t="s">
        <v>30</v>
      </c>
      <c r="C3824">
        <v>801</v>
      </c>
      <c r="D3824">
        <v>6</v>
      </c>
      <c r="E3824">
        <v>1</v>
      </c>
      <c r="F3824" t="s">
        <v>42</v>
      </c>
      <c r="G3824" t="s">
        <v>32</v>
      </c>
      <c r="H3824" t="s">
        <v>33</v>
      </c>
      <c r="I3824" t="s">
        <v>55</v>
      </c>
      <c r="J3824" t="s">
        <v>66</v>
      </c>
      <c r="O3824" s="5"/>
      <c r="P3824" s="5"/>
    </row>
    <row r="3825" spans="1:30" x14ac:dyDescent="0.35">
      <c r="A3825" s="4">
        <v>42605</v>
      </c>
      <c r="B3825" t="s">
        <v>30</v>
      </c>
      <c r="C3825">
        <v>803</v>
      </c>
      <c r="D3825">
        <v>9</v>
      </c>
      <c r="E3825">
        <v>1</v>
      </c>
      <c r="F3825" t="s">
        <v>42</v>
      </c>
      <c r="G3825" t="s">
        <v>32</v>
      </c>
      <c r="H3825" t="s">
        <v>33</v>
      </c>
      <c r="I3825" t="s">
        <v>55</v>
      </c>
      <c r="J3825" t="s">
        <v>66</v>
      </c>
      <c r="O3825" s="5"/>
      <c r="P3825" s="5"/>
    </row>
    <row r="3826" spans="1:30" x14ac:dyDescent="0.35">
      <c r="A3826" s="4">
        <v>42605</v>
      </c>
      <c r="B3826" t="s">
        <v>30</v>
      </c>
      <c r="C3826">
        <v>803</v>
      </c>
      <c r="D3826">
        <v>8</v>
      </c>
      <c r="E3826">
        <v>2</v>
      </c>
      <c r="F3826" t="s">
        <v>42</v>
      </c>
      <c r="G3826" t="s">
        <v>32</v>
      </c>
      <c r="H3826" t="s">
        <v>33</v>
      </c>
      <c r="I3826" t="s">
        <v>55</v>
      </c>
      <c r="J3826" t="s">
        <v>66</v>
      </c>
      <c r="O3826" s="5"/>
      <c r="P3826" s="5"/>
    </row>
    <row r="3827" spans="1:30" x14ac:dyDescent="0.35">
      <c r="A3827" s="4">
        <v>42605</v>
      </c>
      <c r="B3827" t="s">
        <v>30</v>
      </c>
      <c r="C3827">
        <v>803</v>
      </c>
      <c r="D3827">
        <v>2</v>
      </c>
      <c r="E3827">
        <v>2</v>
      </c>
      <c r="F3827" t="s">
        <v>42</v>
      </c>
      <c r="G3827" t="s">
        <v>32</v>
      </c>
      <c r="H3827" t="s">
        <v>33</v>
      </c>
      <c r="I3827" t="s">
        <v>55</v>
      </c>
      <c r="J3827" t="s">
        <v>66</v>
      </c>
      <c r="O3827" s="5"/>
      <c r="P3827" s="5"/>
    </row>
    <row r="3828" spans="1:30" x14ac:dyDescent="0.35">
      <c r="A3828" s="4">
        <v>42605</v>
      </c>
      <c r="B3828" t="s">
        <v>30</v>
      </c>
      <c r="C3828">
        <v>901</v>
      </c>
      <c r="D3828">
        <v>10</v>
      </c>
      <c r="E3828">
        <v>1</v>
      </c>
      <c r="F3828" t="s">
        <v>42</v>
      </c>
      <c r="G3828" t="s">
        <v>32</v>
      </c>
      <c r="H3828" t="s">
        <v>33</v>
      </c>
      <c r="I3828" t="s">
        <v>55</v>
      </c>
      <c r="J3828" t="s">
        <v>66</v>
      </c>
      <c r="O3828" s="5"/>
      <c r="P3828" s="5"/>
    </row>
    <row r="3829" spans="1:30" x14ac:dyDescent="0.35">
      <c r="A3829" s="4">
        <v>42605</v>
      </c>
      <c r="B3829" t="s">
        <v>30</v>
      </c>
      <c r="C3829">
        <v>503</v>
      </c>
      <c r="D3829">
        <v>6</v>
      </c>
      <c r="E3829">
        <v>1</v>
      </c>
      <c r="F3829" t="s">
        <v>315</v>
      </c>
      <c r="G3829" t="s">
        <v>32</v>
      </c>
      <c r="H3829" t="s">
        <v>33</v>
      </c>
      <c r="I3829" t="s">
        <v>55</v>
      </c>
      <c r="J3829" t="s">
        <v>66</v>
      </c>
      <c r="O3829" s="5"/>
      <c r="P3829" s="5"/>
    </row>
    <row r="3830" spans="1:30" x14ac:dyDescent="0.35">
      <c r="A3830" s="4">
        <v>42605</v>
      </c>
      <c r="B3830" t="s">
        <v>30</v>
      </c>
      <c r="C3830">
        <v>303</v>
      </c>
      <c r="D3830">
        <v>9</v>
      </c>
      <c r="E3830">
        <v>1</v>
      </c>
      <c r="F3830" t="s">
        <v>315</v>
      </c>
      <c r="G3830" t="s">
        <v>32</v>
      </c>
      <c r="H3830" t="s">
        <v>33</v>
      </c>
      <c r="I3830" t="s">
        <v>55</v>
      </c>
      <c r="J3830" t="s">
        <v>66</v>
      </c>
      <c r="O3830" s="5"/>
      <c r="P3830" s="5"/>
    </row>
    <row r="3831" spans="1:30" x14ac:dyDescent="0.35">
      <c r="A3831" s="4">
        <v>42605</v>
      </c>
      <c r="B3831" t="s">
        <v>30</v>
      </c>
      <c r="C3831">
        <v>401</v>
      </c>
      <c r="D3831">
        <v>5</v>
      </c>
      <c r="E3831">
        <v>1</v>
      </c>
      <c r="F3831" t="s">
        <v>315</v>
      </c>
      <c r="G3831" t="s">
        <v>32</v>
      </c>
      <c r="H3831" t="s">
        <v>33</v>
      </c>
      <c r="I3831" t="s">
        <v>55</v>
      </c>
      <c r="J3831" t="s">
        <v>66</v>
      </c>
      <c r="O3831" s="5"/>
      <c r="P3831" s="5"/>
      <c r="AD3831" t="s">
        <v>658</v>
      </c>
    </row>
    <row r="3832" spans="1:30" x14ac:dyDescent="0.35">
      <c r="A3832" s="4">
        <v>42605</v>
      </c>
      <c r="B3832" t="s">
        <v>30</v>
      </c>
      <c r="C3832">
        <v>801</v>
      </c>
      <c r="D3832">
        <v>9</v>
      </c>
      <c r="E3832">
        <v>2</v>
      </c>
      <c r="F3832" t="s">
        <v>42</v>
      </c>
      <c r="G3832" t="s">
        <v>32</v>
      </c>
      <c r="H3832" t="s">
        <v>33</v>
      </c>
      <c r="I3832" t="s">
        <v>72</v>
      </c>
      <c r="J3832" t="s">
        <v>66</v>
      </c>
      <c r="O3832" s="5"/>
      <c r="P3832" s="5"/>
    </row>
    <row r="3833" spans="1:30" x14ac:dyDescent="0.35">
      <c r="A3833" s="4">
        <v>42605</v>
      </c>
      <c r="B3833" t="s">
        <v>30</v>
      </c>
      <c r="C3833">
        <v>803</v>
      </c>
      <c r="D3833">
        <v>7</v>
      </c>
      <c r="E3833">
        <v>2</v>
      </c>
      <c r="F3833" t="s">
        <v>42</v>
      </c>
      <c r="G3833" t="s">
        <v>32</v>
      </c>
      <c r="H3833" t="s">
        <v>33</v>
      </c>
      <c r="I3833" t="s">
        <v>72</v>
      </c>
      <c r="J3833" t="s">
        <v>66</v>
      </c>
      <c r="O3833" s="5"/>
      <c r="P3833" s="5"/>
    </row>
    <row r="3834" spans="1:30" x14ac:dyDescent="0.35">
      <c r="A3834" s="4">
        <v>42605</v>
      </c>
      <c r="B3834" t="s">
        <v>30</v>
      </c>
      <c r="C3834">
        <v>503</v>
      </c>
      <c r="D3834">
        <v>5</v>
      </c>
      <c r="E3834">
        <v>1</v>
      </c>
      <c r="F3834" t="s">
        <v>315</v>
      </c>
      <c r="G3834" t="s">
        <v>32</v>
      </c>
      <c r="H3834" t="s">
        <v>33</v>
      </c>
      <c r="I3834" t="s">
        <v>72</v>
      </c>
      <c r="J3834" t="s">
        <v>123</v>
      </c>
      <c r="O3834" s="5"/>
      <c r="P3834" s="5"/>
    </row>
    <row r="3835" spans="1:30" x14ac:dyDescent="0.35">
      <c r="A3835" s="4">
        <v>42605</v>
      </c>
      <c r="B3835" t="s">
        <v>30</v>
      </c>
      <c r="C3835">
        <v>503</v>
      </c>
      <c r="D3835">
        <v>8</v>
      </c>
      <c r="E3835">
        <v>1</v>
      </c>
      <c r="F3835" t="s">
        <v>315</v>
      </c>
      <c r="G3835" t="s">
        <v>32</v>
      </c>
      <c r="H3835" t="s">
        <v>33</v>
      </c>
      <c r="I3835" t="s">
        <v>72</v>
      </c>
      <c r="J3835" t="s">
        <v>123</v>
      </c>
      <c r="O3835" s="5"/>
      <c r="P3835" s="5"/>
    </row>
    <row r="3836" spans="1:30" x14ac:dyDescent="0.35">
      <c r="A3836" s="4">
        <v>42605</v>
      </c>
      <c r="B3836" t="s">
        <v>30</v>
      </c>
      <c r="C3836">
        <v>303</v>
      </c>
      <c r="D3836">
        <v>1</v>
      </c>
      <c r="E3836">
        <v>2</v>
      </c>
      <c r="F3836" t="s">
        <v>315</v>
      </c>
      <c r="G3836" t="s">
        <v>32</v>
      </c>
      <c r="H3836" t="s">
        <v>33</v>
      </c>
      <c r="I3836" t="s">
        <v>84</v>
      </c>
      <c r="O3836" s="5"/>
      <c r="P3836" s="5"/>
    </row>
    <row r="3837" spans="1:30" x14ac:dyDescent="0.35">
      <c r="A3837" s="4">
        <v>42605</v>
      </c>
      <c r="B3837" t="s">
        <v>30</v>
      </c>
      <c r="C3837">
        <v>303</v>
      </c>
      <c r="D3837">
        <v>5</v>
      </c>
      <c r="E3837">
        <v>2</v>
      </c>
      <c r="F3837" t="s">
        <v>315</v>
      </c>
      <c r="G3837" t="s">
        <v>32</v>
      </c>
      <c r="H3837" t="s">
        <v>33</v>
      </c>
      <c r="I3837" t="s">
        <v>84</v>
      </c>
      <c r="O3837" s="5"/>
      <c r="P3837" s="5"/>
    </row>
    <row r="3838" spans="1:30" x14ac:dyDescent="0.35">
      <c r="A3838" s="4">
        <v>42605</v>
      </c>
      <c r="B3838" t="s">
        <v>30</v>
      </c>
      <c r="C3838">
        <v>303</v>
      </c>
      <c r="D3838">
        <v>6</v>
      </c>
      <c r="E3838">
        <v>1</v>
      </c>
      <c r="F3838" t="s">
        <v>315</v>
      </c>
      <c r="G3838" t="s">
        <v>32</v>
      </c>
      <c r="H3838" t="s">
        <v>33</v>
      </c>
      <c r="I3838" t="s">
        <v>84</v>
      </c>
      <c r="O3838" s="5"/>
      <c r="P3838" s="5"/>
    </row>
    <row r="3839" spans="1:30" x14ac:dyDescent="0.35">
      <c r="A3839" s="4">
        <v>42605</v>
      </c>
      <c r="B3839" t="s">
        <v>30</v>
      </c>
      <c r="C3839">
        <v>303</v>
      </c>
      <c r="D3839">
        <v>7</v>
      </c>
      <c r="E3839">
        <v>2</v>
      </c>
      <c r="F3839" t="s">
        <v>315</v>
      </c>
      <c r="G3839" t="s">
        <v>32</v>
      </c>
      <c r="H3839" t="s">
        <v>33</v>
      </c>
      <c r="I3839" t="s">
        <v>977</v>
      </c>
      <c r="O3839" s="5"/>
      <c r="P3839" s="5"/>
    </row>
    <row r="3840" spans="1:30" x14ac:dyDescent="0.35">
      <c r="A3840" s="4">
        <v>42605</v>
      </c>
      <c r="B3840" t="s">
        <v>30</v>
      </c>
      <c r="C3840">
        <v>303</v>
      </c>
      <c r="D3840">
        <v>8</v>
      </c>
      <c r="E3840">
        <v>1</v>
      </c>
      <c r="F3840" t="s">
        <v>315</v>
      </c>
      <c r="G3840" t="s">
        <v>32</v>
      </c>
      <c r="H3840" t="s">
        <v>33</v>
      </c>
      <c r="I3840" t="s">
        <v>977</v>
      </c>
      <c r="O3840" s="5"/>
      <c r="P3840" s="5"/>
    </row>
    <row r="3841" spans="1:29" x14ac:dyDescent="0.35">
      <c r="A3841" s="4">
        <v>42605</v>
      </c>
      <c r="B3841" t="s">
        <v>30</v>
      </c>
      <c r="C3841">
        <v>703</v>
      </c>
      <c r="D3841">
        <v>4</v>
      </c>
      <c r="E3841">
        <v>1</v>
      </c>
      <c r="F3841" t="s">
        <v>42</v>
      </c>
      <c r="G3841" t="s">
        <v>32</v>
      </c>
      <c r="H3841" t="s">
        <v>33</v>
      </c>
      <c r="I3841" t="s">
        <v>59</v>
      </c>
      <c r="O3841" s="5"/>
      <c r="P3841" s="5"/>
    </row>
    <row r="3842" spans="1:29" x14ac:dyDescent="0.35">
      <c r="A3842" s="4">
        <v>42605</v>
      </c>
      <c r="B3842" t="s">
        <v>30</v>
      </c>
      <c r="C3842">
        <v>703</v>
      </c>
      <c r="D3842">
        <v>4</v>
      </c>
      <c r="E3842">
        <v>2</v>
      </c>
      <c r="F3842" t="s">
        <v>42</v>
      </c>
      <c r="G3842" t="s">
        <v>32</v>
      </c>
      <c r="H3842" t="s">
        <v>33</v>
      </c>
      <c r="I3842" t="s">
        <v>59</v>
      </c>
      <c r="O3842" s="5"/>
      <c r="P3842" s="5"/>
    </row>
    <row r="3843" spans="1:29" x14ac:dyDescent="0.35">
      <c r="A3843" s="4">
        <v>42605</v>
      </c>
      <c r="B3843" t="s">
        <v>30</v>
      </c>
      <c r="C3843">
        <v>703</v>
      </c>
      <c r="D3843">
        <v>5</v>
      </c>
      <c r="E3843">
        <v>2</v>
      </c>
      <c r="F3843" t="s">
        <v>42</v>
      </c>
      <c r="G3843" t="s">
        <v>32</v>
      </c>
      <c r="H3843" t="s">
        <v>33</v>
      </c>
      <c r="I3843" t="s">
        <v>59</v>
      </c>
      <c r="O3843" s="5"/>
      <c r="P3843" s="5"/>
    </row>
    <row r="3844" spans="1:29" x14ac:dyDescent="0.35">
      <c r="A3844" s="4">
        <v>42605</v>
      </c>
      <c r="B3844" t="s">
        <v>30</v>
      </c>
      <c r="C3844">
        <v>703</v>
      </c>
      <c r="D3844">
        <v>7</v>
      </c>
      <c r="E3844">
        <v>1</v>
      </c>
      <c r="F3844" t="s">
        <v>42</v>
      </c>
      <c r="G3844" t="s">
        <v>32</v>
      </c>
      <c r="H3844" t="s">
        <v>33</v>
      </c>
      <c r="I3844" t="s">
        <v>59</v>
      </c>
      <c r="O3844" s="5"/>
      <c r="P3844" s="5"/>
    </row>
    <row r="3845" spans="1:29" x14ac:dyDescent="0.35">
      <c r="A3845" s="4">
        <v>42605</v>
      </c>
      <c r="B3845" t="s">
        <v>30</v>
      </c>
      <c r="C3845">
        <v>703</v>
      </c>
      <c r="D3845">
        <v>9</v>
      </c>
      <c r="E3845">
        <v>1</v>
      </c>
      <c r="F3845" t="s">
        <v>42</v>
      </c>
      <c r="G3845" t="s">
        <v>32</v>
      </c>
      <c r="H3845" t="s">
        <v>33</v>
      </c>
      <c r="I3845" t="s">
        <v>59</v>
      </c>
      <c r="O3845" s="5"/>
      <c r="P3845" s="5"/>
    </row>
    <row r="3846" spans="1:29" x14ac:dyDescent="0.35">
      <c r="A3846" s="4">
        <v>42605</v>
      </c>
      <c r="B3846" t="s">
        <v>30</v>
      </c>
      <c r="C3846">
        <v>703</v>
      </c>
      <c r="D3846">
        <v>10</v>
      </c>
      <c r="E3846">
        <v>1</v>
      </c>
      <c r="F3846" t="s">
        <v>42</v>
      </c>
      <c r="G3846" t="s">
        <v>32</v>
      </c>
      <c r="H3846" t="s">
        <v>33</v>
      </c>
      <c r="I3846" t="s">
        <v>59</v>
      </c>
      <c r="O3846" s="5"/>
      <c r="P3846" s="5"/>
    </row>
    <row r="3847" spans="1:29" x14ac:dyDescent="0.35">
      <c r="A3847" s="4">
        <v>42605</v>
      </c>
      <c r="B3847" t="s">
        <v>30</v>
      </c>
      <c r="C3847">
        <v>701</v>
      </c>
      <c r="D3847">
        <v>5</v>
      </c>
      <c r="E3847">
        <v>1</v>
      </c>
      <c r="F3847" t="s">
        <v>42</v>
      </c>
      <c r="G3847" t="s">
        <v>32</v>
      </c>
      <c r="H3847" t="s">
        <v>33</v>
      </c>
      <c r="I3847" t="s">
        <v>59</v>
      </c>
      <c r="O3847" s="5"/>
      <c r="P3847" s="5"/>
    </row>
    <row r="3848" spans="1:29" x14ac:dyDescent="0.35">
      <c r="A3848" s="4">
        <v>42605</v>
      </c>
      <c r="B3848" t="s">
        <v>30</v>
      </c>
      <c r="C3848">
        <v>701</v>
      </c>
      <c r="D3848">
        <v>5</v>
      </c>
      <c r="E3848">
        <v>2</v>
      </c>
      <c r="F3848" t="s">
        <v>42</v>
      </c>
      <c r="G3848" t="s">
        <v>32</v>
      </c>
      <c r="H3848" t="s">
        <v>33</v>
      </c>
      <c r="I3848" t="s">
        <v>59</v>
      </c>
      <c r="O3848" s="5"/>
      <c r="P3848" s="5"/>
    </row>
    <row r="3849" spans="1:29" x14ac:dyDescent="0.35">
      <c r="A3849" s="4">
        <v>42605</v>
      </c>
      <c r="B3849" t="s">
        <v>30</v>
      </c>
      <c r="C3849">
        <v>701</v>
      </c>
      <c r="D3849">
        <v>10</v>
      </c>
      <c r="E3849">
        <v>1</v>
      </c>
      <c r="F3849" t="s">
        <v>42</v>
      </c>
      <c r="G3849" t="s">
        <v>32</v>
      </c>
      <c r="H3849" t="s">
        <v>33</v>
      </c>
      <c r="I3849" t="s">
        <v>59</v>
      </c>
      <c r="O3849" s="5"/>
      <c r="P3849" s="5"/>
      <c r="AB3849" t="s">
        <v>47</v>
      </c>
      <c r="AC3849" t="s">
        <v>41</v>
      </c>
    </row>
    <row r="3850" spans="1:29" x14ac:dyDescent="0.35">
      <c r="A3850" s="4">
        <v>42605</v>
      </c>
      <c r="B3850" t="s">
        <v>30</v>
      </c>
      <c r="C3850">
        <v>801</v>
      </c>
      <c r="D3850">
        <v>1</v>
      </c>
      <c r="E3850">
        <v>1</v>
      </c>
      <c r="F3850" t="s">
        <v>42</v>
      </c>
      <c r="G3850" t="s">
        <v>32</v>
      </c>
      <c r="H3850" t="s">
        <v>33</v>
      </c>
      <c r="I3850" t="s">
        <v>59</v>
      </c>
      <c r="O3850" s="5"/>
      <c r="P3850" s="5"/>
    </row>
    <row r="3851" spans="1:29" x14ac:dyDescent="0.35">
      <c r="A3851" s="4">
        <v>42605</v>
      </c>
      <c r="B3851" t="s">
        <v>30</v>
      </c>
      <c r="C3851">
        <v>801</v>
      </c>
      <c r="D3851">
        <v>2</v>
      </c>
      <c r="E3851">
        <v>1</v>
      </c>
      <c r="F3851" t="s">
        <v>42</v>
      </c>
      <c r="G3851" t="s">
        <v>32</v>
      </c>
      <c r="H3851" t="s">
        <v>33</v>
      </c>
      <c r="I3851" t="s">
        <v>59</v>
      </c>
      <c r="O3851" s="5"/>
      <c r="P3851" s="5"/>
    </row>
    <row r="3852" spans="1:29" x14ac:dyDescent="0.35">
      <c r="A3852" s="4">
        <v>42605</v>
      </c>
      <c r="B3852" t="s">
        <v>30</v>
      </c>
      <c r="C3852">
        <v>801</v>
      </c>
      <c r="D3852">
        <v>3</v>
      </c>
      <c r="E3852">
        <v>1</v>
      </c>
      <c r="F3852" t="s">
        <v>42</v>
      </c>
      <c r="G3852" t="s">
        <v>32</v>
      </c>
      <c r="H3852" t="s">
        <v>33</v>
      </c>
      <c r="I3852" t="s">
        <v>59</v>
      </c>
      <c r="O3852" s="5"/>
      <c r="P3852" s="5"/>
    </row>
    <row r="3853" spans="1:29" x14ac:dyDescent="0.35">
      <c r="A3853" s="4">
        <v>42605</v>
      </c>
      <c r="B3853" t="s">
        <v>30</v>
      </c>
      <c r="C3853">
        <v>801</v>
      </c>
      <c r="D3853">
        <v>4</v>
      </c>
      <c r="E3853">
        <v>1</v>
      </c>
      <c r="F3853" t="s">
        <v>42</v>
      </c>
      <c r="G3853" t="s">
        <v>32</v>
      </c>
      <c r="H3853" t="s">
        <v>33</v>
      </c>
      <c r="I3853" t="s">
        <v>59</v>
      </c>
      <c r="O3853" s="5"/>
      <c r="P3853" s="5"/>
    </row>
    <row r="3854" spans="1:29" x14ac:dyDescent="0.35">
      <c r="A3854" s="4">
        <v>42605</v>
      </c>
      <c r="B3854" t="s">
        <v>30</v>
      </c>
      <c r="C3854">
        <v>801</v>
      </c>
      <c r="D3854">
        <v>4</v>
      </c>
      <c r="E3854">
        <v>2</v>
      </c>
      <c r="F3854" t="s">
        <v>42</v>
      </c>
      <c r="G3854" t="s">
        <v>32</v>
      </c>
      <c r="H3854" t="s">
        <v>33</v>
      </c>
      <c r="I3854" t="s">
        <v>59</v>
      </c>
      <c r="O3854" s="5"/>
      <c r="P3854" s="5"/>
    </row>
    <row r="3855" spans="1:29" x14ac:dyDescent="0.35">
      <c r="A3855" s="4">
        <v>42605</v>
      </c>
      <c r="B3855" t="s">
        <v>30</v>
      </c>
      <c r="C3855">
        <v>801</v>
      </c>
      <c r="D3855">
        <v>5</v>
      </c>
      <c r="E3855">
        <v>1</v>
      </c>
      <c r="F3855" t="s">
        <v>42</v>
      </c>
      <c r="G3855" t="s">
        <v>32</v>
      </c>
      <c r="H3855" t="s">
        <v>33</v>
      </c>
      <c r="I3855" t="s">
        <v>59</v>
      </c>
      <c r="O3855" s="5"/>
      <c r="P3855" s="5"/>
    </row>
    <row r="3856" spans="1:29" x14ac:dyDescent="0.35">
      <c r="A3856" s="4">
        <v>42605</v>
      </c>
      <c r="B3856" t="s">
        <v>30</v>
      </c>
      <c r="C3856">
        <v>801</v>
      </c>
      <c r="D3856">
        <v>7</v>
      </c>
      <c r="E3856">
        <v>1</v>
      </c>
      <c r="F3856" t="s">
        <v>42</v>
      </c>
      <c r="G3856" t="s">
        <v>32</v>
      </c>
      <c r="H3856" t="s">
        <v>33</v>
      </c>
      <c r="I3856" t="s">
        <v>59</v>
      </c>
      <c r="O3856" s="5"/>
      <c r="P3856" s="5"/>
    </row>
    <row r="3857" spans="1:16" x14ac:dyDescent="0.35">
      <c r="A3857" s="4">
        <v>42605</v>
      </c>
      <c r="B3857" t="s">
        <v>30</v>
      </c>
      <c r="C3857">
        <v>801</v>
      </c>
      <c r="D3857">
        <v>8</v>
      </c>
      <c r="E3857">
        <v>1</v>
      </c>
      <c r="F3857" t="s">
        <v>42</v>
      </c>
      <c r="G3857" t="s">
        <v>32</v>
      </c>
      <c r="H3857" t="s">
        <v>33</v>
      </c>
      <c r="I3857" t="s">
        <v>59</v>
      </c>
      <c r="O3857" s="5"/>
      <c r="P3857" s="5"/>
    </row>
    <row r="3858" spans="1:16" x14ac:dyDescent="0.35">
      <c r="A3858" s="4">
        <v>42605</v>
      </c>
      <c r="B3858" t="s">
        <v>30</v>
      </c>
      <c r="C3858">
        <v>801</v>
      </c>
      <c r="D3858">
        <v>9</v>
      </c>
      <c r="E3858">
        <v>1</v>
      </c>
      <c r="F3858" t="s">
        <v>42</v>
      </c>
      <c r="G3858" t="s">
        <v>32</v>
      </c>
      <c r="H3858" t="s">
        <v>33</v>
      </c>
      <c r="I3858" t="s">
        <v>59</v>
      </c>
      <c r="O3858" s="5"/>
      <c r="P3858" s="5"/>
    </row>
    <row r="3859" spans="1:16" x14ac:dyDescent="0.35">
      <c r="A3859" s="4">
        <v>42605</v>
      </c>
      <c r="B3859" t="s">
        <v>30</v>
      </c>
      <c r="C3859">
        <v>801</v>
      </c>
      <c r="D3859">
        <v>10</v>
      </c>
      <c r="E3859">
        <v>1</v>
      </c>
      <c r="F3859" t="s">
        <v>42</v>
      </c>
      <c r="G3859" t="s">
        <v>32</v>
      </c>
      <c r="H3859" t="s">
        <v>33</v>
      </c>
      <c r="I3859" t="s">
        <v>59</v>
      </c>
      <c r="O3859" s="5"/>
      <c r="P3859" s="5"/>
    </row>
    <row r="3860" spans="1:16" x14ac:dyDescent="0.35">
      <c r="A3860" s="4">
        <v>42605</v>
      </c>
      <c r="B3860" t="s">
        <v>30</v>
      </c>
      <c r="C3860">
        <v>803</v>
      </c>
      <c r="D3860">
        <v>10</v>
      </c>
      <c r="E3860">
        <v>1</v>
      </c>
      <c r="F3860" t="s">
        <v>42</v>
      </c>
      <c r="G3860" t="s">
        <v>32</v>
      </c>
      <c r="H3860" t="s">
        <v>33</v>
      </c>
      <c r="I3860" t="s">
        <v>59</v>
      </c>
      <c r="O3860" s="5"/>
      <c r="P3860" s="5"/>
    </row>
    <row r="3861" spans="1:16" x14ac:dyDescent="0.35">
      <c r="A3861" s="4">
        <v>42605</v>
      </c>
      <c r="B3861" t="s">
        <v>30</v>
      </c>
      <c r="C3861">
        <v>803</v>
      </c>
      <c r="D3861">
        <v>8</v>
      </c>
      <c r="E3861">
        <v>1</v>
      </c>
      <c r="F3861" t="s">
        <v>42</v>
      </c>
      <c r="G3861" t="s">
        <v>32</v>
      </c>
      <c r="H3861" t="s">
        <v>33</v>
      </c>
      <c r="I3861" t="s">
        <v>59</v>
      </c>
      <c r="O3861" s="5"/>
      <c r="P3861" s="5"/>
    </row>
    <row r="3862" spans="1:16" x14ac:dyDescent="0.35">
      <c r="A3862" s="4">
        <v>42605</v>
      </c>
      <c r="B3862" t="s">
        <v>30</v>
      </c>
      <c r="C3862">
        <v>803</v>
      </c>
      <c r="D3862">
        <v>7</v>
      </c>
      <c r="E3862">
        <v>1</v>
      </c>
      <c r="F3862" t="s">
        <v>42</v>
      </c>
      <c r="G3862" t="s">
        <v>32</v>
      </c>
      <c r="H3862" t="s">
        <v>33</v>
      </c>
      <c r="I3862" t="s">
        <v>59</v>
      </c>
      <c r="O3862" s="5"/>
      <c r="P3862" s="5"/>
    </row>
    <row r="3863" spans="1:16" x14ac:dyDescent="0.35">
      <c r="A3863" s="4">
        <v>42605</v>
      </c>
      <c r="B3863" t="s">
        <v>30</v>
      </c>
      <c r="C3863">
        <v>803</v>
      </c>
      <c r="D3863">
        <v>6</v>
      </c>
      <c r="E3863">
        <v>1</v>
      </c>
      <c r="F3863" t="s">
        <v>42</v>
      </c>
      <c r="G3863" t="s">
        <v>32</v>
      </c>
      <c r="H3863" t="s">
        <v>33</v>
      </c>
      <c r="I3863" t="s">
        <v>59</v>
      </c>
      <c r="O3863" s="5"/>
      <c r="P3863" s="5"/>
    </row>
    <row r="3864" spans="1:16" x14ac:dyDescent="0.35">
      <c r="A3864" s="4">
        <v>42605</v>
      </c>
      <c r="B3864" t="s">
        <v>30</v>
      </c>
      <c r="C3864">
        <v>803</v>
      </c>
      <c r="D3864">
        <v>5</v>
      </c>
      <c r="E3864">
        <v>1</v>
      </c>
      <c r="F3864" t="s">
        <v>42</v>
      </c>
      <c r="G3864" t="s">
        <v>32</v>
      </c>
      <c r="H3864" t="s">
        <v>33</v>
      </c>
      <c r="I3864" t="s">
        <v>59</v>
      </c>
      <c r="O3864" s="5"/>
      <c r="P3864" s="5"/>
    </row>
    <row r="3865" spans="1:16" x14ac:dyDescent="0.35">
      <c r="A3865" s="4">
        <v>42605</v>
      </c>
      <c r="B3865" t="s">
        <v>30</v>
      </c>
      <c r="C3865">
        <v>803</v>
      </c>
      <c r="D3865">
        <v>5</v>
      </c>
      <c r="E3865">
        <v>2</v>
      </c>
      <c r="F3865" t="s">
        <v>42</v>
      </c>
      <c r="G3865" t="s">
        <v>32</v>
      </c>
      <c r="H3865" t="s">
        <v>33</v>
      </c>
      <c r="I3865" t="s">
        <v>59</v>
      </c>
      <c r="O3865" s="5"/>
      <c r="P3865" s="5"/>
    </row>
    <row r="3866" spans="1:16" x14ac:dyDescent="0.35">
      <c r="A3866" s="4">
        <v>42605</v>
      </c>
      <c r="B3866" t="s">
        <v>30</v>
      </c>
      <c r="C3866">
        <v>803</v>
      </c>
      <c r="D3866">
        <v>4</v>
      </c>
      <c r="E3866">
        <v>1</v>
      </c>
      <c r="F3866" t="s">
        <v>42</v>
      </c>
      <c r="G3866" t="s">
        <v>32</v>
      </c>
      <c r="H3866" t="s">
        <v>33</v>
      </c>
      <c r="I3866" t="s">
        <v>59</v>
      </c>
      <c r="O3866" s="5"/>
      <c r="P3866" s="5"/>
    </row>
    <row r="3867" spans="1:16" x14ac:dyDescent="0.35">
      <c r="A3867" s="4">
        <v>42605</v>
      </c>
      <c r="B3867" t="s">
        <v>30</v>
      </c>
      <c r="C3867">
        <v>803</v>
      </c>
      <c r="D3867">
        <v>4</v>
      </c>
      <c r="E3867">
        <v>2</v>
      </c>
      <c r="F3867" t="s">
        <v>42</v>
      </c>
      <c r="G3867" t="s">
        <v>32</v>
      </c>
      <c r="H3867" t="s">
        <v>33</v>
      </c>
      <c r="I3867" t="s">
        <v>59</v>
      </c>
      <c r="O3867" s="5"/>
      <c r="P3867" s="5"/>
    </row>
    <row r="3868" spans="1:16" x14ac:dyDescent="0.35">
      <c r="A3868" s="4">
        <v>42605</v>
      </c>
      <c r="B3868" t="s">
        <v>30</v>
      </c>
      <c r="C3868">
        <v>803</v>
      </c>
      <c r="D3868">
        <v>3</v>
      </c>
      <c r="E3868">
        <v>1</v>
      </c>
      <c r="F3868" t="s">
        <v>42</v>
      </c>
      <c r="G3868" t="s">
        <v>32</v>
      </c>
      <c r="H3868" t="s">
        <v>33</v>
      </c>
      <c r="I3868" t="s">
        <v>59</v>
      </c>
      <c r="O3868" s="5"/>
      <c r="P3868" s="5"/>
    </row>
    <row r="3869" spans="1:16" x14ac:dyDescent="0.35">
      <c r="A3869" s="4">
        <v>42605</v>
      </c>
      <c r="B3869" t="s">
        <v>30</v>
      </c>
      <c r="C3869">
        <v>803</v>
      </c>
      <c r="D3869">
        <v>2</v>
      </c>
      <c r="E3869">
        <v>1</v>
      </c>
      <c r="F3869" t="s">
        <v>42</v>
      </c>
      <c r="G3869" t="s">
        <v>32</v>
      </c>
      <c r="H3869" t="s">
        <v>33</v>
      </c>
      <c r="I3869" t="s">
        <v>59</v>
      </c>
      <c r="O3869" s="5"/>
      <c r="P3869" s="5"/>
    </row>
    <row r="3870" spans="1:16" x14ac:dyDescent="0.35">
      <c r="A3870" s="4">
        <v>42605</v>
      </c>
      <c r="B3870" t="s">
        <v>30</v>
      </c>
      <c r="C3870">
        <v>901</v>
      </c>
      <c r="D3870">
        <v>1</v>
      </c>
      <c r="E3870">
        <v>1</v>
      </c>
      <c r="F3870" t="s">
        <v>42</v>
      </c>
      <c r="G3870" t="s">
        <v>32</v>
      </c>
      <c r="H3870" t="s">
        <v>33</v>
      </c>
      <c r="I3870" t="s">
        <v>59</v>
      </c>
      <c r="O3870" s="5"/>
      <c r="P3870" s="5"/>
    </row>
    <row r="3871" spans="1:16" x14ac:dyDescent="0.35">
      <c r="A3871" s="4">
        <v>42605</v>
      </c>
      <c r="B3871" t="s">
        <v>30</v>
      </c>
      <c r="C3871">
        <v>901</v>
      </c>
      <c r="D3871">
        <v>1</v>
      </c>
      <c r="E3871">
        <v>2</v>
      </c>
      <c r="F3871" t="s">
        <v>42</v>
      </c>
      <c r="G3871" t="s">
        <v>32</v>
      </c>
      <c r="H3871" t="s">
        <v>33</v>
      </c>
      <c r="I3871" t="s">
        <v>59</v>
      </c>
      <c r="O3871" s="5"/>
      <c r="P3871" s="5"/>
    </row>
    <row r="3872" spans="1:16" x14ac:dyDescent="0.35">
      <c r="A3872" s="4">
        <v>42605</v>
      </c>
      <c r="B3872" t="s">
        <v>30</v>
      </c>
      <c r="C3872">
        <v>901</v>
      </c>
      <c r="D3872">
        <v>5</v>
      </c>
      <c r="E3872">
        <v>1</v>
      </c>
      <c r="F3872" t="s">
        <v>42</v>
      </c>
      <c r="G3872" t="s">
        <v>32</v>
      </c>
      <c r="H3872" t="s">
        <v>33</v>
      </c>
      <c r="I3872" t="s">
        <v>59</v>
      </c>
      <c r="O3872" s="5"/>
      <c r="P3872" s="5"/>
    </row>
    <row r="3873" spans="1:16" x14ac:dyDescent="0.35">
      <c r="A3873" s="4">
        <v>42605</v>
      </c>
      <c r="B3873" t="s">
        <v>30</v>
      </c>
      <c r="C3873">
        <v>901</v>
      </c>
      <c r="D3873">
        <v>7</v>
      </c>
      <c r="E3873">
        <v>1</v>
      </c>
      <c r="F3873" t="s">
        <v>42</v>
      </c>
      <c r="G3873" t="s">
        <v>32</v>
      </c>
      <c r="H3873" t="s">
        <v>33</v>
      </c>
      <c r="I3873" t="s">
        <v>59</v>
      </c>
      <c r="O3873" s="5"/>
      <c r="P3873" s="5"/>
    </row>
    <row r="3874" spans="1:16" x14ac:dyDescent="0.35">
      <c r="A3874" s="4">
        <v>42605</v>
      </c>
      <c r="B3874" t="s">
        <v>30</v>
      </c>
      <c r="C3874">
        <v>901</v>
      </c>
      <c r="D3874">
        <v>7</v>
      </c>
      <c r="E3874">
        <v>2</v>
      </c>
      <c r="F3874" t="s">
        <v>42</v>
      </c>
      <c r="G3874" t="s">
        <v>32</v>
      </c>
      <c r="H3874" t="s">
        <v>33</v>
      </c>
      <c r="I3874" t="s">
        <v>59</v>
      </c>
      <c r="O3874" s="5"/>
      <c r="P3874" s="5"/>
    </row>
    <row r="3875" spans="1:16" x14ac:dyDescent="0.35">
      <c r="A3875" s="4">
        <v>42605</v>
      </c>
      <c r="B3875" t="s">
        <v>30</v>
      </c>
      <c r="C3875">
        <v>501</v>
      </c>
      <c r="D3875">
        <v>1</v>
      </c>
      <c r="E3875">
        <v>1</v>
      </c>
      <c r="F3875" t="s">
        <v>315</v>
      </c>
      <c r="G3875" t="s">
        <v>32</v>
      </c>
      <c r="H3875" t="s">
        <v>33</v>
      </c>
      <c r="I3875" t="s">
        <v>59</v>
      </c>
      <c r="O3875" s="5"/>
      <c r="P3875" s="5"/>
    </row>
    <row r="3876" spans="1:16" x14ac:dyDescent="0.35">
      <c r="A3876" s="4">
        <v>42605</v>
      </c>
      <c r="B3876" t="s">
        <v>30</v>
      </c>
      <c r="C3876">
        <v>501</v>
      </c>
      <c r="D3876">
        <v>1</v>
      </c>
      <c r="E3876">
        <v>2</v>
      </c>
      <c r="F3876" t="s">
        <v>315</v>
      </c>
      <c r="G3876" t="s">
        <v>32</v>
      </c>
      <c r="H3876" t="s">
        <v>33</v>
      </c>
      <c r="I3876" t="s">
        <v>59</v>
      </c>
      <c r="O3876" s="5"/>
      <c r="P3876" s="5"/>
    </row>
    <row r="3877" spans="1:16" x14ac:dyDescent="0.35">
      <c r="A3877" s="4">
        <v>42605</v>
      </c>
      <c r="B3877" t="s">
        <v>30</v>
      </c>
      <c r="C3877">
        <v>501</v>
      </c>
      <c r="D3877">
        <v>2</v>
      </c>
      <c r="E3877">
        <v>1</v>
      </c>
      <c r="F3877" t="s">
        <v>315</v>
      </c>
      <c r="G3877" t="s">
        <v>32</v>
      </c>
      <c r="H3877" t="s">
        <v>33</v>
      </c>
      <c r="I3877" t="s">
        <v>59</v>
      </c>
      <c r="O3877" s="5"/>
      <c r="P3877" s="5"/>
    </row>
    <row r="3878" spans="1:16" x14ac:dyDescent="0.35">
      <c r="A3878" s="4">
        <v>42605</v>
      </c>
      <c r="B3878" t="s">
        <v>30</v>
      </c>
      <c r="C3878">
        <v>501</v>
      </c>
      <c r="D3878">
        <v>3</v>
      </c>
      <c r="E3878">
        <v>1</v>
      </c>
      <c r="F3878" t="s">
        <v>315</v>
      </c>
      <c r="G3878" t="s">
        <v>32</v>
      </c>
      <c r="H3878" t="s">
        <v>33</v>
      </c>
      <c r="I3878" t="s">
        <v>59</v>
      </c>
      <c r="O3878" s="5"/>
      <c r="P3878" s="5"/>
    </row>
    <row r="3879" spans="1:16" x14ac:dyDescent="0.35">
      <c r="A3879" s="4">
        <v>42605</v>
      </c>
      <c r="B3879" t="s">
        <v>30</v>
      </c>
      <c r="C3879">
        <v>501</v>
      </c>
      <c r="D3879">
        <v>3</v>
      </c>
      <c r="E3879">
        <v>2</v>
      </c>
      <c r="F3879" t="s">
        <v>315</v>
      </c>
      <c r="G3879" t="s">
        <v>32</v>
      </c>
      <c r="H3879" t="s">
        <v>33</v>
      </c>
      <c r="I3879" t="s">
        <v>59</v>
      </c>
      <c r="O3879" s="5"/>
      <c r="P3879" s="5"/>
    </row>
    <row r="3880" spans="1:16" x14ac:dyDescent="0.35">
      <c r="A3880" s="4">
        <v>42605</v>
      </c>
      <c r="B3880" t="s">
        <v>30</v>
      </c>
      <c r="C3880">
        <v>501</v>
      </c>
      <c r="D3880">
        <v>5</v>
      </c>
      <c r="E3880">
        <v>1</v>
      </c>
      <c r="F3880" t="s">
        <v>315</v>
      </c>
      <c r="G3880" t="s">
        <v>32</v>
      </c>
      <c r="H3880" t="s">
        <v>33</v>
      </c>
      <c r="I3880" t="s">
        <v>59</v>
      </c>
      <c r="O3880" s="5"/>
      <c r="P3880" s="5"/>
    </row>
    <row r="3881" spans="1:16" x14ac:dyDescent="0.35">
      <c r="A3881" s="4">
        <v>42605</v>
      </c>
      <c r="B3881" t="s">
        <v>30</v>
      </c>
      <c r="C3881">
        <v>501</v>
      </c>
      <c r="D3881">
        <v>5</v>
      </c>
      <c r="E3881">
        <v>2</v>
      </c>
      <c r="F3881" t="s">
        <v>315</v>
      </c>
      <c r="G3881" t="s">
        <v>32</v>
      </c>
      <c r="H3881" t="s">
        <v>33</v>
      </c>
      <c r="I3881" t="s">
        <v>59</v>
      </c>
      <c r="O3881" s="5"/>
      <c r="P3881" s="5"/>
    </row>
    <row r="3882" spans="1:16" x14ac:dyDescent="0.35">
      <c r="A3882" s="4">
        <v>42605</v>
      </c>
      <c r="B3882" t="s">
        <v>30</v>
      </c>
      <c r="C3882">
        <v>501</v>
      </c>
      <c r="D3882">
        <v>7</v>
      </c>
      <c r="E3882">
        <v>1</v>
      </c>
      <c r="F3882" t="s">
        <v>315</v>
      </c>
      <c r="G3882" t="s">
        <v>32</v>
      </c>
      <c r="H3882" t="s">
        <v>33</v>
      </c>
      <c r="I3882" t="s">
        <v>59</v>
      </c>
      <c r="O3882" s="5"/>
      <c r="P3882" s="5"/>
    </row>
    <row r="3883" spans="1:16" x14ac:dyDescent="0.35">
      <c r="A3883" s="4">
        <v>42605</v>
      </c>
      <c r="B3883" t="s">
        <v>30</v>
      </c>
      <c r="C3883">
        <v>501</v>
      </c>
      <c r="D3883">
        <v>10</v>
      </c>
      <c r="E3883">
        <v>1</v>
      </c>
      <c r="F3883" t="s">
        <v>315</v>
      </c>
      <c r="G3883" t="s">
        <v>32</v>
      </c>
      <c r="H3883" t="s">
        <v>33</v>
      </c>
      <c r="I3883" t="s">
        <v>59</v>
      </c>
      <c r="O3883" s="5"/>
      <c r="P3883" s="5"/>
    </row>
    <row r="3884" spans="1:16" x14ac:dyDescent="0.35">
      <c r="A3884" s="4">
        <v>42605</v>
      </c>
      <c r="B3884" t="s">
        <v>30</v>
      </c>
      <c r="C3884">
        <v>501</v>
      </c>
      <c r="D3884">
        <v>10</v>
      </c>
      <c r="E3884">
        <v>2</v>
      </c>
      <c r="F3884" t="s">
        <v>315</v>
      </c>
      <c r="G3884" t="s">
        <v>32</v>
      </c>
      <c r="H3884" t="s">
        <v>33</v>
      </c>
      <c r="I3884" t="s">
        <v>59</v>
      </c>
      <c r="O3884" s="5"/>
      <c r="P3884" s="5"/>
    </row>
    <row r="3885" spans="1:16" x14ac:dyDescent="0.35">
      <c r="A3885" s="4">
        <v>42605</v>
      </c>
      <c r="B3885" t="s">
        <v>30</v>
      </c>
      <c r="C3885">
        <v>503</v>
      </c>
      <c r="D3885">
        <v>1</v>
      </c>
      <c r="E3885">
        <v>1</v>
      </c>
      <c r="F3885" t="s">
        <v>315</v>
      </c>
      <c r="G3885" t="s">
        <v>32</v>
      </c>
      <c r="H3885" t="s">
        <v>33</v>
      </c>
      <c r="I3885" t="s">
        <v>59</v>
      </c>
      <c r="O3885" s="5"/>
      <c r="P3885" s="5"/>
    </row>
    <row r="3886" spans="1:16" x14ac:dyDescent="0.35">
      <c r="A3886" s="4">
        <v>42605</v>
      </c>
      <c r="B3886" t="s">
        <v>30</v>
      </c>
      <c r="C3886">
        <v>503</v>
      </c>
      <c r="D3886">
        <v>2</v>
      </c>
      <c r="E3886">
        <v>1</v>
      </c>
      <c r="F3886" t="s">
        <v>315</v>
      </c>
      <c r="G3886" t="s">
        <v>32</v>
      </c>
      <c r="H3886" t="s">
        <v>33</v>
      </c>
      <c r="I3886" t="s">
        <v>59</v>
      </c>
      <c r="O3886" s="5"/>
      <c r="P3886" s="5"/>
    </row>
    <row r="3887" spans="1:16" x14ac:dyDescent="0.35">
      <c r="A3887" s="4">
        <v>42605</v>
      </c>
      <c r="B3887" t="s">
        <v>30</v>
      </c>
      <c r="C3887">
        <v>503</v>
      </c>
      <c r="D3887">
        <v>2</v>
      </c>
      <c r="E3887">
        <v>2</v>
      </c>
      <c r="F3887" t="s">
        <v>315</v>
      </c>
      <c r="G3887" t="s">
        <v>32</v>
      </c>
      <c r="H3887" t="s">
        <v>33</v>
      </c>
      <c r="I3887" t="s">
        <v>59</v>
      </c>
      <c r="O3887" s="5"/>
      <c r="P3887" s="5"/>
    </row>
    <row r="3888" spans="1:16" x14ac:dyDescent="0.35">
      <c r="A3888" s="4">
        <v>42605</v>
      </c>
      <c r="B3888" t="s">
        <v>30</v>
      </c>
      <c r="C3888">
        <v>503</v>
      </c>
      <c r="D3888">
        <v>3</v>
      </c>
      <c r="E3888">
        <v>1</v>
      </c>
      <c r="F3888" t="s">
        <v>315</v>
      </c>
      <c r="G3888" t="s">
        <v>32</v>
      </c>
      <c r="H3888" t="s">
        <v>33</v>
      </c>
      <c r="I3888" t="s">
        <v>59</v>
      </c>
      <c r="O3888" s="5"/>
      <c r="P3888" s="5"/>
    </row>
    <row r="3889" spans="1:16" x14ac:dyDescent="0.35">
      <c r="A3889" s="4">
        <v>42605</v>
      </c>
      <c r="B3889" t="s">
        <v>30</v>
      </c>
      <c r="C3889">
        <v>503</v>
      </c>
      <c r="D3889">
        <v>4</v>
      </c>
      <c r="E3889">
        <v>1</v>
      </c>
      <c r="F3889" t="s">
        <v>315</v>
      </c>
      <c r="G3889" t="s">
        <v>32</v>
      </c>
      <c r="H3889" t="s">
        <v>33</v>
      </c>
      <c r="I3889" t="s">
        <v>59</v>
      </c>
      <c r="O3889" s="5"/>
      <c r="P3889" s="5"/>
    </row>
    <row r="3890" spans="1:16" x14ac:dyDescent="0.35">
      <c r="A3890" s="4">
        <v>42605</v>
      </c>
      <c r="B3890" t="s">
        <v>30</v>
      </c>
      <c r="C3890">
        <v>503</v>
      </c>
      <c r="D3890">
        <v>4</v>
      </c>
      <c r="E3890">
        <v>2</v>
      </c>
      <c r="F3890" t="s">
        <v>315</v>
      </c>
      <c r="G3890" t="s">
        <v>32</v>
      </c>
      <c r="H3890" t="s">
        <v>33</v>
      </c>
      <c r="I3890" t="s">
        <v>59</v>
      </c>
      <c r="O3890" s="5"/>
      <c r="P3890" s="5"/>
    </row>
    <row r="3891" spans="1:16" x14ac:dyDescent="0.35">
      <c r="A3891" s="4">
        <v>42605</v>
      </c>
      <c r="B3891" t="s">
        <v>30</v>
      </c>
      <c r="C3891">
        <v>503</v>
      </c>
      <c r="D3891">
        <v>6</v>
      </c>
      <c r="E3891">
        <v>2</v>
      </c>
      <c r="F3891" t="s">
        <v>315</v>
      </c>
      <c r="G3891" t="s">
        <v>32</v>
      </c>
      <c r="H3891" t="s">
        <v>33</v>
      </c>
      <c r="I3891" t="s">
        <v>59</v>
      </c>
      <c r="O3891" s="5"/>
      <c r="P3891" s="5"/>
    </row>
    <row r="3892" spans="1:16" x14ac:dyDescent="0.35">
      <c r="A3892" s="4">
        <v>42605</v>
      </c>
      <c r="B3892" t="s">
        <v>30</v>
      </c>
      <c r="C3892">
        <v>503</v>
      </c>
      <c r="D3892">
        <v>8</v>
      </c>
      <c r="E3892">
        <v>2</v>
      </c>
      <c r="F3892" t="s">
        <v>315</v>
      </c>
      <c r="G3892" t="s">
        <v>32</v>
      </c>
      <c r="H3892" t="s">
        <v>33</v>
      </c>
      <c r="I3892" t="s">
        <v>59</v>
      </c>
      <c r="O3892" s="5"/>
      <c r="P3892" s="5"/>
    </row>
    <row r="3893" spans="1:16" x14ac:dyDescent="0.35">
      <c r="A3893" s="4">
        <v>42605</v>
      </c>
      <c r="B3893" t="s">
        <v>30</v>
      </c>
      <c r="C3893">
        <v>503</v>
      </c>
      <c r="D3893">
        <v>10</v>
      </c>
      <c r="E3893">
        <v>1</v>
      </c>
      <c r="F3893" t="s">
        <v>315</v>
      </c>
      <c r="G3893" t="s">
        <v>32</v>
      </c>
      <c r="H3893" t="s">
        <v>33</v>
      </c>
      <c r="I3893" t="s">
        <v>59</v>
      </c>
      <c r="O3893" s="5"/>
      <c r="P3893" s="5"/>
    </row>
    <row r="3894" spans="1:16" x14ac:dyDescent="0.35">
      <c r="A3894" s="4">
        <v>42605</v>
      </c>
      <c r="B3894" t="s">
        <v>30</v>
      </c>
      <c r="C3894">
        <v>303</v>
      </c>
      <c r="D3894">
        <v>2</v>
      </c>
      <c r="E3894">
        <v>2</v>
      </c>
      <c r="F3894" t="s">
        <v>315</v>
      </c>
      <c r="G3894" t="s">
        <v>32</v>
      </c>
      <c r="H3894" t="s">
        <v>33</v>
      </c>
      <c r="I3894" t="s">
        <v>59</v>
      </c>
      <c r="O3894" s="5"/>
      <c r="P3894" s="5"/>
    </row>
    <row r="3895" spans="1:16" x14ac:dyDescent="0.35">
      <c r="A3895" s="4">
        <v>42605</v>
      </c>
      <c r="B3895" t="s">
        <v>30</v>
      </c>
      <c r="C3895">
        <v>303</v>
      </c>
      <c r="D3895">
        <v>3</v>
      </c>
      <c r="E3895">
        <v>1</v>
      </c>
      <c r="F3895" t="s">
        <v>315</v>
      </c>
      <c r="G3895" t="s">
        <v>32</v>
      </c>
      <c r="H3895" t="s">
        <v>33</v>
      </c>
      <c r="I3895" t="s">
        <v>59</v>
      </c>
      <c r="O3895" s="5"/>
      <c r="P3895" s="5"/>
    </row>
    <row r="3896" spans="1:16" x14ac:dyDescent="0.35">
      <c r="A3896" s="4">
        <v>42605</v>
      </c>
      <c r="B3896" t="s">
        <v>30</v>
      </c>
      <c r="C3896">
        <v>303</v>
      </c>
      <c r="D3896">
        <v>6</v>
      </c>
      <c r="E3896">
        <v>2</v>
      </c>
      <c r="F3896" t="s">
        <v>315</v>
      </c>
      <c r="G3896" t="s">
        <v>32</v>
      </c>
      <c r="H3896" t="s">
        <v>33</v>
      </c>
      <c r="I3896" t="s">
        <v>59</v>
      </c>
      <c r="O3896" s="5"/>
      <c r="P3896" s="5"/>
    </row>
    <row r="3897" spans="1:16" x14ac:dyDescent="0.35">
      <c r="A3897" s="4">
        <v>42605</v>
      </c>
      <c r="B3897" t="s">
        <v>30</v>
      </c>
      <c r="C3897">
        <v>303</v>
      </c>
      <c r="D3897">
        <v>7</v>
      </c>
      <c r="E3897">
        <v>1</v>
      </c>
      <c r="F3897" t="s">
        <v>315</v>
      </c>
      <c r="G3897" t="s">
        <v>32</v>
      </c>
      <c r="H3897" t="s">
        <v>33</v>
      </c>
      <c r="I3897" t="s">
        <v>59</v>
      </c>
      <c r="O3897" s="5"/>
      <c r="P3897" s="5"/>
    </row>
    <row r="3898" spans="1:16" x14ac:dyDescent="0.35">
      <c r="A3898" s="4">
        <v>42605</v>
      </c>
      <c r="B3898" t="s">
        <v>30</v>
      </c>
      <c r="C3898">
        <v>401</v>
      </c>
      <c r="D3898">
        <v>1</v>
      </c>
      <c r="E3898">
        <v>1</v>
      </c>
      <c r="F3898" t="s">
        <v>315</v>
      </c>
      <c r="G3898" t="s">
        <v>32</v>
      </c>
      <c r="H3898" t="s">
        <v>33</v>
      </c>
      <c r="I3898" t="s">
        <v>59</v>
      </c>
      <c r="O3898" s="5"/>
      <c r="P3898" s="5"/>
    </row>
    <row r="3899" spans="1:16" x14ac:dyDescent="0.35">
      <c r="A3899" s="4">
        <v>42605</v>
      </c>
      <c r="B3899" t="s">
        <v>30</v>
      </c>
      <c r="C3899">
        <v>401</v>
      </c>
      <c r="D3899">
        <v>1</v>
      </c>
      <c r="E3899">
        <v>2</v>
      </c>
      <c r="F3899" t="s">
        <v>315</v>
      </c>
      <c r="G3899" t="s">
        <v>32</v>
      </c>
      <c r="H3899" t="s">
        <v>33</v>
      </c>
      <c r="I3899" t="s">
        <v>59</v>
      </c>
      <c r="O3899" s="5"/>
      <c r="P3899" s="5"/>
    </row>
    <row r="3900" spans="1:16" x14ac:dyDescent="0.35">
      <c r="A3900" s="4">
        <v>42605</v>
      </c>
      <c r="B3900" t="s">
        <v>30</v>
      </c>
      <c r="C3900">
        <v>401</v>
      </c>
      <c r="D3900">
        <v>2</v>
      </c>
      <c r="E3900">
        <v>1</v>
      </c>
      <c r="F3900" t="s">
        <v>315</v>
      </c>
      <c r="G3900" t="s">
        <v>32</v>
      </c>
      <c r="H3900" t="s">
        <v>33</v>
      </c>
      <c r="I3900" t="s">
        <v>59</v>
      </c>
      <c r="O3900" s="5"/>
      <c r="P3900" s="5"/>
    </row>
    <row r="3901" spans="1:16" x14ac:dyDescent="0.35">
      <c r="A3901" s="4">
        <v>42605</v>
      </c>
      <c r="B3901" t="s">
        <v>30</v>
      </c>
      <c r="C3901">
        <v>401</v>
      </c>
      <c r="D3901">
        <v>2</v>
      </c>
      <c r="E3901">
        <v>2</v>
      </c>
      <c r="F3901" t="s">
        <v>315</v>
      </c>
      <c r="G3901" t="s">
        <v>32</v>
      </c>
      <c r="H3901" t="s">
        <v>33</v>
      </c>
      <c r="I3901" t="s">
        <v>59</v>
      </c>
      <c r="O3901" s="5"/>
      <c r="P3901" s="5"/>
    </row>
    <row r="3902" spans="1:16" x14ac:dyDescent="0.35">
      <c r="A3902" s="4">
        <v>42605</v>
      </c>
      <c r="B3902" t="s">
        <v>30</v>
      </c>
      <c r="C3902">
        <v>401</v>
      </c>
      <c r="D3902">
        <v>3</v>
      </c>
      <c r="E3902">
        <v>1</v>
      </c>
      <c r="F3902" t="s">
        <v>315</v>
      </c>
      <c r="G3902" t="s">
        <v>32</v>
      </c>
      <c r="H3902" t="s">
        <v>33</v>
      </c>
      <c r="I3902" t="s">
        <v>59</v>
      </c>
      <c r="O3902" s="5"/>
      <c r="P3902" s="5"/>
    </row>
    <row r="3903" spans="1:16" x14ac:dyDescent="0.35">
      <c r="A3903" s="4">
        <v>42605</v>
      </c>
      <c r="B3903" t="s">
        <v>30</v>
      </c>
      <c r="C3903">
        <v>401</v>
      </c>
      <c r="D3903">
        <v>6</v>
      </c>
      <c r="E3903">
        <v>1</v>
      </c>
      <c r="F3903" t="s">
        <v>315</v>
      </c>
      <c r="G3903" t="s">
        <v>32</v>
      </c>
      <c r="H3903" t="s">
        <v>33</v>
      </c>
      <c r="I3903" t="s">
        <v>59</v>
      </c>
      <c r="O3903" s="5"/>
      <c r="P3903" s="5"/>
    </row>
    <row r="3904" spans="1:16" x14ac:dyDescent="0.35">
      <c r="A3904" s="4">
        <v>42605</v>
      </c>
      <c r="B3904" t="s">
        <v>30</v>
      </c>
      <c r="C3904">
        <v>401</v>
      </c>
      <c r="D3904">
        <v>7</v>
      </c>
      <c r="E3904">
        <v>1</v>
      </c>
      <c r="F3904" t="s">
        <v>315</v>
      </c>
      <c r="G3904" t="s">
        <v>32</v>
      </c>
      <c r="H3904" t="s">
        <v>33</v>
      </c>
      <c r="I3904" t="s">
        <v>59</v>
      </c>
      <c r="O3904" s="5"/>
      <c r="P3904" s="5"/>
    </row>
    <row r="3905" spans="1:30" x14ac:dyDescent="0.35">
      <c r="A3905" s="4">
        <v>42605</v>
      </c>
      <c r="B3905" t="s">
        <v>30</v>
      </c>
      <c r="C3905">
        <v>401</v>
      </c>
      <c r="D3905">
        <v>8</v>
      </c>
      <c r="E3905">
        <v>1</v>
      </c>
      <c r="F3905" t="s">
        <v>315</v>
      </c>
      <c r="G3905" t="s">
        <v>32</v>
      </c>
      <c r="H3905" t="s">
        <v>33</v>
      </c>
      <c r="I3905" t="s">
        <v>59</v>
      </c>
      <c r="O3905" s="5"/>
      <c r="P3905" s="5"/>
    </row>
    <row r="3906" spans="1:30" x14ac:dyDescent="0.35">
      <c r="A3906" s="4">
        <v>42605</v>
      </c>
      <c r="B3906" t="s">
        <v>30</v>
      </c>
      <c r="C3906">
        <v>401</v>
      </c>
      <c r="D3906">
        <v>8</v>
      </c>
      <c r="E3906">
        <v>2</v>
      </c>
      <c r="F3906" t="s">
        <v>315</v>
      </c>
      <c r="G3906" t="s">
        <v>32</v>
      </c>
      <c r="H3906" t="s">
        <v>33</v>
      </c>
      <c r="I3906" t="s">
        <v>59</v>
      </c>
      <c r="O3906" s="5"/>
      <c r="P3906" s="5"/>
    </row>
    <row r="3907" spans="1:30" x14ac:dyDescent="0.35">
      <c r="A3907" s="4">
        <v>42605</v>
      </c>
      <c r="B3907" t="s">
        <v>30</v>
      </c>
      <c r="C3907">
        <v>401</v>
      </c>
      <c r="D3907">
        <v>10</v>
      </c>
      <c r="E3907">
        <v>1</v>
      </c>
      <c r="F3907" t="s">
        <v>315</v>
      </c>
      <c r="G3907" t="s">
        <v>32</v>
      </c>
      <c r="H3907" t="s">
        <v>33</v>
      </c>
      <c r="I3907" t="s">
        <v>59</v>
      </c>
      <c r="O3907" s="5"/>
      <c r="P3907" s="5"/>
    </row>
    <row r="3908" spans="1:30" x14ac:dyDescent="0.35">
      <c r="A3908" s="4">
        <v>42605</v>
      </c>
      <c r="B3908" t="s">
        <v>30</v>
      </c>
      <c r="C3908">
        <v>501</v>
      </c>
      <c r="D3908">
        <v>8</v>
      </c>
      <c r="E3908">
        <v>1</v>
      </c>
      <c r="F3908" t="s">
        <v>315</v>
      </c>
      <c r="G3908" t="s">
        <v>32</v>
      </c>
      <c r="H3908" t="s">
        <v>33</v>
      </c>
      <c r="I3908" t="s">
        <v>94</v>
      </c>
      <c r="J3908" t="s">
        <v>35</v>
      </c>
      <c r="K3908" t="s">
        <v>113</v>
      </c>
      <c r="L3908" t="s">
        <v>37</v>
      </c>
      <c r="M3908">
        <v>0</v>
      </c>
      <c r="N3908">
        <v>1</v>
      </c>
      <c r="O3908" s="5" t="s">
        <v>978</v>
      </c>
      <c r="P3908" s="5"/>
      <c r="Q3908">
        <f>33-14</f>
        <v>19</v>
      </c>
      <c r="R3908" t="s">
        <v>64</v>
      </c>
      <c r="T3908">
        <v>30</v>
      </c>
      <c r="W3908">
        <v>12.9</v>
      </c>
      <c r="X3908">
        <v>24.8</v>
      </c>
      <c r="Z3908" t="s">
        <v>102</v>
      </c>
      <c r="AA3908" t="s">
        <v>201</v>
      </c>
      <c r="AB3908" t="s">
        <v>86</v>
      </c>
      <c r="AC3908" t="s">
        <v>41</v>
      </c>
      <c r="AD3908" t="s">
        <v>807</v>
      </c>
    </row>
    <row r="3909" spans="1:30" x14ac:dyDescent="0.35">
      <c r="A3909" s="4">
        <v>42605</v>
      </c>
      <c r="B3909" t="s">
        <v>30</v>
      </c>
      <c r="C3909">
        <v>501</v>
      </c>
      <c r="D3909">
        <v>9</v>
      </c>
      <c r="E3909">
        <v>1</v>
      </c>
      <c r="F3909" t="s">
        <v>315</v>
      </c>
      <c r="G3909" t="s">
        <v>32</v>
      </c>
      <c r="H3909" t="s">
        <v>33</v>
      </c>
      <c r="I3909" t="s">
        <v>94</v>
      </c>
      <c r="J3909" t="s">
        <v>35</v>
      </c>
      <c r="K3909" t="s">
        <v>113</v>
      </c>
      <c r="L3909" t="s">
        <v>45</v>
      </c>
      <c r="M3909">
        <v>0</v>
      </c>
      <c r="N3909">
        <v>1</v>
      </c>
      <c r="O3909" s="5" t="s">
        <v>979</v>
      </c>
      <c r="P3909" s="5"/>
      <c r="Q3909">
        <f>35-17.5</f>
        <v>17.5</v>
      </c>
      <c r="R3909" t="s">
        <v>46</v>
      </c>
      <c r="S3909" t="s">
        <v>39</v>
      </c>
      <c r="T3909">
        <v>30</v>
      </c>
      <c r="W3909">
        <v>12.9</v>
      </c>
      <c r="X3909">
        <v>26.3</v>
      </c>
      <c r="Z3909" t="s">
        <v>102</v>
      </c>
      <c r="AA3909" t="s">
        <v>201</v>
      </c>
      <c r="AB3909" t="s">
        <v>86</v>
      </c>
      <c r="AC3909" t="s">
        <v>41</v>
      </c>
      <c r="AD3909" t="s">
        <v>807</v>
      </c>
    </row>
    <row r="3910" spans="1:30" x14ac:dyDescent="0.35">
      <c r="A3910" s="4">
        <v>42605</v>
      </c>
      <c r="B3910" t="s">
        <v>30</v>
      </c>
      <c r="C3910">
        <v>303</v>
      </c>
      <c r="D3910">
        <v>10</v>
      </c>
      <c r="E3910">
        <v>1</v>
      </c>
      <c r="F3910" t="s">
        <v>315</v>
      </c>
      <c r="G3910" t="s">
        <v>32</v>
      </c>
      <c r="H3910" t="s">
        <v>33</v>
      </c>
      <c r="I3910" t="s">
        <v>94</v>
      </c>
      <c r="J3910" t="s">
        <v>35</v>
      </c>
      <c r="K3910" t="s">
        <v>88</v>
      </c>
      <c r="L3910" t="s">
        <v>45</v>
      </c>
      <c r="M3910">
        <v>0</v>
      </c>
      <c r="N3910">
        <v>1</v>
      </c>
      <c r="O3910" s="5" t="s">
        <v>980</v>
      </c>
      <c r="P3910" s="5"/>
      <c r="Q3910">
        <f>27-16</f>
        <v>11</v>
      </c>
      <c r="R3910" t="s">
        <v>46</v>
      </c>
      <c r="S3910" t="s">
        <v>39</v>
      </c>
      <c r="T3910">
        <v>27</v>
      </c>
      <c r="W3910">
        <v>12.7</v>
      </c>
      <c r="X3910">
        <v>23</v>
      </c>
      <c r="Z3910" t="s">
        <v>102</v>
      </c>
      <c r="AA3910" t="s">
        <v>201</v>
      </c>
      <c r="AB3910" t="s">
        <v>86</v>
      </c>
      <c r="AC3910" t="s">
        <v>41</v>
      </c>
      <c r="AD3910" t="s">
        <v>807</v>
      </c>
    </row>
    <row r="3911" spans="1:30" x14ac:dyDescent="0.35">
      <c r="A3911" s="4">
        <v>42605</v>
      </c>
      <c r="B3911" t="s">
        <v>30</v>
      </c>
      <c r="C3911">
        <v>701</v>
      </c>
      <c r="D3911">
        <v>3</v>
      </c>
      <c r="E3911">
        <v>1</v>
      </c>
      <c r="F3911" t="s">
        <v>42</v>
      </c>
      <c r="G3911" t="s">
        <v>32</v>
      </c>
      <c r="H3911" t="s">
        <v>33</v>
      </c>
      <c r="I3911" t="s">
        <v>94</v>
      </c>
      <c r="J3911" t="s">
        <v>35</v>
      </c>
      <c r="K3911" t="s">
        <v>36</v>
      </c>
      <c r="L3911" t="s">
        <v>37</v>
      </c>
      <c r="M3911">
        <v>0</v>
      </c>
      <c r="N3911">
        <v>1</v>
      </c>
      <c r="O3911" s="5" t="s">
        <v>981</v>
      </c>
      <c r="P3911" s="5"/>
      <c r="Q3911">
        <f>39-13</f>
        <v>26</v>
      </c>
      <c r="R3911" t="s">
        <v>64</v>
      </c>
      <c r="T3911">
        <v>27</v>
      </c>
      <c r="W3911">
        <v>13.1</v>
      </c>
      <c r="X3911">
        <v>25.2</v>
      </c>
      <c r="Z3911" t="s">
        <v>102</v>
      </c>
      <c r="AB3911" t="s">
        <v>47</v>
      </c>
      <c r="AC3911" t="s">
        <v>41</v>
      </c>
    </row>
    <row r="3912" spans="1:30" x14ac:dyDescent="0.35">
      <c r="A3912" s="4">
        <v>42605</v>
      </c>
      <c r="B3912" t="s">
        <v>30</v>
      </c>
      <c r="C3912">
        <v>701</v>
      </c>
      <c r="D3912">
        <v>1</v>
      </c>
      <c r="E3912">
        <v>2</v>
      </c>
      <c r="F3912" t="s">
        <v>42</v>
      </c>
      <c r="G3912" t="s">
        <v>32</v>
      </c>
      <c r="H3912" t="s">
        <v>33</v>
      </c>
      <c r="I3912" t="s">
        <v>94</v>
      </c>
      <c r="J3912" t="s">
        <v>35</v>
      </c>
      <c r="K3912" t="s">
        <v>113</v>
      </c>
      <c r="L3912" t="s">
        <v>45</v>
      </c>
      <c r="M3912">
        <v>0</v>
      </c>
      <c r="N3912">
        <v>1</v>
      </c>
      <c r="O3912" s="5" t="s">
        <v>982</v>
      </c>
      <c r="P3912" s="5"/>
      <c r="Q3912">
        <f>30-13</f>
        <v>17</v>
      </c>
      <c r="R3912" t="s">
        <v>46</v>
      </c>
      <c r="S3912" t="s">
        <v>39</v>
      </c>
      <c r="T3912">
        <v>28</v>
      </c>
      <c r="W3912">
        <v>12.7</v>
      </c>
      <c r="X3912">
        <v>25.35</v>
      </c>
      <c r="Z3912" t="s">
        <v>102</v>
      </c>
      <c r="AA3912" t="s">
        <v>983</v>
      </c>
      <c r="AB3912" t="s">
        <v>47</v>
      </c>
      <c r="AC3912" t="s">
        <v>41</v>
      </c>
    </row>
    <row r="3913" spans="1:30" x14ac:dyDescent="0.35">
      <c r="A3913" s="4">
        <v>42605</v>
      </c>
      <c r="B3913" t="s">
        <v>30</v>
      </c>
      <c r="C3913">
        <v>703</v>
      </c>
      <c r="D3913">
        <v>5</v>
      </c>
      <c r="E3913">
        <v>1</v>
      </c>
      <c r="F3913" t="s">
        <v>42</v>
      </c>
      <c r="G3913" t="s">
        <v>32</v>
      </c>
      <c r="H3913" t="s">
        <v>33</v>
      </c>
      <c r="I3913" t="s">
        <v>94</v>
      </c>
      <c r="J3913" t="s">
        <v>44</v>
      </c>
      <c r="K3913" t="s">
        <v>113</v>
      </c>
      <c r="L3913" t="s">
        <v>37</v>
      </c>
      <c r="M3913">
        <v>0</v>
      </c>
      <c r="N3913">
        <v>0</v>
      </c>
      <c r="O3913" s="5" t="s">
        <v>949</v>
      </c>
      <c r="P3913" s="5"/>
      <c r="Q3913">
        <f>31-13</f>
        <v>18</v>
      </c>
      <c r="R3913" t="s">
        <v>64</v>
      </c>
      <c r="T3913">
        <v>28.5</v>
      </c>
      <c r="W3913">
        <v>12.6</v>
      </c>
      <c r="X3913">
        <v>25.1</v>
      </c>
      <c r="AB3913" t="s">
        <v>47</v>
      </c>
      <c r="AC3913" t="s">
        <v>41</v>
      </c>
    </row>
    <row r="3914" spans="1:30" x14ac:dyDescent="0.35">
      <c r="A3914" s="4">
        <v>42605</v>
      </c>
      <c r="B3914" t="s">
        <v>30</v>
      </c>
      <c r="C3914">
        <v>803</v>
      </c>
      <c r="D3914">
        <v>6</v>
      </c>
      <c r="E3914">
        <v>2</v>
      </c>
      <c r="F3914" t="s">
        <v>42</v>
      </c>
      <c r="G3914" t="s">
        <v>32</v>
      </c>
      <c r="H3914" t="s">
        <v>33</v>
      </c>
      <c r="I3914" t="s">
        <v>94</v>
      </c>
      <c r="J3914" t="s">
        <v>44</v>
      </c>
      <c r="K3914" t="s">
        <v>36</v>
      </c>
      <c r="L3914" t="s">
        <v>45</v>
      </c>
      <c r="M3914">
        <v>0</v>
      </c>
      <c r="N3914">
        <v>0</v>
      </c>
      <c r="O3914" s="5"/>
      <c r="P3914" s="5" t="s">
        <v>609</v>
      </c>
      <c r="Q3914">
        <f>34-13</f>
        <v>21</v>
      </c>
      <c r="R3914" t="s">
        <v>46</v>
      </c>
      <c r="S3914" t="s">
        <v>39</v>
      </c>
      <c r="T3914">
        <v>28.5</v>
      </c>
      <c r="W3914">
        <v>13.1</v>
      </c>
      <c r="X3914">
        <v>25.1</v>
      </c>
      <c r="Z3914" t="s">
        <v>102</v>
      </c>
      <c r="AB3914" t="s">
        <v>47</v>
      </c>
      <c r="AC3914" t="s">
        <v>41</v>
      </c>
    </row>
    <row r="3915" spans="1:30" x14ac:dyDescent="0.35">
      <c r="A3915" s="4">
        <v>42605</v>
      </c>
      <c r="B3915" t="s">
        <v>30</v>
      </c>
      <c r="C3915">
        <v>401</v>
      </c>
      <c r="D3915">
        <v>7</v>
      </c>
      <c r="E3915">
        <v>2</v>
      </c>
      <c r="F3915" t="s">
        <v>315</v>
      </c>
      <c r="G3915" t="s">
        <v>32</v>
      </c>
      <c r="H3915" t="s">
        <v>33</v>
      </c>
      <c r="I3915" t="s">
        <v>94</v>
      </c>
      <c r="J3915" t="s">
        <v>35</v>
      </c>
      <c r="K3915" t="s">
        <v>36</v>
      </c>
      <c r="L3915" t="s">
        <v>45</v>
      </c>
      <c r="M3915">
        <v>0</v>
      </c>
      <c r="N3915">
        <v>1</v>
      </c>
      <c r="O3915" s="5"/>
      <c r="P3915" s="5" t="s">
        <v>984</v>
      </c>
      <c r="Q3915">
        <f>36-16</f>
        <v>20</v>
      </c>
      <c r="R3915" t="s">
        <v>46</v>
      </c>
      <c r="S3915" t="s">
        <v>39</v>
      </c>
      <c r="T3915">
        <v>29</v>
      </c>
      <c r="W3915">
        <v>13</v>
      </c>
      <c r="X3915">
        <v>25.7</v>
      </c>
      <c r="Y3915" t="s">
        <v>985</v>
      </c>
      <c r="Z3915" t="s">
        <v>102</v>
      </c>
      <c r="AA3915" t="s">
        <v>201</v>
      </c>
      <c r="AB3915" t="s">
        <v>86</v>
      </c>
      <c r="AC3915" t="s">
        <v>41</v>
      </c>
      <c r="AD3915" t="s">
        <v>986</v>
      </c>
    </row>
    <row r="3916" spans="1:30" x14ac:dyDescent="0.35">
      <c r="A3916" s="4">
        <v>42606</v>
      </c>
      <c r="B3916" t="s">
        <v>30</v>
      </c>
      <c r="C3916">
        <v>503</v>
      </c>
      <c r="D3916">
        <v>9</v>
      </c>
      <c r="E3916">
        <v>1</v>
      </c>
      <c r="F3916" t="s">
        <v>315</v>
      </c>
      <c r="G3916" t="s">
        <v>32</v>
      </c>
      <c r="H3916" t="s">
        <v>33</v>
      </c>
      <c r="I3916" t="s">
        <v>43</v>
      </c>
      <c r="J3916" t="s">
        <v>44</v>
      </c>
      <c r="K3916" t="s">
        <v>88</v>
      </c>
      <c r="L3916" t="s">
        <v>37</v>
      </c>
      <c r="M3916">
        <v>0</v>
      </c>
      <c r="N3916">
        <v>0</v>
      </c>
      <c r="O3916" s="5" t="s">
        <v>954</v>
      </c>
      <c r="P3916" s="5" t="s">
        <v>955</v>
      </c>
      <c r="Q3916">
        <f>30-15</f>
        <v>15</v>
      </c>
      <c r="R3916" t="s">
        <v>64</v>
      </c>
      <c r="T3916">
        <v>20</v>
      </c>
      <c r="U3916">
        <v>80</v>
      </c>
      <c r="V3916">
        <v>17</v>
      </c>
      <c r="W3916">
        <v>12.9</v>
      </c>
      <c r="X3916">
        <v>26.7</v>
      </c>
      <c r="Z3916" t="s">
        <v>39</v>
      </c>
      <c r="AB3916" t="s">
        <v>60</v>
      </c>
      <c r="AC3916" t="s">
        <v>87</v>
      </c>
      <c r="AD3916" t="s">
        <v>893</v>
      </c>
    </row>
    <row r="3917" spans="1:30" x14ac:dyDescent="0.35">
      <c r="A3917" s="4">
        <v>42606</v>
      </c>
      <c r="B3917" t="s">
        <v>30</v>
      </c>
      <c r="C3917">
        <v>501</v>
      </c>
      <c r="D3917">
        <v>3</v>
      </c>
      <c r="E3917">
        <v>1</v>
      </c>
      <c r="F3917" t="s">
        <v>315</v>
      </c>
      <c r="G3917" t="s">
        <v>32</v>
      </c>
      <c r="H3917" t="s">
        <v>33</v>
      </c>
      <c r="I3917" t="s">
        <v>43</v>
      </c>
      <c r="J3917" t="s">
        <v>35</v>
      </c>
      <c r="K3917" t="s">
        <v>88</v>
      </c>
      <c r="L3917" t="s">
        <v>37</v>
      </c>
      <c r="M3917">
        <v>0</v>
      </c>
      <c r="N3917">
        <v>1</v>
      </c>
      <c r="O3917" s="5" t="s">
        <v>987</v>
      </c>
      <c r="P3917" s="5" t="s">
        <v>988</v>
      </c>
      <c r="Q3917">
        <f>30-15</f>
        <v>15</v>
      </c>
      <c r="R3917" t="s">
        <v>64</v>
      </c>
      <c r="T3917">
        <v>19</v>
      </c>
      <c r="U3917">
        <v>78</v>
      </c>
      <c r="V3917">
        <v>17</v>
      </c>
      <c r="W3917">
        <v>12.8</v>
      </c>
      <c r="X3917">
        <v>26.5</v>
      </c>
      <c r="Z3917" t="s">
        <v>102</v>
      </c>
      <c r="AA3917" t="s">
        <v>201</v>
      </c>
      <c r="AB3917" t="s">
        <v>60</v>
      </c>
      <c r="AC3917" t="s">
        <v>87</v>
      </c>
      <c r="AD3917" t="s">
        <v>807</v>
      </c>
    </row>
    <row r="3918" spans="1:30" x14ac:dyDescent="0.35">
      <c r="A3918" s="4">
        <v>42606</v>
      </c>
      <c r="B3918" t="s">
        <v>30</v>
      </c>
      <c r="C3918">
        <v>503</v>
      </c>
      <c r="D3918">
        <v>2</v>
      </c>
      <c r="E3918">
        <v>1</v>
      </c>
      <c r="F3918" t="s">
        <v>315</v>
      </c>
      <c r="G3918" t="s">
        <v>32</v>
      </c>
      <c r="H3918" t="s">
        <v>33</v>
      </c>
      <c r="I3918" t="s">
        <v>43</v>
      </c>
      <c r="J3918" t="s">
        <v>35</v>
      </c>
      <c r="K3918" t="s">
        <v>88</v>
      </c>
      <c r="L3918" t="s">
        <v>37</v>
      </c>
      <c r="M3918">
        <v>0</v>
      </c>
      <c r="N3918">
        <v>1</v>
      </c>
      <c r="O3918" s="5" t="s">
        <v>989</v>
      </c>
      <c r="P3918" s="5" t="s">
        <v>990</v>
      </c>
      <c r="Q3918">
        <f>26-13</f>
        <v>13</v>
      </c>
      <c r="R3918" t="s">
        <v>64</v>
      </c>
      <c r="T3918">
        <v>20.5</v>
      </c>
      <c r="U3918">
        <v>85</v>
      </c>
      <c r="V3918">
        <v>17</v>
      </c>
      <c r="W3918">
        <v>12.8</v>
      </c>
      <c r="X3918">
        <v>26.4</v>
      </c>
      <c r="Z3918" t="s">
        <v>39</v>
      </c>
      <c r="AB3918" t="s">
        <v>60</v>
      </c>
      <c r="AC3918" t="s">
        <v>87</v>
      </c>
      <c r="AD3918" t="s">
        <v>807</v>
      </c>
    </row>
    <row r="3919" spans="1:30" x14ac:dyDescent="0.35">
      <c r="A3919" s="4">
        <v>42606</v>
      </c>
      <c r="B3919" t="s">
        <v>30</v>
      </c>
      <c r="C3919">
        <v>501</v>
      </c>
      <c r="D3919">
        <v>10</v>
      </c>
      <c r="E3919">
        <v>2</v>
      </c>
      <c r="F3919" t="s">
        <v>315</v>
      </c>
      <c r="G3919" t="s">
        <v>32</v>
      </c>
      <c r="H3919" t="s">
        <v>33</v>
      </c>
      <c r="I3919" t="s">
        <v>43</v>
      </c>
      <c r="J3919" t="s">
        <v>44</v>
      </c>
      <c r="K3919" t="s">
        <v>88</v>
      </c>
      <c r="L3919" t="s">
        <v>45</v>
      </c>
      <c r="M3919">
        <v>0</v>
      </c>
      <c r="N3919">
        <v>0</v>
      </c>
      <c r="O3919" s="5" t="s">
        <v>902</v>
      </c>
      <c r="P3919" s="5" t="s">
        <v>903</v>
      </c>
      <c r="Q3919">
        <f>30.5-16</f>
        <v>14.5</v>
      </c>
      <c r="R3919" t="s">
        <v>46</v>
      </c>
      <c r="S3919" t="s">
        <v>39</v>
      </c>
      <c r="T3919">
        <v>19.5</v>
      </c>
      <c r="U3919">
        <v>80</v>
      </c>
      <c r="V3919">
        <v>16</v>
      </c>
      <c r="W3919">
        <v>13</v>
      </c>
      <c r="X3919">
        <v>26</v>
      </c>
      <c r="Z3919" t="s">
        <v>39</v>
      </c>
      <c r="AB3919" t="s">
        <v>60</v>
      </c>
      <c r="AC3919" t="s">
        <v>87</v>
      </c>
    </row>
    <row r="3920" spans="1:30" x14ac:dyDescent="0.35">
      <c r="A3920" s="4">
        <v>42606</v>
      </c>
      <c r="B3920" t="s">
        <v>30</v>
      </c>
      <c r="C3920">
        <v>701</v>
      </c>
      <c r="D3920">
        <v>3</v>
      </c>
      <c r="E3920">
        <v>2</v>
      </c>
      <c r="F3920" t="s">
        <v>42</v>
      </c>
      <c r="G3920" t="s">
        <v>32</v>
      </c>
      <c r="H3920" t="s">
        <v>33</v>
      </c>
      <c r="I3920" t="s">
        <v>43</v>
      </c>
      <c r="J3920" t="s">
        <v>44</v>
      </c>
      <c r="K3920" t="s">
        <v>113</v>
      </c>
      <c r="L3920" t="s">
        <v>37</v>
      </c>
      <c r="M3920">
        <v>0</v>
      </c>
      <c r="N3920">
        <v>0</v>
      </c>
      <c r="O3920" s="5" t="s">
        <v>676</v>
      </c>
      <c r="P3920" s="5" t="s">
        <v>677</v>
      </c>
      <c r="Q3920">
        <f>32-16.5</f>
        <v>15.5</v>
      </c>
      <c r="R3920" t="s">
        <v>64</v>
      </c>
      <c r="T3920">
        <v>18</v>
      </c>
      <c r="U3920">
        <v>81</v>
      </c>
      <c r="V3920">
        <v>16.5</v>
      </c>
      <c r="W3920">
        <v>13.3</v>
      </c>
      <c r="X3920">
        <v>26.5</v>
      </c>
      <c r="Y3920" t="s">
        <v>991</v>
      </c>
      <c r="AB3920" t="s">
        <v>47</v>
      </c>
      <c r="AC3920" t="s">
        <v>41</v>
      </c>
    </row>
    <row r="3921" spans="1:30" x14ac:dyDescent="0.35">
      <c r="A3921" s="4">
        <v>42606</v>
      </c>
      <c r="B3921" t="s">
        <v>30</v>
      </c>
      <c r="C3921">
        <v>701</v>
      </c>
      <c r="D3921">
        <v>7</v>
      </c>
      <c r="E3921">
        <v>1</v>
      </c>
      <c r="F3921" t="s">
        <v>42</v>
      </c>
      <c r="G3921" t="s">
        <v>32</v>
      </c>
      <c r="H3921" t="s">
        <v>33</v>
      </c>
      <c r="I3921" t="s">
        <v>43</v>
      </c>
      <c r="J3921" t="s">
        <v>44</v>
      </c>
      <c r="K3921" t="s">
        <v>113</v>
      </c>
      <c r="L3921" t="s">
        <v>37</v>
      </c>
      <c r="M3921">
        <v>0</v>
      </c>
      <c r="N3921">
        <v>0</v>
      </c>
      <c r="O3921" s="5" t="s">
        <v>682</v>
      </c>
      <c r="P3921" s="5" t="s">
        <v>683</v>
      </c>
      <c r="Q3921">
        <f>34-16.5</f>
        <v>17.5</v>
      </c>
      <c r="R3921" t="s">
        <v>64</v>
      </c>
      <c r="T3921">
        <v>20</v>
      </c>
      <c r="U3921">
        <v>84</v>
      </c>
      <c r="V3921">
        <v>16</v>
      </c>
      <c r="W3921">
        <v>12.85</v>
      </c>
      <c r="X3921">
        <v>27.6</v>
      </c>
      <c r="Z3921" t="s">
        <v>102</v>
      </c>
      <c r="AB3921" t="s">
        <v>47</v>
      </c>
      <c r="AC3921" t="s">
        <v>41</v>
      </c>
    </row>
    <row r="3922" spans="1:30" x14ac:dyDescent="0.35">
      <c r="A3922" s="4">
        <v>42606</v>
      </c>
      <c r="B3922" t="s">
        <v>30</v>
      </c>
      <c r="C3922">
        <v>701</v>
      </c>
      <c r="D3922">
        <v>9</v>
      </c>
      <c r="E3922">
        <v>2</v>
      </c>
      <c r="F3922" t="s">
        <v>42</v>
      </c>
      <c r="G3922" t="s">
        <v>32</v>
      </c>
      <c r="H3922" t="s">
        <v>33</v>
      </c>
      <c r="I3922" t="s">
        <v>43</v>
      </c>
      <c r="J3922" t="s">
        <v>44</v>
      </c>
      <c r="K3922" t="s">
        <v>113</v>
      </c>
      <c r="L3922" t="s">
        <v>37</v>
      </c>
      <c r="M3922">
        <v>0</v>
      </c>
      <c r="N3922">
        <v>0</v>
      </c>
      <c r="O3922" s="5" t="s">
        <v>547</v>
      </c>
      <c r="P3922" s="5" t="s">
        <v>548</v>
      </c>
      <c r="Q3922">
        <f>30.5-13</f>
        <v>17.5</v>
      </c>
      <c r="R3922" t="s">
        <v>64</v>
      </c>
      <c r="T3922">
        <v>20</v>
      </c>
      <c r="U3922">
        <v>83</v>
      </c>
      <c r="V3922">
        <v>15.5</v>
      </c>
      <c r="W3922">
        <v>13</v>
      </c>
      <c r="X3922">
        <v>27.1</v>
      </c>
      <c r="Z3922" t="s">
        <v>102</v>
      </c>
      <c r="AB3922" t="s">
        <v>47</v>
      </c>
      <c r="AC3922" t="s">
        <v>41</v>
      </c>
    </row>
    <row r="3923" spans="1:30" x14ac:dyDescent="0.35">
      <c r="A3923" s="4">
        <v>42606</v>
      </c>
      <c r="B3923" t="s">
        <v>30</v>
      </c>
      <c r="C3923">
        <v>703</v>
      </c>
      <c r="D3923">
        <v>1</v>
      </c>
      <c r="E3923">
        <v>2</v>
      </c>
      <c r="F3923" t="s">
        <v>42</v>
      </c>
      <c r="G3923" t="s">
        <v>32</v>
      </c>
      <c r="H3923" t="s">
        <v>33</v>
      </c>
      <c r="I3923" t="s">
        <v>43</v>
      </c>
      <c r="J3923" t="s">
        <v>44</v>
      </c>
      <c r="K3923" t="s">
        <v>113</v>
      </c>
      <c r="L3923" t="s">
        <v>37</v>
      </c>
      <c r="M3923">
        <v>0</v>
      </c>
      <c r="N3923">
        <v>0</v>
      </c>
      <c r="O3923" s="5" t="s">
        <v>614</v>
      </c>
      <c r="P3923" s="5" t="s">
        <v>615</v>
      </c>
      <c r="Q3923">
        <f>29-14</f>
        <v>15</v>
      </c>
      <c r="R3923" t="s">
        <v>64</v>
      </c>
      <c r="T3923">
        <v>19</v>
      </c>
      <c r="U3923">
        <v>76</v>
      </c>
      <c r="V3923">
        <v>16</v>
      </c>
      <c r="W3923">
        <v>12.9</v>
      </c>
      <c r="X3923">
        <v>25</v>
      </c>
      <c r="AB3923" t="s">
        <v>47</v>
      </c>
      <c r="AC3923" t="s">
        <v>41</v>
      </c>
      <c r="AD3923" t="s">
        <v>992</v>
      </c>
    </row>
    <row r="3924" spans="1:30" x14ac:dyDescent="0.35">
      <c r="A3924" s="4">
        <v>42606</v>
      </c>
      <c r="B3924" t="s">
        <v>30</v>
      </c>
      <c r="C3924">
        <v>701</v>
      </c>
      <c r="D3924">
        <v>7</v>
      </c>
      <c r="E3924">
        <v>2</v>
      </c>
      <c r="F3924" t="s">
        <v>42</v>
      </c>
      <c r="G3924" t="s">
        <v>32</v>
      </c>
      <c r="H3924" t="s">
        <v>33</v>
      </c>
      <c r="I3924" t="s">
        <v>43</v>
      </c>
      <c r="J3924" t="s">
        <v>44</v>
      </c>
      <c r="K3924" t="s">
        <v>113</v>
      </c>
      <c r="L3924" t="s">
        <v>37</v>
      </c>
      <c r="M3924">
        <v>0</v>
      </c>
      <c r="N3924">
        <v>0</v>
      </c>
      <c r="O3924" s="5" t="s">
        <v>617</v>
      </c>
      <c r="P3924" s="5" t="s">
        <v>618</v>
      </c>
      <c r="Q3924">
        <f>27-13</f>
        <v>14</v>
      </c>
      <c r="R3924" t="s">
        <v>64</v>
      </c>
      <c r="T3924">
        <v>19.5</v>
      </c>
      <c r="U3924">
        <v>88</v>
      </c>
      <c r="V3924">
        <v>16</v>
      </c>
      <c r="W3924">
        <v>12.7</v>
      </c>
      <c r="X3924">
        <v>25.5</v>
      </c>
      <c r="Z3924" t="s">
        <v>102</v>
      </c>
      <c r="AB3924" t="s">
        <v>47</v>
      </c>
      <c r="AC3924" t="s">
        <v>41</v>
      </c>
    </row>
    <row r="3925" spans="1:30" x14ac:dyDescent="0.35">
      <c r="A3925" s="4">
        <v>42606</v>
      </c>
      <c r="B3925" t="s">
        <v>30</v>
      </c>
      <c r="C3925">
        <v>401</v>
      </c>
      <c r="D3925">
        <v>4</v>
      </c>
      <c r="E3925">
        <v>1</v>
      </c>
      <c r="F3925" t="s">
        <v>315</v>
      </c>
      <c r="G3925" t="s">
        <v>32</v>
      </c>
      <c r="H3925" t="s">
        <v>33</v>
      </c>
      <c r="I3925" t="s">
        <v>43</v>
      </c>
      <c r="J3925" t="s">
        <v>44</v>
      </c>
      <c r="K3925" t="s">
        <v>36</v>
      </c>
      <c r="L3925" t="s">
        <v>37</v>
      </c>
      <c r="M3925">
        <v>0</v>
      </c>
      <c r="N3925">
        <v>0</v>
      </c>
      <c r="O3925" s="5" t="s">
        <v>690</v>
      </c>
      <c r="P3925" s="5" t="s">
        <v>691</v>
      </c>
      <c r="Q3925">
        <f>34-17</f>
        <v>17</v>
      </c>
      <c r="R3925" t="s">
        <v>64</v>
      </c>
      <c r="T3925">
        <v>19.5</v>
      </c>
      <c r="U3925">
        <v>95</v>
      </c>
      <c r="V3925">
        <v>14.5</v>
      </c>
      <c r="W3925">
        <v>13.1</v>
      </c>
      <c r="X3925">
        <v>26.4</v>
      </c>
      <c r="Z3925" t="s">
        <v>102</v>
      </c>
      <c r="AA3925" t="s">
        <v>201</v>
      </c>
      <c r="AB3925" t="s">
        <v>60</v>
      </c>
      <c r="AC3925" t="s">
        <v>87</v>
      </c>
    </row>
    <row r="3926" spans="1:30" x14ac:dyDescent="0.35">
      <c r="A3926" s="4">
        <v>42606</v>
      </c>
      <c r="B3926" t="s">
        <v>30</v>
      </c>
      <c r="C3926">
        <v>303</v>
      </c>
      <c r="D3926">
        <v>7</v>
      </c>
      <c r="E3926" t="s">
        <v>485</v>
      </c>
      <c r="F3926" t="s">
        <v>315</v>
      </c>
      <c r="G3926" t="s">
        <v>32</v>
      </c>
      <c r="H3926" t="s">
        <v>33</v>
      </c>
      <c r="I3926" t="s">
        <v>43</v>
      </c>
      <c r="J3926" t="s">
        <v>44</v>
      </c>
      <c r="K3926" t="s">
        <v>88</v>
      </c>
      <c r="L3926" t="s">
        <v>45</v>
      </c>
      <c r="M3926">
        <v>0</v>
      </c>
      <c r="N3926">
        <v>0</v>
      </c>
      <c r="O3926" s="5" t="s">
        <v>692</v>
      </c>
      <c r="P3926" s="5" t="s">
        <v>693</v>
      </c>
      <c r="Q3926">
        <f>28-14</f>
        <v>14</v>
      </c>
      <c r="R3926" t="s">
        <v>46</v>
      </c>
      <c r="S3926" t="s">
        <v>39</v>
      </c>
      <c r="T3926">
        <v>18</v>
      </c>
      <c r="U3926">
        <v>85</v>
      </c>
      <c r="V3926">
        <v>16.5</v>
      </c>
      <c r="W3926">
        <v>12.8</v>
      </c>
      <c r="X3926">
        <v>26</v>
      </c>
      <c r="Z3926" t="s">
        <v>102</v>
      </c>
      <c r="AA3926" t="s">
        <v>201</v>
      </c>
      <c r="AB3926" t="s">
        <v>60</v>
      </c>
      <c r="AC3926" t="s">
        <v>87</v>
      </c>
    </row>
    <row r="3927" spans="1:30" x14ac:dyDescent="0.35">
      <c r="A3927" s="4">
        <v>42606</v>
      </c>
      <c r="B3927" t="s">
        <v>30</v>
      </c>
      <c r="C3927">
        <v>401</v>
      </c>
      <c r="D3927">
        <v>1</v>
      </c>
      <c r="E3927">
        <v>2</v>
      </c>
      <c r="F3927" t="s">
        <v>315</v>
      </c>
      <c r="G3927" t="s">
        <v>32</v>
      </c>
      <c r="H3927" t="s">
        <v>33</v>
      </c>
      <c r="I3927" t="s">
        <v>43</v>
      </c>
      <c r="J3927" t="s">
        <v>44</v>
      </c>
      <c r="K3927" t="s">
        <v>113</v>
      </c>
      <c r="L3927" t="s">
        <v>45</v>
      </c>
      <c r="M3927">
        <v>0</v>
      </c>
      <c r="N3927">
        <v>0</v>
      </c>
      <c r="O3927" s="5" t="s">
        <v>626</v>
      </c>
      <c r="P3927" s="5" t="s">
        <v>627</v>
      </c>
      <c r="Q3927">
        <f>36-17</f>
        <v>19</v>
      </c>
      <c r="R3927" t="s">
        <v>46</v>
      </c>
      <c r="S3927" t="s">
        <v>39</v>
      </c>
      <c r="T3927">
        <v>20</v>
      </c>
      <c r="U3927">
        <v>100</v>
      </c>
      <c r="V3927">
        <v>17</v>
      </c>
      <c r="W3927">
        <v>13</v>
      </c>
      <c r="X3927">
        <v>28.4</v>
      </c>
      <c r="Z3927" t="s">
        <v>102</v>
      </c>
      <c r="AA3927" t="s">
        <v>201</v>
      </c>
      <c r="AB3927" t="s">
        <v>60</v>
      </c>
      <c r="AC3927" t="s">
        <v>87</v>
      </c>
    </row>
    <row r="3928" spans="1:30" x14ac:dyDescent="0.35">
      <c r="A3928" s="4">
        <v>42606</v>
      </c>
      <c r="B3928" t="s">
        <v>30</v>
      </c>
      <c r="C3928">
        <v>303</v>
      </c>
      <c r="D3928">
        <v>4</v>
      </c>
      <c r="E3928">
        <v>1</v>
      </c>
      <c r="F3928" t="s">
        <v>315</v>
      </c>
      <c r="G3928" t="s">
        <v>32</v>
      </c>
      <c r="H3928" t="s">
        <v>33</v>
      </c>
      <c r="I3928" t="s">
        <v>43</v>
      </c>
      <c r="J3928" t="s">
        <v>44</v>
      </c>
      <c r="K3928" t="s">
        <v>113</v>
      </c>
      <c r="L3928" t="s">
        <v>45</v>
      </c>
      <c r="M3928">
        <v>0</v>
      </c>
      <c r="N3928">
        <v>0</v>
      </c>
      <c r="O3928" s="5" t="s">
        <v>628</v>
      </c>
      <c r="P3928" s="5" t="s">
        <v>629</v>
      </c>
      <c r="Q3928">
        <f>28-14</f>
        <v>14</v>
      </c>
      <c r="R3928" t="s">
        <v>46</v>
      </c>
      <c r="S3928" t="s">
        <v>39</v>
      </c>
      <c r="T3928">
        <v>17</v>
      </c>
      <c r="U3928">
        <v>88</v>
      </c>
      <c r="V3928">
        <v>16</v>
      </c>
      <c r="W3928">
        <v>13</v>
      </c>
      <c r="X3928">
        <v>27.1</v>
      </c>
      <c r="Z3928" t="s">
        <v>102</v>
      </c>
      <c r="AA3928" t="s">
        <v>201</v>
      </c>
      <c r="AB3928" t="s">
        <v>60</v>
      </c>
      <c r="AC3928" t="s">
        <v>87</v>
      </c>
    </row>
    <row r="3929" spans="1:30" x14ac:dyDescent="0.35">
      <c r="A3929" s="4">
        <v>42606</v>
      </c>
      <c r="B3929" t="s">
        <v>30</v>
      </c>
      <c r="C3929">
        <v>501</v>
      </c>
      <c r="D3929">
        <v>1</v>
      </c>
      <c r="E3929">
        <v>1</v>
      </c>
      <c r="F3929" t="s">
        <v>315</v>
      </c>
      <c r="G3929" t="s">
        <v>32</v>
      </c>
      <c r="H3929" t="s">
        <v>33</v>
      </c>
      <c r="I3929" t="s">
        <v>43</v>
      </c>
      <c r="J3929" t="s">
        <v>44</v>
      </c>
      <c r="K3929" t="s">
        <v>113</v>
      </c>
      <c r="L3929" t="s">
        <v>37</v>
      </c>
      <c r="M3929">
        <v>0</v>
      </c>
      <c r="N3929">
        <v>0</v>
      </c>
      <c r="O3929" s="5" t="s">
        <v>555</v>
      </c>
      <c r="P3929" s="5" t="s">
        <v>556</v>
      </c>
      <c r="Q3929">
        <f>31-16</f>
        <v>15</v>
      </c>
      <c r="R3929" t="s">
        <v>64</v>
      </c>
      <c r="T3929">
        <v>20</v>
      </c>
      <c r="U3929">
        <v>88</v>
      </c>
      <c r="V3929">
        <v>18</v>
      </c>
      <c r="W3929">
        <v>13.1</v>
      </c>
      <c r="X3929">
        <v>28.3</v>
      </c>
      <c r="Z3929" t="s">
        <v>102</v>
      </c>
      <c r="AA3929" t="s">
        <v>201</v>
      </c>
      <c r="AB3929" t="s">
        <v>60</v>
      </c>
      <c r="AC3929" t="s">
        <v>87</v>
      </c>
    </row>
    <row r="3930" spans="1:30" x14ac:dyDescent="0.35">
      <c r="A3930" s="4">
        <v>42606</v>
      </c>
      <c r="B3930" t="s">
        <v>30</v>
      </c>
      <c r="C3930">
        <v>703</v>
      </c>
      <c r="D3930">
        <v>6</v>
      </c>
      <c r="E3930">
        <v>2</v>
      </c>
      <c r="F3930" t="s">
        <v>42</v>
      </c>
      <c r="G3930" t="s">
        <v>32</v>
      </c>
      <c r="H3930" t="s">
        <v>33</v>
      </c>
      <c r="I3930" t="s">
        <v>43</v>
      </c>
      <c r="J3930" t="s">
        <v>44</v>
      </c>
      <c r="K3930" t="s">
        <v>112</v>
      </c>
      <c r="L3930" t="s">
        <v>37</v>
      </c>
      <c r="M3930">
        <v>0</v>
      </c>
      <c r="N3930">
        <v>0</v>
      </c>
      <c r="O3930" s="5" t="s">
        <v>557</v>
      </c>
      <c r="P3930" s="5" t="s">
        <v>558</v>
      </c>
      <c r="Q3930">
        <f>30-13</f>
        <v>17</v>
      </c>
      <c r="R3930" t="s">
        <v>64</v>
      </c>
      <c r="T3930">
        <v>19</v>
      </c>
      <c r="U3930">
        <v>85</v>
      </c>
      <c r="V3930">
        <v>18</v>
      </c>
      <c r="W3930">
        <v>12.9</v>
      </c>
      <c r="X3930">
        <v>28.3</v>
      </c>
      <c r="AB3930" t="s">
        <v>47</v>
      </c>
      <c r="AC3930" t="s">
        <v>41</v>
      </c>
    </row>
    <row r="3931" spans="1:30" x14ac:dyDescent="0.35">
      <c r="A3931" s="4">
        <v>42606</v>
      </c>
      <c r="B3931" t="s">
        <v>30</v>
      </c>
      <c r="C3931">
        <v>701</v>
      </c>
      <c r="D3931">
        <v>2</v>
      </c>
      <c r="E3931">
        <v>2</v>
      </c>
      <c r="F3931" t="s">
        <v>42</v>
      </c>
      <c r="G3931" t="s">
        <v>32</v>
      </c>
      <c r="H3931" t="s">
        <v>33</v>
      </c>
      <c r="I3931" t="s">
        <v>43</v>
      </c>
      <c r="J3931" t="s">
        <v>44</v>
      </c>
      <c r="K3931" t="s">
        <v>113</v>
      </c>
      <c r="L3931" t="s">
        <v>37</v>
      </c>
      <c r="M3931">
        <v>0</v>
      </c>
      <c r="N3931">
        <v>0</v>
      </c>
      <c r="O3931" s="5" t="s">
        <v>562</v>
      </c>
      <c r="P3931" s="5" t="s">
        <v>563</v>
      </c>
      <c r="Q3931">
        <f>32-12.5</f>
        <v>19.5</v>
      </c>
      <c r="R3931" t="s">
        <v>64</v>
      </c>
      <c r="T3931">
        <v>20</v>
      </c>
      <c r="U3931">
        <v>85</v>
      </c>
      <c r="V3931">
        <v>16</v>
      </c>
      <c r="W3931">
        <v>13</v>
      </c>
      <c r="X3931">
        <v>25</v>
      </c>
      <c r="Z3931" t="s">
        <v>102</v>
      </c>
      <c r="AB3931" t="s">
        <v>47</v>
      </c>
      <c r="AC3931" t="s">
        <v>41</v>
      </c>
    </row>
    <row r="3932" spans="1:30" x14ac:dyDescent="0.35">
      <c r="A3932" s="4">
        <v>42606</v>
      </c>
      <c r="B3932" t="s">
        <v>30</v>
      </c>
      <c r="C3932">
        <v>701</v>
      </c>
      <c r="D3932">
        <v>4</v>
      </c>
      <c r="E3932">
        <v>2</v>
      </c>
      <c r="F3932" t="s">
        <v>42</v>
      </c>
      <c r="G3932" t="s">
        <v>32</v>
      </c>
      <c r="H3932" t="s">
        <v>33</v>
      </c>
      <c r="I3932" t="s">
        <v>43</v>
      </c>
      <c r="J3932" t="s">
        <v>44</v>
      </c>
      <c r="K3932" t="s">
        <v>113</v>
      </c>
      <c r="L3932" t="s">
        <v>37</v>
      </c>
      <c r="M3932">
        <v>0</v>
      </c>
      <c r="N3932">
        <v>0</v>
      </c>
      <c r="O3932" s="5" t="s">
        <v>565</v>
      </c>
      <c r="P3932" s="5" t="s">
        <v>566</v>
      </c>
      <c r="Q3932">
        <f>32-14</f>
        <v>18</v>
      </c>
      <c r="R3932" t="s">
        <v>64</v>
      </c>
      <c r="T3932">
        <v>18</v>
      </c>
      <c r="U3932">
        <v>89</v>
      </c>
      <c r="V3932">
        <v>17.5</v>
      </c>
      <c r="W3932">
        <v>13.2</v>
      </c>
      <c r="X3932">
        <v>25.6</v>
      </c>
      <c r="Z3932" t="s">
        <v>102</v>
      </c>
      <c r="AB3932" t="s">
        <v>47</v>
      </c>
      <c r="AC3932" t="s">
        <v>41</v>
      </c>
    </row>
    <row r="3933" spans="1:30" x14ac:dyDescent="0.35">
      <c r="A3933" s="4">
        <v>42606</v>
      </c>
      <c r="B3933" t="s">
        <v>30</v>
      </c>
      <c r="C3933">
        <v>703</v>
      </c>
      <c r="D3933">
        <v>9</v>
      </c>
      <c r="E3933">
        <v>1</v>
      </c>
      <c r="F3933" t="s">
        <v>42</v>
      </c>
      <c r="G3933" t="s">
        <v>32</v>
      </c>
      <c r="H3933" t="s">
        <v>33</v>
      </c>
      <c r="I3933" t="s">
        <v>43</v>
      </c>
      <c r="J3933" t="s">
        <v>44</v>
      </c>
      <c r="K3933" t="s">
        <v>113</v>
      </c>
      <c r="L3933" t="s">
        <v>45</v>
      </c>
      <c r="M3933">
        <v>0</v>
      </c>
      <c r="N3933">
        <v>0</v>
      </c>
      <c r="O3933" s="5" t="s">
        <v>993</v>
      </c>
      <c r="P3933" s="5" t="s">
        <v>994</v>
      </c>
      <c r="Q3933">
        <f>32-16</f>
        <v>16</v>
      </c>
      <c r="R3933" t="s">
        <v>46</v>
      </c>
      <c r="S3933" t="s">
        <v>39</v>
      </c>
      <c r="T3933">
        <v>18</v>
      </c>
      <c r="U3933">
        <v>74</v>
      </c>
      <c r="V3933">
        <v>15</v>
      </c>
      <c r="W3933">
        <v>12.9</v>
      </c>
      <c r="X3933">
        <v>24.6</v>
      </c>
      <c r="AB3933" t="s">
        <v>47</v>
      </c>
      <c r="AC3933" t="s">
        <v>41</v>
      </c>
    </row>
    <row r="3934" spans="1:30" x14ac:dyDescent="0.35">
      <c r="A3934" s="4">
        <v>42606</v>
      </c>
      <c r="B3934" t="s">
        <v>30</v>
      </c>
      <c r="C3934">
        <v>303</v>
      </c>
      <c r="D3934">
        <v>7</v>
      </c>
      <c r="E3934" t="s">
        <v>995</v>
      </c>
      <c r="F3934" t="s">
        <v>315</v>
      </c>
      <c r="G3934" t="s">
        <v>32</v>
      </c>
      <c r="H3934" t="s">
        <v>33</v>
      </c>
      <c r="I3934" t="s">
        <v>43</v>
      </c>
      <c r="J3934" t="s">
        <v>44</v>
      </c>
      <c r="K3934" t="s">
        <v>113</v>
      </c>
      <c r="L3934" t="s">
        <v>37</v>
      </c>
      <c r="M3934">
        <v>0</v>
      </c>
      <c r="N3934">
        <v>0</v>
      </c>
      <c r="O3934" s="5" t="s">
        <v>570</v>
      </c>
      <c r="P3934" s="5" t="s">
        <v>571</v>
      </c>
      <c r="Q3934">
        <f>31.5-16</f>
        <v>15.5</v>
      </c>
      <c r="R3934" t="s">
        <v>64</v>
      </c>
      <c r="T3934">
        <v>19</v>
      </c>
      <c r="U3934">
        <v>78</v>
      </c>
      <c r="V3934">
        <v>18</v>
      </c>
      <c r="W3934">
        <v>13.1</v>
      </c>
      <c r="X3934">
        <v>26.5</v>
      </c>
      <c r="Z3934" t="s">
        <v>102</v>
      </c>
      <c r="AA3934" t="s">
        <v>201</v>
      </c>
      <c r="AB3934" t="s">
        <v>60</v>
      </c>
      <c r="AC3934" t="s">
        <v>87</v>
      </c>
    </row>
    <row r="3935" spans="1:30" x14ac:dyDescent="0.35">
      <c r="A3935" s="4">
        <v>42606</v>
      </c>
      <c r="B3935" t="s">
        <v>30</v>
      </c>
      <c r="C3935">
        <v>703</v>
      </c>
      <c r="D3935">
        <v>10</v>
      </c>
      <c r="E3935">
        <v>2</v>
      </c>
      <c r="F3935" t="s">
        <v>42</v>
      </c>
      <c r="G3935" t="s">
        <v>32</v>
      </c>
      <c r="H3935" t="s">
        <v>33</v>
      </c>
      <c r="I3935" t="s">
        <v>43</v>
      </c>
      <c r="J3935" t="s">
        <v>44</v>
      </c>
      <c r="K3935" t="s">
        <v>113</v>
      </c>
      <c r="L3935" t="s">
        <v>45</v>
      </c>
      <c r="M3935">
        <v>0</v>
      </c>
      <c r="N3935">
        <v>0</v>
      </c>
      <c r="O3935" s="5" t="s">
        <v>633</v>
      </c>
      <c r="P3935" s="5" t="s">
        <v>634</v>
      </c>
      <c r="Q3935">
        <f>27-13</f>
        <v>14</v>
      </c>
      <c r="R3935" t="s">
        <v>46</v>
      </c>
      <c r="S3935" t="s">
        <v>39</v>
      </c>
      <c r="T3935">
        <v>18</v>
      </c>
      <c r="U3935">
        <v>75</v>
      </c>
      <c r="V3935">
        <v>15</v>
      </c>
      <c r="W3935">
        <v>12.65</v>
      </c>
      <c r="X3935">
        <v>25.1</v>
      </c>
      <c r="AB3935" t="s">
        <v>47</v>
      </c>
      <c r="AC3935" t="s">
        <v>41</v>
      </c>
    </row>
    <row r="3936" spans="1:30" x14ac:dyDescent="0.35">
      <c r="A3936" s="4">
        <v>42606</v>
      </c>
      <c r="B3936" t="s">
        <v>30</v>
      </c>
      <c r="C3936">
        <v>703</v>
      </c>
      <c r="D3936">
        <v>3</v>
      </c>
      <c r="E3936">
        <v>2</v>
      </c>
      <c r="F3936" t="s">
        <v>42</v>
      </c>
      <c r="G3936" t="s">
        <v>32</v>
      </c>
      <c r="H3936" t="s">
        <v>33</v>
      </c>
      <c r="I3936" t="s">
        <v>43</v>
      </c>
      <c r="J3936" t="s">
        <v>44</v>
      </c>
      <c r="K3936" t="s">
        <v>113</v>
      </c>
      <c r="L3936" t="s">
        <v>45</v>
      </c>
      <c r="M3936">
        <v>0</v>
      </c>
      <c r="N3936">
        <v>0</v>
      </c>
      <c r="O3936" s="5" t="s">
        <v>635</v>
      </c>
      <c r="P3936" s="5" t="s">
        <v>636</v>
      </c>
      <c r="Q3936">
        <f>29-15</f>
        <v>14</v>
      </c>
      <c r="R3936" t="s">
        <v>46</v>
      </c>
      <c r="S3936" t="s">
        <v>39</v>
      </c>
      <c r="T3936">
        <v>17</v>
      </c>
      <c r="U3936">
        <v>79</v>
      </c>
      <c r="V3936">
        <v>16</v>
      </c>
      <c r="W3936">
        <v>13</v>
      </c>
      <c r="X3936">
        <v>26</v>
      </c>
      <c r="Z3936" t="s">
        <v>102</v>
      </c>
      <c r="AB3936" t="s">
        <v>47</v>
      </c>
      <c r="AC3936" t="s">
        <v>41</v>
      </c>
    </row>
    <row r="3937" spans="1:30" x14ac:dyDescent="0.35">
      <c r="A3937" s="4">
        <v>42606</v>
      </c>
      <c r="B3937" t="s">
        <v>30</v>
      </c>
      <c r="C3937">
        <v>503</v>
      </c>
      <c r="D3937">
        <v>8</v>
      </c>
      <c r="E3937">
        <v>1</v>
      </c>
      <c r="F3937" t="s">
        <v>315</v>
      </c>
      <c r="G3937" t="s">
        <v>32</v>
      </c>
      <c r="H3937" t="s">
        <v>33</v>
      </c>
      <c r="I3937" t="s">
        <v>43</v>
      </c>
      <c r="J3937" t="s">
        <v>44</v>
      </c>
      <c r="K3937" t="s">
        <v>36</v>
      </c>
      <c r="L3937" t="s">
        <v>37</v>
      </c>
      <c r="M3937">
        <v>0</v>
      </c>
      <c r="N3937">
        <v>0</v>
      </c>
      <c r="O3937" s="5" t="s">
        <v>639</v>
      </c>
      <c r="P3937" s="5" t="s">
        <v>640</v>
      </c>
      <c r="Q3937">
        <f>37.5-17.5</f>
        <v>20</v>
      </c>
      <c r="R3937" t="s">
        <v>64</v>
      </c>
      <c r="T3937">
        <v>19</v>
      </c>
      <c r="U3937">
        <v>81</v>
      </c>
      <c r="V3937">
        <v>17</v>
      </c>
      <c r="W3937">
        <v>13.1</v>
      </c>
      <c r="X3937">
        <v>27.3</v>
      </c>
      <c r="Z3937" t="s">
        <v>102</v>
      </c>
      <c r="AB3937" t="s">
        <v>60</v>
      </c>
      <c r="AC3937" t="s">
        <v>87</v>
      </c>
      <c r="AD3937" t="s">
        <v>707</v>
      </c>
    </row>
    <row r="3938" spans="1:30" x14ac:dyDescent="0.35">
      <c r="A3938" s="4">
        <v>42606</v>
      </c>
      <c r="B3938" t="s">
        <v>30</v>
      </c>
      <c r="C3938">
        <v>701</v>
      </c>
      <c r="D3938">
        <v>4</v>
      </c>
      <c r="E3938">
        <v>1</v>
      </c>
      <c r="F3938" t="s">
        <v>42</v>
      </c>
      <c r="G3938" t="s">
        <v>32</v>
      </c>
      <c r="H3938" t="s">
        <v>33</v>
      </c>
      <c r="I3938" t="s">
        <v>43</v>
      </c>
      <c r="J3938" t="s">
        <v>44</v>
      </c>
      <c r="K3938" t="s">
        <v>36</v>
      </c>
      <c r="L3938" t="s">
        <v>45</v>
      </c>
      <c r="M3938">
        <v>0</v>
      </c>
      <c r="N3938">
        <v>0</v>
      </c>
      <c r="O3938" s="5" t="s">
        <v>576</v>
      </c>
      <c r="P3938" s="5" t="s">
        <v>577</v>
      </c>
      <c r="Q3938">
        <f>34-14</f>
        <v>20</v>
      </c>
      <c r="R3938" t="s">
        <v>46</v>
      </c>
      <c r="S3938" t="s">
        <v>39</v>
      </c>
      <c r="T3938">
        <v>19</v>
      </c>
      <c r="U3938">
        <v>87</v>
      </c>
      <c r="V3938">
        <v>15</v>
      </c>
      <c r="W3938">
        <v>13.1</v>
      </c>
      <c r="X3938">
        <v>28</v>
      </c>
      <c r="Z3938" t="s">
        <v>102</v>
      </c>
      <c r="AB3938" t="s">
        <v>47</v>
      </c>
      <c r="AC3938" t="s">
        <v>41</v>
      </c>
    </row>
    <row r="3939" spans="1:30" x14ac:dyDescent="0.35">
      <c r="A3939" s="4">
        <v>42606</v>
      </c>
      <c r="B3939" t="s">
        <v>30</v>
      </c>
      <c r="C3939">
        <v>701</v>
      </c>
      <c r="D3939">
        <v>5</v>
      </c>
      <c r="E3939">
        <v>2</v>
      </c>
      <c r="F3939" t="s">
        <v>42</v>
      </c>
      <c r="G3939" t="s">
        <v>32</v>
      </c>
      <c r="H3939" t="s">
        <v>33</v>
      </c>
      <c r="I3939" t="s">
        <v>43</v>
      </c>
      <c r="J3939" t="s">
        <v>44</v>
      </c>
      <c r="K3939" t="s">
        <v>113</v>
      </c>
      <c r="L3939" t="s">
        <v>37</v>
      </c>
      <c r="M3939">
        <v>0</v>
      </c>
      <c r="N3939">
        <v>0</v>
      </c>
      <c r="O3939" s="5" t="s">
        <v>578</v>
      </c>
      <c r="P3939" s="5" t="s">
        <v>579</v>
      </c>
      <c r="Q3939">
        <f>31.5-15</f>
        <v>16.5</v>
      </c>
      <c r="R3939" t="s">
        <v>64</v>
      </c>
      <c r="T3939">
        <v>19</v>
      </c>
      <c r="U3939">
        <v>85</v>
      </c>
      <c r="V3939">
        <v>17.5</v>
      </c>
      <c r="W3939">
        <v>13.3</v>
      </c>
      <c r="X3939">
        <v>25</v>
      </c>
      <c r="Z3939" t="s">
        <v>102</v>
      </c>
      <c r="AB3939" t="s">
        <v>47</v>
      </c>
      <c r="AC3939" t="s">
        <v>41</v>
      </c>
    </row>
    <row r="3940" spans="1:30" x14ac:dyDescent="0.35">
      <c r="A3940" s="4">
        <v>42606</v>
      </c>
      <c r="B3940" t="s">
        <v>30</v>
      </c>
      <c r="C3940">
        <v>901</v>
      </c>
      <c r="D3940">
        <v>2</v>
      </c>
      <c r="E3940">
        <v>1</v>
      </c>
      <c r="F3940" t="s">
        <v>42</v>
      </c>
      <c r="G3940" t="s">
        <v>32</v>
      </c>
      <c r="H3940" t="s">
        <v>33</v>
      </c>
      <c r="I3940" t="s">
        <v>43</v>
      </c>
      <c r="J3940" t="s">
        <v>44</v>
      </c>
      <c r="K3940" t="s">
        <v>113</v>
      </c>
      <c r="L3940" t="s">
        <v>37</v>
      </c>
      <c r="M3940">
        <v>0</v>
      </c>
      <c r="N3940">
        <v>0</v>
      </c>
      <c r="O3940" s="5" t="s">
        <v>964</v>
      </c>
      <c r="P3940" s="5" t="s">
        <v>965</v>
      </c>
      <c r="Q3940">
        <f>31-14.5</f>
        <v>16.5</v>
      </c>
      <c r="R3940" t="s">
        <v>64</v>
      </c>
      <c r="AB3940" t="s">
        <v>47</v>
      </c>
      <c r="AC3940" t="s">
        <v>41</v>
      </c>
      <c r="AD3940" t="s">
        <v>996</v>
      </c>
    </row>
    <row r="3941" spans="1:30" x14ac:dyDescent="0.35">
      <c r="A3941" s="4">
        <v>42606</v>
      </c>
      <c r="B3941" t="s">
        <v>30</v>
      </c>
      <c r="C3941">
        <v>801</v>
      </c>
      <c r="D3941">
        <v>6</v>
      </c>
      <c r="E3941">
        <v>2</v>
      </c>
      <c r="F3941" t="s">
        <v>42</v>
      </c>
      <c r="G3941" t="s">
        <v>32</v>
      </c>
      <c r="H3941" t="s">
        <v>33</v>
      </c>
      <c r="I3941" t="s">
        <v>43</v>
      </c>
      <c r="J3941" t="s">
        <v>44</v>
      </c>
      <c r="K3941" t="s">
        <v>113</v>
      </c>
      <c r="L3941" t="s">
        <v>45</v>
      </c>
      <c r="M3941">
        <v>0</v>
      </c>
      <c r="N3941">
        <v>0</v>
      </c>
      <c r="O3941" s="5" t="s">
        <v>708</v>
      </c>
      <c r="P3941" s="5" t="s">
        <v>709</v>
      </c>
      <c r="Q3941">
        <f>32.5-16</f>
        <v>16.5</v>
      </c>
      <c r="T3941">
        <v>19</v>
      </c>
      <c r="U3941">
        <v>88</v>
      </c>
      <c r="V3941">
        <v>19</v>
      </c>
      <c r="W3941">
        <v>12.9</v>
      </c>
      <c r="X3941">
        <v>27.3</v>
      </c>
      <c r="Z3941" t="s">
        <v>102</v>
      </c>
      <c r="AB3941" t="s">
        <v>47</v>
      </c>
      <c r="AC3941" t="s">
        <v>41</v>
      </c>
    </row>
    <row r="3942" spans="1:30" x14ac:dyDescent="0.35">
      <c r="A3942" s="4">
        <v>42606</v>
      </c>
      <c r="B3942" t="s">
        <v>30</v>
      </c>
      <c r="C3942">
        <v>703</v>
      </c>
      <c r="D3942">
        <v>9</v>
      </c>
      <c r="E3942">
        <v>2</v>
      </c>
      <c r="F3942" t="s">
        <v>42</v>
      </c>
      <c r="G3942" t="s">
        <v>32</v>
      </c>
      <c r="H3942" t="s">
        <v>33</v>
      </c>
      <c r="I3942" t="s">
        <v>43</v>
      </c>
      <c r="J3942" t="s">
        <v>44</v>
      </c>
      <c r="K3942" t="s">
        <v>36</v>
      </c>
      <c r="L3942" t="s">
        <v>37</v>
      </c>
      <c r="M3942">
        <v>0</v>
      </c>
      <c r="N3942">
        <v>0</v>
      </c>
      <c r="O3942" s="5" t="s">
        <v>997</v>
      </c>
      <c r="P3942" s="5" t="s">
        <v>998</v>
      </c>
      <c r="Q3942">
        <f>34-12.5</f>
        <v>21.5</v>
      </c>
      <c r="R3942" t="s">
        <v>64</v>
      </c>
      <c r="T3942">
        <v>19</v>
      </c>
      <c r="U3942">
        <v>95</v>
      </c>
      <c r="V3942">
        <v>17.5</v>
      </c>
      <c r="W3942">
        <v>13</v>
      </c>
      <c r="X3942">
        <v>26.8</v>
      </c>
      <c r="AB3942" t="s">
        <v>47</v>
      </c>
      <c r="AC3942" t="s">
        <v>41</v>
      </c>
    </row>
    <row r="3943" spans="1:30" x14ac:dyDescent="0.35">
      <c r="A3943" s="4">
        <v>42606</v>
      </c>
      <c r="B3943" t="s">
        <v>30</v>
      </c>
      <c r="C3943">
        <v>801</v>
      </c>
      <c r="D3943">
        <v>7</v>
      </c>
      <c r="E3943">
        <v>2</v>
      </c>
      <c r="F3943" t="s">
        <v>42</v>
      </c>
      <c r="G3943" t="s">
        <v>32</v>
      </c>
      <c r="H3943" t="s">
        <v>33</v>
      </c>
      <c r="I3943" t="s">
        <v>43</v>
      </c>
      <c r="J3943" t="s">
        <v>44</v>
      </c>
      <c r="K3943" t="s">
        <v>113</v>
      </c>
      <c r="L3943" t="s">
        <v>45</v>
      </c>
      <c r="M3943">
        <v>0</v>
      </c>
      <c r="N3943">
        <v>0</v>
      </c>
      <c r="O3943" s="5" t="s">
        <v>966</v>
      </c>
      <c r="P3943" s="5" t="s">
        <v>967</v>
      </c>
      <c r="Q3943">
        <f>31-14</f>
        <v>17</v>
      </c>
      <c r="R3943" t="s">
        <v>46</v>
      </c>
      <c r="S3943" t="s">
        <v>39</v>
      </c>
      <c r="T3943">
        <v>20</v>
      </c>
      <c r="U3943">
        <v>90</v>
      </c>
      <c r="V3943">
        <v>17</v>
      </c>
      <c r="W3943">
        <v>12.8</v>
      </c>
      <c r="X3943">
        <v>25.05</v>
      </c>
      <c r="Z3943" t="s">
        <v>102</v>
      </c>
      <c r="AB3943" t="s">
        <v>47</v>
      </c>
      <c r="AC3943" t="s">
        <v>41</v>
      </c>
      <c r="AD3943" t="s">
        <v>520</v>
      </c>
    </row>
    <row r="3944" spans="1:30" x14ac:dyDescent="0.35">
      <c r="A3944" s="4">
        <v>42606</v>
      </c>
      <c r="B3944" t="s">
        <v>30</v>
      </c>
      <c r="C3944">
        <v>503</v>
      </c>
      <c r="D3944">
        <v>3</v>
      </c>
      <c r="E3944">
        <v>2</v>
      </c>
      <c r="F3944" t="s">
        <v>315</v>
      </c>
      <c r="G3944" t="s">
        <v>32</v>
      </c>
      <c r="H3944" t="s">
        <v>33</v>
      </c>
      <c r="I3944" t="s">
        <v>43</v>
      </c>
      <c r="J3944" t="s">
        <v>44</v>
      </c>
      <c r="K3944" t="s">
        <v>88</v>
      </c>
      <c r="L3944" t="s">
        <v>37</v>
      </c>
      <c r="M3944">
        <v>0</v>
      </c>
      <c r="N3944">
        <v>0</v>
      </c>
      <c r="O3944" s="5" t="s">
        <v>587</v>
      </c>
      <c r="P3944" s="5" t="s">
        <v>585</v>
      </c>
      <c r="Q3944">
        <f>31.5-17</f>
        <v>14.5</v>
      </c>
      <c r="R3944" t="s">
        <v>64</v>
      </c>
      <c r="T3944">
        <v>18</v>
      </c>
      <c r="U3944">
        <v>77</v>
      </c>
      <c r="V3944">
        <v>16</v>
      </c>
      <c r="W3944">
        <v>12.8</v>
      </c>
      <c r="X3944">
        <v>26.2</v>
      </c>
      <c r="Z3944" t="s">
        <v>102</v>
      </c>
      <c r="AA3944" t="s">
        <v>201</v>
      </c>
      <c r="AB3944" t="s">
        <v>60</v>
      </c>
      <c r="AC3944" t="s">
        <v>87</v>
      </c>
    </row>
    <row r="3945" spans="1:30" x14ac:dyDescent="0.35">
      <c r="A3945" s="4">
        <v>42606</v>
      </c>
      <c r="B3945" t="s">
        <v>30</v>
      </c>
      <c r="C3945">
        <v>503</v>
      </c>
      <c r="D3945">
        <v>1</v>
      </c>
      <c r="E3945">
        <v>2</v>
      </c>
      <c r="F3945" t="s">
        <v>315</v>
      </c>
      <c r="G3945" t="s">
        <v>32</v>
      </c>
      <c r="H3945" t="s">
        <v>33</v>
      </c>
      <c r="I3945" t="s">
        <v>34</v>
      </c>
      <c r="J3945" t="s">
        <v>35</v>
      </c>
      <c r="K3945" t="s">
        <v>88</v>
      </c>
      <c r="L3945" t="s">
        <v>45</v>
      </c>
      <c r="M3945">
        <v>0</v>
      </c>
      <c r="N3945">
        <v>1</v>
      </c>
      <c r="O3945" s="5" t="s">
        <v>999</v>
      </c>
      <c r="P3945" s="5"/>
      <c r="Q3945">
        <f>112-52</f>
        <v>60</v>
      </c>
      <c r="R3945" t="s">
        <v>46</v>
      </c>
      <c r="S3945" t="s">
        <v>39</v>
      </c>
      <c r="T3945">
        <v>30</v>
      </c>
      <c r="W3945">
        <v>21.3</v>
      </c>
      <c r="X3945">
        <v>38</v>
      </c>
      <c r="Z3945" t="s">
        <v>102</v>
      </c>
      <c r="AA3945" t="s">
        <v>201</v>
      </c>
      <c r="AB3945" t="s">
        <v>60</v>
      </c>
      <c r="AC3945" t="s">
        <v>87</v>
      </c>
      <c r="AD3945" t="s">
        <v>807</v>
      </c>
    </row>
    <row r="3946" spans="1:30" x14ac:dyDescent="0.35">
      <c r="A3946" s="4">
        <v>42606</v>
      </c>
      <c r="B3946" t="s">
        <v>30</v>
      </c>
      <c r="C3946">
        <v>801</v>
      </c>
      <c r="D3946">
        <v>2</v>
      </c>
      <c r="E3946">
        <v>1</v>
      </c>
      <c r="F3946" t="s">
        <v>42</v>
      </c>
      <c r="G3946" t="s">
        <v>32</v>
      </c>
      <c r="H3946" t="s">
        <v>33</v>
      </c>
      <c r="I3946" t="s">
        <v>34</v>
      </c>
      <c r="J3946" t="s">
        <v>35</v>
      </c>
      <c r="K3946" t="s">
        <v>36</v>
      </c>
      <c r="L3946" t="s">
        <v>37</v>
      </c>
      <c r="M3946">
        <v>0</v>
      </c>
      <c r="N3946">
        <v>1</v>
      </c>
      <c r="O3946" s="5" t="s">
        <v>1000</v>
      </c>
      <c r="P3946" s="5"/>
      <c r="Q3946">
        <f>185-95</f>
        <v>90</v>
      </c>
      <c r="R3946" t="s">
        <v>64</v>
      </c>
      <c r="T3946">
        <v>32</v>
      </c>
      <c r="W3946">
        <v>21.9</v>
      </c>
      <c r="X3946">
        <v>43</v>
      </c>
      <c r="AB3946" t="s">
        <v>47</v>
      </c>
      <c r="AC3946" t="s">
        <v>41</v>
      </c>
      <c r="AD3946" t="s">
        <v>513</v>
      </c>
    </row>
    <row r="3947" spans="1:30" x14ac:dyDescent="0.35">
      <c r="A3947" s="4">
        <v>42606</v>
      </c>
      <c r="B3947" t="s">
        <v>30</v>
      </c>
      <c r="C3947">
        <v>503</v>
      </c>
      <c r="D3947">
        <v>8</v>
      </c>
      <c r="E3947">
        <v>2</v>
      </c>
      <c r="F3947" t="s">
        <v>315</v>
      </c>
      <c r="G3947" t="s">
        <v>32</v>
      </c>
      <c r="H3947" t="s">
        <v>33</v>
      </c>
      <c r="I3947" t="s">
        <v>34</v>
      </c>
      <c r="J3947" t="s">
        <v>44</v>
      </c>
      <c r="K3947" t="s">
        <v>36</v>
      </c>
      <c r="L3947" t="s">
        <v>45</v>
      </c>
      <c r="M3947">
        <v>0</v>
      </c>
      <c r="N3947">
        <v>0</v>
      </c>
      <c r="O3947" s="5" t="s">
        <v>590</v>
      </c>
      <c r="P3947" s="5"/>
      <c r="Q3947">
        <f>140-52</f>
        <v>88</v>
      </c>
      <c r="R3947" t="s">
        <v>143</v>
      </c>
      <c r="S3947" t="s">
        <v>102</v>
      </c>
      <c r="T3947">
        <v>32</v>
      </c>
      <c r="W3947">
        <v>22.3</v>
      </c>
      <c r="X3947">
        <v>42.7</v>
      </c>
      <c r="Z3947" t="s">
        <v>102</v>
      </c>
      <c r="AA3947" t="s">
        <v>201</v>
      </c>
      <c r="AB3947" t="s">
        <v>60</v>
      </c>
      <c r="AC3947" t="s">
        <v>87</v>
      </c>
    </row>
    <row r="3948" spans="1:30" x14ac:dyDescent="0.35">
      <c r="A3948" s="4">
        <v>42606</v>
      </c>
      <c r="B3948" t="s">
        <v>30</v>
      </c>
      <c r="C3948">
        <v>803</v>
      </c>
      <c r="D3948">
        <v>9</v>
      </c>
      <c r="E3948">
        <v>2</v>
      </c>
      <c r="F3948" t="s">
        <v>42</v>
      </c>
      <c r="G3948" t="s">
        <v>32</v>
      </c>
      <c r="H3948" t="s">
        <v>33</v>
      </c>
      <c r="I3948" t="s">
        <v>34</v>
      </c>
      <c r="J3948" t="s">
        <v>44</v>
      </c>
      <c r="K3948" t="s">
        <v>36</v>
      </c>
      <c r="L3948" t="s">
        <v>37</v>
      </c>
      <c r="M3948">
        <v>0</v>
      </c>
      <c r="N3948">
        <v>0</v>
      </c>
      <c r="O3948" s="5" t="s">
        <v>643</v>
      </c>
      <c r="P3948" s="5"/>
      <c r="Q3948">
        <f>185-95</f>
        <v>90</v>
      </c>
      <c r="R3948" t="s">
        <v>64</v>
      </c>
      <c r="T3948">
        <v>29</v>
      </c>
      <c r="W3948">
        <v>12.55</v>
      </c>
      <c r="X3948">
        <v>42.5</v>
      </c>
      <c r="AB3948" t="s">
        <v>47</v>
      </c>
      <c r="AC3948" t="s">
        <v>41</v>
      </c>
    </row>
    <row r="3949" spans="1:30" x14ac:dyDescent="0.35">
      <c r="A3949" s="4">
        <v>42606</v>
      </c>
      <c r="B3949" t="s">
        <v>30</v>
      </c>
      <c r="C3949">
        <v>801</v>
      </c>
      <c r="D3949">
        <v>8</v>
      </c>
      <c r="E3949">
        <v>1</v>
      </c>
      <c r="F3949" t="s">
        <v>42</v>
      </c>
      <c r="G3949" t="s">
        <v>32</v>
      </c>
      <c r="H3949" t="s">
        <v>33</v>
      </c>
      <c r="I3949" t="s">
        <v>34</v>
      </c>
      <c r="J3949" t="s">
        <v>44</v>
      </c>
      <c r="K3949" t="s">
        <v>88</v>
      </c>
      <c r="L3949" t="s">
        <v>37</v>
      </c>
      <c r="M3949">
        <v>0</v>
      </c>
      <c r="N3949">
        <v>0</v>
      </c>
      <c r="O3949" s="5" t="s">
        <v>644</v>
      </c>
      <c r="P3949" s="5"/>
      <c r="Q3949">
        <f>172-95</f>
        <v>77</v>
      </c>
      <c r="R3949" t="s">
        <v>64</v>
      </c>
      <c r="T3949">
        <v>29</v>
      </c>
      <c r="W3949">
        <v>21.6</v>
      </c>
      <c r="X3949">
        <v>41.5</v>
      </c>
      <c r="AB3949" t="s">
        <v>47</v>
      </c>
      <c r="AC3949" t="s">
        <v>41</v>
      </c>
      <c r="AD3949" t="s">
        <v>1001</v>
      </c>
    </row>
    <row r="3950" spans="1:30" x14ac:dyDescent="0.35">
      <c r="A3950" s="4">
        <v>42606</v>
      </c>
      <c r="B3950" t="s">
        <v>30</v>
      </c>
      <c r="C3950">
        <v>901</v>
      </c>
      <c r="D3950">
        <v>7</v>
      </c>
      <c r="E3950">
        <v>1</v>
      </c>
      <c r="F3950" t="s">
        <v>42</v>
      </c>
      <c r="G3950" t="s">
        <v>32</v>
      </c>
      <c r="H3950" t="s">
        <v>33</v>
      </c>
      <c r="I3950" t="s">
        <v>34</v>
      </c>
      <c r="J3950" t="s">
        <v>44</v>
      </c>
      <c r="K3950" t="s">
        <v>36</v>
      </c>
      <c r="L3950" t="s">
        <v>37</v>
      </c>
      <c r="M3950">
        <v>0</v>
      </c>
      <c r="N3950">
        <v>0</v>
      </c>
      <c r="O3950" s="5" t="s">
        <v>1002</v>
      </c>
      <c r="P3950" s="5"/>
      <c r="Q3950">
        <f>190-95</f>
        <v>95</v>
      </c>
      <c r="R3950" t="s">
        <v>64</v>
      </c>
      <c r="AB3950" t="s">
        <v>47</v>
      </c>
      <c r="AC3950" t="s">
        <v>41</v>
      </c>
      <c r="AD3950" t="s">
        <v>996</v>
      </c>
    </row>
    <row r="3951" spans="1:30" x14ac:dyDescent="0.35">
      <c r="A3951" s="4">
        <v>42606</v>
      </c>
      <c r="B3951" t="s">
        <v>30</v>
      </c>
      <c r="C3951">
        <v>501</v>
      </c>
      <c r="D3951">
        <v>9</v>
      </c>
      <c r="E3951">
        <v>2</v>
      </c>
      <c r="F3951" t="s">
        <v>315</v>
      </c>
      <c r="G3951" t="s">
        <v>32</v>
      </c>
      <c r="H3951" t="s">
        <v>33</v>
      </c>
      <c r="I3951" t="s">
        <v>34</v>
      </c>
      <c r="J3951" t="s">
        <v>44</v>
      </c>
      <c r="K3951" t="s">
        <v>36</v>
      </c>
      <c r="L3951" t="s">
        <v>45</v>
      </c>
      <c r="M3951">
        <v>0</v>
      </c>
      <c r="N3951">
        <v>0</v>
      </c>
      <c r="O3951" s="5"/>
      <c r="P3951" s="5" t="s">
        <v>1003</v>
      </c>
      <c r="Q3951">
        <f>153-51</f>
        <v>102</v>
      </c>
      <c r="R3951" t="s">
        <v>143</v>
      </c>
      <c r="S3951" t="s">
        <v>102</v>
      </c>
      <c r="T3951">
        <v>36</v>
      </c>
      <c r="W3951">
        <v>22.5</v>
      </c>
      <c r="X3951">
        <v>42.2</v>
      </c>
      <c r="Z3951" t="s">
        <v>102</v>
      </c>
      <c r="AA3951" t="s">
        <v>201</v>
      </c>
      <c r="AB3951" t="s">
        <v>60</v>
      </c>
      <c r="AC3951" t="s">
        <v>87</v>
      </c>
      <c r="AD3951" t="s">
        <v>1004</v>
      </c>
    </row>
    <row r="3952" spans="1:30" x14ac:dyDescent="0.35">
      <c r="A3952" s="4">
        <v>42606</v>
      </c>
      <c r="B3952" t="s">
        <v>30</v>
      </c>
      <c r="C3952">
        <v>701</v>
      </c>
      <c r="D3952">
        <v>8</v>
      </c>
      <c r="E3952">
        <v>2</v>
      </c>
      <c r="F3952" t="s">
        <v>42</v>
      </c>
      <c r="G3952" t="s">
        <v>32</v>
      </c>
      <c r="H3952" t="s">
        <v>33</v>
      </c>
      <c r="I3952" t="s">
        <v>34</v>
      </c>
      <c r="J3952" t="s">
        <v>44</v>
      </c>
      <c r="K3952" t="s">
        <v>36</v>
      </c>
      <c r="L3952" t="s">
        <v>45</v>
      </c>
      <c r="M3952">
        <v>0</v>
      </c>
      <c r="N3952">
        <v>0</v>
      </c>
      <c r="O3952" s="5"/>
      <c r="P3952" s="5" t="s">
        <v>93</v>
      </c>
      <c r="Q3952">
        <f>185-95</f>
        <v>90</v>
      </c>
      <c r="R3952" t="s">
        <v>46</v>
      </c>
      <c r="S3952" t="s">
        <v>39</v>
      </c>
      <c r="T3952">
        <v>29</v>
      </c>
      <c r="W3952">
        <v>22.9</v>
      </c>
      <c r="X3952">
        <v>41.8</v>
      </c>
      <c r="AB3952" t="s">
        <v>47</v>
      </c>
      <c r="AC3952" t="s">
        <v>41</v>
      </c>
    </row>
    <row r="3953" spans="1:30" x14ac:dyDescent="0.35">
      <c r="A3953" s="4">
        <v>42606</v>
      </c>
      <c r="B3953" t="s">
        <v>30</v>
      </c>
      <c r="C3953">
        <v>801</v>
      </c>
      <c r="D3953">
        <v>9</v>
      </c>
      <c r="E3953">
        <v>2</v>
      </c>
      <c r="F3953" t="s">
        <v>42</v>
      </c>
      <c r="G3953" t="s">
        <v>32</v>
      </c>
      <c r="H3953" t="s">
        <v>33</v>
      </c>
      <c r="I3953" t="s">
        <v>34</v>
      </c>
      <c r="J3953" t="s">
        <v>44</v>
      </c>
      <c r="K3953" t="s">
        <v>36</v>
      </c>
      <c r="L3953" t="s">
        <v>37</v>
      </c>
      <c r="M3953">
        <v>0</v>
      </c>
      <c r="N3953">
        <v>0</v>
      </c>
      <c r="O3953" s="5"/>
      <c r="P3953" s="5" t="s">
        <v>591</v>
      </c>
      <c r="Q3953">
        <f>195-95</f>
        <v>100</v>
      </c>
      <c r="R3953" t="s">
        <v>64</v>
      </c>
      <c r="T3953">
        <v>33</v>
      </c>
      <c r="W3953">
        <v>23.3</v>
      </c>
      <c r="X3953">
        <v>43.4</v>
      </c>
      <c r="AB3953" t="s">
        <v>47</v>
      </c>
      <c r="AC3953" t="s">
        <v>41</v>
      </c>
    </row>
    <row r="3954" spans="1:30" x14ac:dyDescent="0.35">
      <c r="A3954" s="4">
        <v>42606</v>
      </c>
      <c r="B3954" t="s">
        <v>30</v>
      </c>
      <c r="C3954">
        <v>303</v>
      </c>
      <c r="D3954">
        <v>9</v>
      </c>
      <c r="E3954">
        <v>2</v>
      </c>
      <c r="F3954" t="s">
        <v>315</v>
      </c>
      <c r="G3954" t="s">
        <v>32</v>
      </c>
      <c r="H3954" t="s">
        <v>33</v>
      </c>
      <c r="I3954" t="s">
        <v>58</v>
      </c>
      <c r="J3954" t="s">
        <v>44</v>
      </c>
      <c r="K3954" t="s">
        <v>36</v>
      </c>
      <c r="L3954" t="s">
        <v>37</v>
      </c>
      <c r="M3954">
        <v>0</v>
      </c>
      <c r="N3954">
        <v>0</v>
      </c>
      <c r="O3954" s="5" t="s">
        <v>919</v>
      </c>
      <c r="P3954" s="5"/>
      <c r="Q3954">
        <f>31.5-13.5</f>
        <v>18</v>
      </c>
      <c r="R3954" t="s">
        <v>64</v>
      </c>
      <c r="T3954">
        <v>17.5</v>
      </c>
      <c r="W3954">
        <v>12.9</v>
      </c>
      <c r="X3954">
        <v>26.9</v>
      </c>
      <c r="Z3954" t="s">
        <v>102</v>
      </c>
      <c r="AA3954" t="s">
        <v>201</v>
      </c>
      <c r="AB3954" t="s">
        <v>60</v>
      </c>
      <c r="AC3954" t="s">
        <v>87</v>
      </c>
    </row>
    <row r="3955" spans="1:30" x14ac:dyDescent="0.35">
      <c r="A3955" s="4">
        <v>42606</v>
      </c>
      <c r="B3955" t="s">
        <v>30</v>
      </c>
      <c r="C3955">
        <v>303</v>
      </c>
      <c r="D3955">
        <v>3</v>
      </c>
      <c r="E3955">
        <v>2</v>
      </c>
      <c r="F3955" t="s">
        <v>315</v>
      </c>
      <c r="G3955" t="s">
        <v>32</v>
      </c>
      <c r="H3955" t="s">
        <v>33</v>
      </c>
      <c r="I3955" t="s">
        <v>58</v>
      </c>
      <c r="J3955" t="s">
        <v>44</v>
      </c>
      <c r="K3955" t="s">
        <v>36</v>
      </c>
      <c r="L3955" t="s">
        <v>45</v>
      </c>
      <c r="M3955">
        <v>0</v>
      </c>
      <c r="N3955">
        <v>0</v>
      </c>
      <c r="O3955" s="5" t="s">
        <v>969</v>
      </c>
      <c r="P3955" s="5"/>
      <c r="Q3955">
        <f>38-13</f>
        <v>25</v>
      </c>
      <c r="R3955" t="s">
        <v>143</v>
      </c>
      <c r="S3955" t="s">
        <v>102</v>
      </c>
      <c r="T3955">
        <v>18</v>
      </c>
      <c r="W3955">
        <v>12.8</v>
      </c>
      <c r="X3955">
        <v>28.4</v>
      </c>
      <c r="Z3955" t="s">
        <v>102</v>
      </c>
      <c r="AB3955" t="s">
        <v>60</v>
      </c>
      <c r="AC3955" t="s">
        <v>87</v>
      </c>
    </row>
    <row r="3956" spans="1:30" x14ac:dyDescent="0.35">
      <c r="A3956" s="4">
        <v>42606</v>
      </c>
      <c r="B3956" t="s">
        <v>30</v>
      </c>
      <c r="C3956">
        <v>401</v>
      </c>
      <c r="D3956">
        <v>3</v>
      </c>
      <c r="E3956">
        <v>1</v>
      </c>
      <c r="F3956" t="s">
        <v>315</v>
      </c>
      <c r="G3956" t="s">
        <v>32</v>
      </c>
      <c r="H3956" t="s">
        <v>33</v>
      </c>
      <c r="I3956" t="s">
        <v>58</v>
      </c>
      <c r="J3956" t="s">
        <v>44</v>
      </c>
      <c r="K3956" t="s">
        <v>113</v>
      </c>
      <c r="L3956" t="s">
        <v>45</v>
      </c>
      <c r="M3956">
        <v>0</v>
      </c>
      <c r="N3956">
        <v>0</v>
      </c>
      <c r="O3956" s="5" t="s">
        <v>971</v>
      </c>
      <c r="P3956" s="5"/>
      <c r="Q3956">
        <f>33-17</f>
        <v>16</v>
      </c>
      <c r="R3956" t="s">
        <v>46</v>
      </c>
      <c r="S3956" t="s">
        <v>39</v>
      </c>
      <c r="T3956">
        <v>17</v>
      </c>
      <c r="W3956">
        <v>13</v>
      </c>
      <c r="X3956">
        <v>26</v>
      </c>
      <c r="Z3956" t="s">
        <v>102</v>
      </c>
      <c r="AA3956" t="s">
        <v>201</v>
      </c>
      <c r="AB3956" t="s">
        <v>60</v>
      </c>
      <c r="AC3956" t="s">
        <v>87</v>
      </c>
    </row>
    <row r="3957" spans="1:30" x14ac:dyDescent="0.35">
      <c r="A3957" s="4">
        <v>42606</v>
      </c>
      <c r="B3957" t="s">
        <v>30</v>
      </c>
      <c r="C3957">
        <v>501</v>
      </c>
      <c r="D3957">
        <v>4</v>
      </c>
      <c r="E3957">
        <v>2</v>
      </c>
      <c r="F3957" t="s">
        <v>315</v>
      </c>
      <c r="G3957" t="s">
        <v>32</v>
      </c>
      <c r="H3957" t="s">
        <v>33</v>
      </c>
      <c r="I3957" t="s">
        <v>58</v>
      </c>
      <c r="J3957" t="s">
        <v>35</v>
      </c>
      <c r="K3957" t="s">
        <v>36</v>
      </c>
      <c r="L3957" t="s">
        <v>37</v>
      </c>
      <c r="M3957">
        <v>0</v>
      </c>
      <c r="N3957">
        <v>1</v>
      </c>
      <c r="O3957" s="5" t="s">
        <v>1005</v>
      </c>
      <c r="P3957" s="5"/>
      <c r="Q3957">
        <f>34-13</f>
        <v>21</v>
      </c>
      <c r="R3957" t="s">
        <v>38</v>
      </c>
      <c r="T3957">
        <v>18</v>
      </c>
      <c r="W3957">
        <v>12.9</v>
      </c>
      <c r="X3957">
        <v>26.4</v>
      </c>
      <c r="Z3957" t="s">
        <v>102</v>
      </c>
      <c r="AA3957" t="s">
        <v>201</v>
      </c>
      <c r="AB3957" t="s">
        <v>60</v>
      </c>
      <c r="AC3957" t="s">
        <v>87</v>
      </c>
      <c r="AD3957" t="s">
        <v>807</v>
      </c>
    </row>
    <row r="3958" spans="1:30" x14ac:dyDescent="0.35">
      <c r="A3958" s="4">
        <v>42606</v>
      </c>
      <c r="B3958" t="s">
        <v>30</v>
      </c>
      <c r="C3958">
        <v>303</v>
      </c>
      <c r="D3958">
        <v>9</v>
      </c>
      <c r="E3958">
        <v>1</v>
      </c>
      <c r="F3958" t="s">
        <v>315</v>
      </c>
      <c r="G3958" t="s">
        <v>32</v>
      </c>
      <c r="H3958" t="s">
        <v>33</v>
      </c>
      <c r="I3958" t="s">
        <v>58</v>
      </c>
      <c r="J3958" t="s">
        <v>35</v>
      </c>
      <c r="K3958" t="s">
        <v>36</v>
      </c>
      <c r="L3958" t="s">
        <v>37</v>
      </c>
      <c r="M3958">
        <v>0</v>
      </c>
      <c r="N3958">
        <v>1</v>
      </c>
      <c r="O3958" s="5" t="s">
        <v>1006</v>
      </c>
      <c r="P3958" s="5"/>
      <c r="Q3958">
        <f>35-15</f>
        <v>20</v>
      </c>
      <c r="R3958" t="s">
        <v>38</v>
      </c>
      <c r="T3958">
        <v>17</v>
      </c>
      <c r="W3958">
        <v>13</v>
      </c>
      <c r="X3958">
        <v>26.9</v>
      </c>
      <c r="Z3958" t="s">
        <v>102</v>
      </c>
      <c r="AA3958" t="s">
        <v>201</v>
      </c>
      <c r="AB3958" t="s">
        <v>60</v>
      </c>
      <c r="AC3958" t="s">
        <v>87</v>
      </c>
      <c r="AD3958" t="s">
        <v>807</v>
      </c>
    </row>
    <row r="3959" spans="1:30" x14ac:dyDescent="0.35">
      <c r="A3959" s="4">
        <v>42606</v>
      </c>
      <c r="B3959" t="s">
        <v>30</v>
      </c>
      <c r="C3959">
        <v>401</v>
      </c>
      <c r="D3959">
        <v>8</v>
      </c>
      <c r="E3959">
        <v>2</v>
      </c>
      <c r="F3959" t="s">
        <v>315</v>
      </c>
      <c r="G3959" t="s">
        <v>32</v>
      </c>
      <c r="H3959" t="s">
        <v>33</v>
      </c>
      <c r="I3959" t="s">
        <v>58</v>
      </c>
      <c r="J3959" t="s">
        <v>35</v>
      </c>
      <c r="K3959" t="s">
        <v>113</v>
      </c>
      <c r="L3959" t="s">
        <v>37</v>
      </c>
      <c r="M3959">
        <v>0</v>
      </c>
      <c r="N3959">
        <v>1</v>
      </c>
      <c r="O3959" s="5" t="s">
        <v>1007</v>
      </c>
      <c r="P3959" s="5"/>
      <c r="Q3959">
        <f>30-13</f>
        <v>17</v>
      </c>
      <c r="R3959" t="s">
        <v>64</v>
      </c>
      <c r="T3959">
        <v>18</v>
      </c>
      <c r="W3959">
        <v>12.7</v>
      </c>
      <c r="X3959">
        <v>26.4</v>
      </c>
      <c r="Z3959" t="s">
        <v>102</v>
      </c>
      <c r="AA3959" t="s">
        <v>1008</v>
      </c>
      <c r="AB3959" t="s">
        <v>60</v>
      </c>
      <c r="AC3959" t="s">
        <v>87</v>
      </c>
      <c r="AD3959" t="s">
        <v>1009</v>
      </c>
    </row>
    <row r="3960" spans="1:30" x14ac:dyDescent="0.35">
      <c r="A3960" s="4">
        <v>42606</v>
      </c>
      <c r="B3960" t="s">
        <v>30</v>
      </c>
      <c r="C3960">
        <v>501</v>
      </c>
      <c r="D3960">
        <v>4</v>
      </c>
      <c r="E3960">
        <v>1</v>
      </c>
      <c r="F3960" t="s">
        <v>315</v>
      </c>
      <c r="G3960" t="s">
        <v>32</v>
      </c>
      <c r="H3960" t="s">
        <v>33</v>
      </c>
      <c r="I3960" t="s">
        <v>58</v>
      </c>
      <c r="J3960" t="s">
        <v>44</v>
      </c>
      <c r="K3960" t="s">
        <v>88</v>
      </c>
      <c r="L3960" t="s">
        <v>37</v>
      </c>
      <c r="M3960">
        <v>0</v>
      </c>
      <c r="N3960">
        <v>0</v>
      </c>
      <c r="O3960" s="5" t="s">
        <v>925</v>
      </c>
      <c r="P3960" s="5"/>
      <c r="Q3960">
        <f>26.5-13.5</f>
        <v>13</v>
      </c>
      <c r="R3960" t="s">
        <v>64</v>
      </c>
      <c r="T3960">
        <v>17</v>
      </c>
      <c r="W3960">
        <v>12.8</v>
      </c>
      <c r="X3960">
        <v>25.2</v>
      </c>
      <c r="Z3960" t="s">
        <v>102</v>
      </c>
      <c r="AA3960" t="s">
        <v>201</v>
      </c>
      <c r="AB3960" t="s">
        <v>60</v>
      </c>
      <c r="AC3960" t="s">
        <v>87</v>
      </c>
    </row>
    <row r="3961" spans="1:30" x14ac:dyDescent="0.35">
      <c r="A3961" s="4">
        <v>42606</v>
      </c>
      <c r="B3961" t="s">
        <v>30</v>
      </c>
      <c r="C3961">
        <v>501</v>
      </c>
      <c r="D3961">
        <v>3</v>
      </c>
      <c r="E3961">
        <v>2</v>
      </c>
      <c r="F3961" t="s">
        <v>315</v>
      </c>
      <c r="G3961" t="s">
        <v>32</v>
      </c>
      <c r="H3961" t="s">
        <v>33</v>
      </c>
      <c r="I3961" t="s">
        <v>58</v>
      </c>
      <c r="J3961" t="s">
        <v>44</v>
      </c>
      <c r="K3961" t="s">
        <v>36</v>
      </c>
      <c r="L3961" t="s">
        <v>37</v>
      </c>
      <c r="M3961">
        <v>0</v>
      </c>
      <c r="N3961">
        <v>0</v>
      </c>
      <c r="O3961" s="5" t="s">
        <v>926</v>
      </c>
      <c r="P3961" s="5"/>
      <c r="Q3961">
        <f>36-17</f>
        <v>19</v>
      </c>
      <c r="R3961" t="s">
        <v>64</v>
      </c>
      <c r="T3961">
        <v>17.5</v>
      </c>
      <c r="W3961">
        <v>12.8</v>
      </c>
      <c r="X3961">
        <v>27.5</v>
      </c>
      <c r="Z3961" t="s">
        <v>102</v>
      </c>
      <c r="AA3961" t="s">
        <v>201</v>
      </c>
      <c r="AB3961" t="s">
        <v>60</v>
      </c>
      <c r="AC3961" t="s">
        <v>87</v>
      </c>
    </row>
    <row r="3962" spans="1:30" x14ac:dyDescent="0.35">
      <c r="A3962" s="4">
        <v>42606</v>
      </c>
      <c r="B3962" t="s">
        <v>30</v>
      </c>
      <c r="C3962">
        <v>503</v>
      </c>
      <c r="D3962">
        <v>5</v>
      </c>
      <c r="E3962">
        <v>2</v>
      </c>
      <c r="F3962" t="s">
        <v>315</v>
      </c>
      <c r="G3962" t="s">
        <v>32</v>
      </c>
      <c r="H3962" t="s">
        <v>33</v>
      </c>
      <c r="I3962" t="s">
        <v>58</v>
      </c>
      <c r="J3962" t="s">
        <v>44</v>
      </c>
      <c r="K3962" t="s">
        <v>36</v>
      </c>
      <c r="L3962" t="s">
        <v>45</v>
      </c>
      <c r="M3962">
        <v>0</v>
      </c>
      <c r="N3962">
        <v>0</v>
      </c>
      <c r="O3962" s="5" t="s">
        <v>929</v>
      </c>
      <c r="P3962" s="5"/>
      <c r="Q3962">
        <f>42-17</f>
        <v>25</v>
      </c>
      <c r="R3962" t="s">
        <v>46</v>
      </c>
      <c r="T3962">
        <v>19</v>
      </c>
      <c r="W3962">
        <v>13.2</v>
      </c>
      <c r="X3962">
        <v>26.5</v>
      </c>
      <c r="Z3962" t="s">
        <v>102</v>
      </c>
      <c r="AB3962" t="s">
        <v>60</v>
      </c>
      <c r="AC3962" t="s">
        <v>87</v>
      </c>
      <c r="AD3962" t="s">
        <v>1010</v>
      </c>
    </row>
    <row r="3963" spans="1:30" x14ac:dyDescent="0.35">
      <c r="A3963" s="4">
        <v>42606</v>
      </c>
      <c r="B3963" t="s">
        <v>30</v>
      </c>
      <c r="C3963">
        <v>503</v>
      </c>
      <c r="D3963">
        <v>6</v>
      </c>
      <c r="E3963">
        <v>1</v>
      </c>
      <c r="F3963" t="s">
        <v>315</v>
      </c>
      <c r="G3963" t="s">
        <v>32</v>
      </c>
      <c r="H3963" t="s">
        <v>33</v>
      </c>
      <c r="I3963" t="s">
        <v>58</v>
      </c>
      <c r="J3963" t="s">
        <v>44</v>
      </c>
      <c r="K3963" t="s">
        <v>36</v>
      </c>
      <c r="L3963" t="s">
        <v>37</v>
      </c>
      <c r="M3963">
        <v>0</v>
      </c>
      <c r="N3963">
        <v>0</v>
      </c>
      <c r="O3963" s="5" t="s">
        <v>932</v>
      </c>
      <c r="P3963" s="5"/>
      <c r="Q3963">
        <f>32-15.5</f>
        <v>16.5</v>
      </c>
      <c r="R3963" t="s">
        <v>64</v>
      </c>
      <c r="T3963">
        <v>17.5</v>
      </c>
      <c r="W3963">
        <v>13.1</v>
      </c>
      <c r="X3963">
        <v>25.8</v>
      </c>
      <c r="Z3963" t="s">
        <v>102</v>
      </c>
      <c r="AA3963" t="s">
        <v>201</v>
      </c>
      <c r="AB3963" t="s">
        <v>60</v>
      </c>
      <c r="AC3963" t="s">
        <v>87</v>
      </c>
      <c r="AD3963" t="s">
        <v>933</v>
      </c>
    </row>
    <row r="3964" spans="1:30" x14ac:dyDescent="0.35">
      <c r="A3964" s="4">
        <v>42606</v>
      </c>
      <c r="B3964" t="s">
        <v>30</v>
      </c>
      <c r="C3964">
        <v>401</v>
      </c>
      <c r="D3964">
        <v>10</v>
      </c>
      <c r="E3964">
        <v>2</v>
      </c>
      <c r="F3964" t="s">
        <v>315</v>
      </c>
      <c r="G3964" t="s">
        <v>32</v>
      </c>
      <c r="H3964" t="s">
        <v>33</v>
      </c>
      <c r="I3964" t="s">
        <v>58</v>
      </c>
      <c r="J3964" t="s">
        <v>44</v>
      </c>
      <c r="K3964" t="s">
        <v>36</v>
      </c>
      <c r="L3964" t="s">
        <v>45</v>
      </c>
      <c r="M3964">
        <v>0</v>
      </c>
      <c r="N3964">
        <v>0</v>
      </c>
      <c r="O3964" s="5" t="s">
        <v>1011</v>
      </c>
      <c r="P3964" s="5"/>
      <c r="Q3964">
        <f>40-13</f>
        <v>27</v>
      </c>
      <c r="R3964" t="s">
        <v>74</v>
      </c>
      <c r="S3964" t="s">
        <v>102</v>
      </c>
      <c r="T3964">
        <v>17</v>
      </c>
      <c r="W3964">
        <v>13.1</v>
      </c>
      <c r="X3964">
        <v>26.7</v>
      </c>
      <c r="Z3964" t="s">
        <v>102</v>
      </c>
      <c r="AA3964" t="s">
        <v>201</v>
      </c>
      <c r="AB3964" t="s">
        <v>60</v>
      </c>
      <c r="AC3964" t="s">
        <v>87</v>
      </c>
    </row>
    <row r="3965" spans="1:30" x14ac:dyDescent="0.35">
      <c r="A3965" s="4">
        <v>42606</v>
      </c>
      <c r="B3965" t="s">
        <v>30</v>
      </c>
      <c r="C3965">
        <v>803</v>
      </c>
      <c r="D3965">
        <v>1</v>
      </c>
      <c r="E3965">
        <v>1</v>
      </c>
      <c r="F3965" t="s">
        <v>42</v>
      </c>
      <c r="G3965" t="s">
        <v>32</v>
      </c>
      <c r="H3965" t="s">
        <v>33</v>
      </c>
      <c r="I3965" t="s">
        <v>58</v>
      </c>
      <c r="J3965" t="s">
        <v>44</v>
      </c>
      <c r="K3965" t="s">
        <v>36</v>
      </c>
      <c r="L3965" t="s">
        <v>45</v>
      </c>
      <c r="M3965">
        <v>0</v>
      </c>
      <c r="N3965">
        <v>0</v>
      </c>
      <c r="O3965" s="5" t="s">
        <v>935</v>
      </c>
      <c r="P3965" s="5"/>
      <c r="Q3965">
        <f>45.5-14.5</f>
        <v>31</v>
      </c>
      <c r="R3965" t="s">
        <v>265</v>
      </c>
      <c r="T3965">
        <v>17</v>
      </c>
      <c r="W3965">
        <v>13.2</v>
      </c>
      <c r="X3965">
        <v>23.9</v>
      </c>
      <c r="Z3965" t="s">
        <v>102</v>
      </c>
      <c r="AB3965" t="s">
        <v>47</v>
      </c>
      <c r="AC3965" t="s">
        <v>41</v>
      </c>
    </row>
    <row r="3966" spans="1:30" x14ac:dyDescent="0.35">
      <c r="A3966" s="4">
        <v>42606</v>
      </c>
      <c r="B3966" t="s">
        <v>30</v>
      </c>
      <c r="C3966">
        <v>803</v>
      </c>
      <c r="D3966">
        <v>6</v>
      </c>
      <c r="E3966">
        <v>2</v>
      </c>
      <c r="F3966" t="s">
        <v>42</v>
      </c>
      <c r="G3966" t="s">
        <v>32</v>
      </c>
      <c r="H3966" t="s">
        <v>33</v>
      </c>
      <c r="I3966" t="s">
        <v>58</v>
      </c>
      <c r="J3966" t="s">
        <v>44</v>
      </c>
      <c r="K3966" t="s">
        <v>36</v>
      </c>
      <c r="L3966" t="s">
        <v>37</v>
      </c>
      <c r="M3966">
        <v>0</v>
      </c>
      <c r="N3966">
        <v>0</v>
      </c>
      <c r="O3966" s="5" t="s">
        <v>649</v>
      </c>
      <c r="P3966" s="5"/>
      <c r="Q3966">
        <f>36-15</f>
        <v>21</v>
      </c>
      <c r="R3966" t="s">
        <v>64</v>
      </c>
      <c r="T3966">
        <v>16</v>
      </c>
      <c r="W3966">
        <v>13.1</v>
      </c>
      <c r="X3966">
        <v>28</v>
      </c>
      <c r="AB3966" t="s">
        <v>47</v>
      </c>
      <c r="AC3966" t="s">
        <v>41</v>
      </c>
    </row>
    <row r="3967" spans="1:30" x14ac:dyDescent="0.35">
      <c r="A3967" s="4">
        <v>42606</v>
      </c>
      <c r="B3967" t="s">
        <v>30</v>
      </c>
      <c r="C3967">
        <v>703</v>
      </c>
      <c r="D3967">
        <v>2</v>
      </c>
      <c r="E3967">
        <v>1</v>
      </c>
      <c r="F3967" t="s">
        <v>42</v>
      </c>
      <c r="G3967" t="s">
        <v>32</v>
      </c>
      <c r="H3967" t="s">
        <v>33</v>
      </c>
      <c r="I3967" t="s">
        <v>58</v>
      </c>
      <c r="J3967" t="s">
        <v>44</v>
      </c>
      <c r="K3967" t="s">
        <v>36</v>
      </c>
      <c r="L3967" t="s">
        <v>45</v>
      </c>
      <c r="M3967">
        <v>0</v>
      </c>
      <c r="N3967">
        <v>0</v>
      </c>
      <c r="O3967" s="5" t="s">
        <v>729</v>
      </c>
      <c r="P3967" s="5"/>
      <c r="Q3967">
        <f>33-12.5</f>
        <v>20.5</v>
      </c>
      <c r="R3967" t="s">
        <v>46</v>
      </c>
      <c r="S3967" t="s">
        <v>39</v>
      </c>
      <c r="T3967">
        <v>17</v>
      </c>
      <c r="W3967">
        <v>12.7</v>
      </c>
      <c r="X3967">
        <v>26.1</v>
      </c>
      <c r="Z3967" t="s">
        <v>102</v>
      </c>
      <c r="AB3967" t="s">
        <v>47</v>
      </c>
      <c r="AC3967" t="s">
        <v>41</v>
      </c>
    </row>
    <row r="3968" spans="1:30" x14ac:dyDescent="0.35">
      <c r="A3968" s="4">
        <v>42606</v>
      </c>
      <c r="B3968" t="s">
        <v>30</v>
      </c>
      <c r="C3968">
        <v>703</v>
      </c>
      <c r="D3968">
        <v>6</v>
      </c>
      <c r="E3968">
        <v>1</v>
      </c>
      <c r="F3968" t="s">
        <v>42</v>
      </c>
      <c r="G3968" t="s">
        <v>32</v>
      </c>
      <c r="H3968" t="s">
        <v>33</v>
      </c>
      <c r="I3968" t="s">
        <v>58</v>
      </c>
      <c r="J3968" t="s">
        <v>44</v>
      </c>
      <c r="K3968" t="s">
        <v>113</v>
      </c>
      <c r="L3968" t="s">
        <v>45</v>
      </c>
      <c r="M3968">
        <v>0</v>
      </c>
      <c r="N3968">
        <v>0</v>
      </c>
      <c r="O3968" s="5" t="s">
        <v>593</v>
      </c>
      <c r="P3968" s="5"/>
      <c r="Q3968">
        <f>31.5-12.5</f>
        <v>19</v>
      </c>
      <c r="R3968" t="s">
        <v>79</v>
      </c>
      <c r="S3968" t="s">
        <v>39</v>
      </c>
      <c r="T3968">
        <v>16</v>
      </c>
      <c r="W3968">
        <v>12.5</v>
      </c>
      <c r="X3968">
        <v>25.9</v>
      </c>
      <c r="Z3968" t="s">
        <v>102</v>
      </c>
      <c r="AB3968" t="s">
        <v>47</v>
      </c>
      <c r="AC3968" t="s">
        <v>41</v>
      </c>
    </row>
    <row r="3969" spans="1:30" x14ac:dyDescent="0.35">
      <c r="A3969" s="4">
        <v>42606</v>
      </c>
      <c r="B3969" t="s">
        <v>30</v>
      </c>
      <c r="C3969">
        <v>703</v>
      </c>
      <c r="D3969">
        <v>7</v>
      </c>
      <c r="E3969">
        <v>1</v>
      </c>
      <c r="F3969" t="s">
        <v>42</v>
      </c>
      <c r="G3969" t="s">
        <v>32</v>
      </c>
      <c r="H3969" t="s">
        <v>33</v>
      </c>
      <c r="I3969" t="s">
        <v>58</v>
      </c>
      <c r="J3969" t="s">
        <v>44</v>
      </c>
      <c r="K3969" t="s">
        <v>113</v>
      </c>
      <c r="L3969" t="s">
        <v>45</v>
      </c>
      <c r="M3969">
        <v>0</v>
      </c>
      <c r="N3969">
        <v>0</v>
      </c>
      <c r="O3969" s="5" t="s">
        <v>650</v>
      </c>
      <c r="P3969" s="5"/>
      <c r="Q3969">
        <f>29-13</f>
        <v>16</v>
      </c>
      <c r="R3969" t="s">
        <v>64</v>
      </c>
      <c r="T3969">
        <v>17</v>
      </c>
      <c r="W3969">
        <v>12.6</v>
      </c>
      <c r="X3969">
        <v>27.9</v>
      </c>
      <c r="Z3969" t="s">
        <v>102</v>
      </c>
      <c r="AB3969" t="s">
        <v>47</v>
      </c>
      <c r="AC3969" t="s">
        <v>41</v>
      </c>
    </row>
    <row r="3970" spans="1:30" x14ac:dyDescent="0.35">
      <c r="A3970" s="4">
        <v>42606</v>
      </c>
      <c r="B3970" t="s">
        <v>30</v>
      </c>
      <c r="C3970">
        <v>303</v>
      </c>
      <c r="D3970">
        <v>3</v>
      </c>
      <c r="E3970">
        <v>1</v>
      </c>
      <c r="F3970" t="s">
        <v>315</v>
      </c>
      <c r="G3970" t="s">
        <v>32</v>
      </c>
      <c r="H3970" t="s">
        <v>33</v>
      </c>
      <c r="I3970" t="s">
        <v>58</v>
      </c>
      <c r="J3970" t="s">
        <v>44</v>
      </c>
      <c r="K3970" t="s">
        <v>36</v>
      </c>
      <c r="L3970" t="s">
        <v>37</v>
      </c>
      <c r="M3970">
        <v>0</v>
      </c>
      <c r="N3970">
        <v>0</v>
      </c>
      <c r="O3970" s="5" t="s">
        <v>597</v>
      </c>
      <c r="P3970" s="5"/>
      <c r="Q3970">
        <f>32.5-15.5</f>
        <v>17</v>
      </c>
      <c r="R3970" t="s">
        <v>64</v>
      </c>
      <c r="T3970">
        <v>18</v>
      </c>
      <c r="W3970">
        <v>12.8</v>
      </c>
      <c r="X3970">
        <v>26.9</v>
      </c>
      <c r="Z3970" t="s">
        <v>102</v>
      </c>
      <c r="AA3970" t="s">
        <v>201</v>
      </c>
      <c r="AB3970" t="s">
        <v>60</v>
      </c>
      <c r="AC3970" t="s">
        <v>87</v>
      </c>
    </row>
    <row r="3971" spans="1:30" x14ac:dyDescent="0.35">
      <c r="A3971" s="4">
        <v>42606</v>
      </c>
      <c r="B3971" t="s">
        <v>30</v>
      </c>
      <c r="C3971">
        <v>503</v>
      </c>
      <c r="D3971">
        <v>1</v>
      </c>
      <c r="E3971">
        <v>1</v>
      </c>
      <c r="F3971" t="s">
        <v>315</v>
      </c>
      <c r="G3971" t="s">
        <v>32</v>
      </c>
      <c r="H3971" t="s">
        <v>33</v>
      </c>
      <c r="I3971" t="s">
        <v>58</v>
      </c>
      <c r="J3971" t="s">
        <v>44</v>
      </c>
      <c r="K3971" t="s">
        <v>36</v>
      </c>
      <c r="L3971" t="s">
        <v>37</v>
      </c>
      <c r="M3971">
        <v>0</v>
      </c>
      <c r="N3971">
        <v>0</v>
      </c>
      <c r="O3971" s="5" t="s">
        <v>1012</v>
      </c>
      <c r="P3971" s="5"/>
      <c r="Q3971">
        <f>46-16</f>
        <v>30</v>
      </c>
      <c r="R3971" t="s">
        <v>38</v>
      </c>
      <c r="T3971">
        <v>16</v>
      </c>
      <c r="W3971">
        <v>13</v>
      </c>
      <c r="X3971">
        <v>26</v>
      </c>
      <c r="Z3971" t="s">
        <v>102</v>
      </c>
      <c r="AA3971" t="s">
        <v>201</v>
      </c>
      <c r="AB3971" t="s">
        <v>60</v>
      </c>
      <c r="AC3971" t="s">
        <v>87</v>
      </c>
      <c r="AD3971" t="s">
        <v>1013</v>
      </c>
    </row>
    <row r="3972" spans="1:30" x14ac:dyDescent="0.35">
      <c r="A3972" s="4">
        <v>42606</v>
      </c>
      <c r="B3972" t="s">
        <v>30</v>
      </c>
      <c r="C3972">
        <v>303</v>
      </c>
      <c r="D3972">
        <v>5</v>
      </c>
      <c r="E3972">
        <v>2</v>
      </c>
      <c r="F3972" t="s">
        <v>315</v>
      </c>
      <c r="G3972" t="s">
        <v>32</v>
      </c>
      <c r="H3972" t="s">
        <v>33</v>
      </c>
      <c r="I3972" t="s">
        <v>58</v>
      </c>
      <c r="J3972" t="s">
        <v>44</v>
      </c>
      <c r="K3972" t="s">
        <v>36</v>
      </c>
      <c r="L3972" t="s">
        <v>45</v>
      </c>
      <c r="M3972">
        <v>0</v>
      </c>
      <c r="N3972">
        <v>0</v>
      </c>
      <c r="O3972" s="5" t="s">
        <v>598</v>
      </c>
      <c r="P3972" s="5"/>
      <c r="Q3972">
        <f>36-14</f>
        <v>22</v>
      </c>
      <c r="R3972" t="s">
        <v>46</v>
      </c>
      <c r="S3972" t="s">
        <v>39</v>
      </c>
      <c r="T3972">
        <v>17</v>
      </c>
      <c r="W3972">
        <v>13.1</v>
      </c>
      <c r="X3972">
        <v>27.1</v>
      </c>
      <c r="Z3972" t="s">
        <v>102</v>
      </c>
      <c r="AA3972" t="s">
        <v>201</v>
      </c>
      <c r="AB3972" t="s">
        <v>60</v>
      </c>
      <c r="AC3972" t="s">
        <v>87</v>
      </c>
    </row>
    <row r="3973" spans="1:30" x14ac:dyDescent="0.35">
      <c r="A3973" s="4">
        <v>42606</v>
      </c>
      <c r="B3973" t="s">
        <v>30</v>
      </c>
      <c r="C3973">
        <v>801</v>
      </c>
      <c r="D3973">
        <v>6</v>
      </c>
      <c r="E3973">
        <v>1</v>
      </c>
      <c r="F3973" t="s">
        <v>42</v>
      </c>
      <c r="G3973" t="s">
        <v>32</v>
      </c>
      <c r="H3973" t="s">
        <v>33</v>
      </c>
      <c r="I3973" t="s">
        <v>58</v>
      </c>
      <c r="J3973" t="s">
        <v>44</v>
      </c>
      <c r="K3973" t="s">
        <v>36</v>
      </c>
      <c r="L3973" t="s">
        <v>45</v>
      </c>
      <c r="M3973">
        <v>0</v>
      </c>
      <c r="N3973">
        <v>0</v>
      </c>
      <c r="O3973" s="5" t="s">
        <v>599</v>
      </c>
      <c r="P3973" s="5"/>
      <c r="Q3973">
        <f>44-14</f>
        <v>30</v>
      </c>
      <c r="R3973" t="s">
        <v>74</v>
      </c>
      <c r="S3973" t="s">
        <v>102</v>
      </c>
      <c r="T3973">
        <v>17</v>
      </c>
      <c r="W3973">
        <v>14</v>
      </c>
      <c r="X3973">
        <v>28</v>
      </c>
      <c r="AB3973" t="s">
        <v>47</v>
      </c>
      <c r="AC3973" t="s">
        <v>41</v>
      </c>
    </row>
    <row r="3974" spans="1:30" x14ac:dyDescent="0.35">
      <c r="A3974" s="4">
        <v>42606</v>
      </c>
      <c r="B3974" t="s">
        <v>30</v>
      </c>
      <c r="C3974">
        <v>801</v>
      </c>
      <c r="D3974">
        <v>4</v>
      </c>
      <c r="E3974">
        <v>1</v>
      </c>
      <c r="F3974" t="s">
        <v>42</v>
      </c>
      <c r="G3974" t="s">
        <v>32</v>
      </c>
      <c r="H3974" t="s">
        <v>33</v>
      </c>
      <c r="I3974" t="s">
        <v>58</v>
      </c>
      <c r="J3974" t="s">
        <v>44</v>
      </c>
      <c r="K3974" t="s">
        <v>36</v>
      </c>
      <c r="L3974" t="s">
        <v>37</v>
      </c>
      <c r="M3974">
        <v>0</v>
      </c>
      <c r="N3974">
        <v>0</v>
      </c>
      <c r="O3974" s="5" t="s">
        <v>604</v>
      </c>
      <c r="P3974" s="5"/>
      <c r="Q3974">
        <f>34.5-15.5</f>
        <v>19</v>
      </c>
      <c r="R3974" t="s">
        <v>64</v>
      </c>
      <c r="T3974">
        <v>15.5</v>
      </c>
      <c r="W3974">
        <v>12.85</v>
      </c>
      <c r="X3974">
        <v>26.7</v>
      </c>
      <c r="Z3974" t="s">
        <v>102</v>
      </c>
      <c r="AB3974" t="s">
        <v>47</v>
      </c>
      <c r="AC3974" t="s">
        <v>41</v>
      </c>
    </row>
    <row r="3975" spans="1:30" x14ac:dyDescent="0.35">
      <c r="A3975" s="4">
        <v>42606</v>
      </c>
      <c r="B3975" t="s">
        <v>30</v>
      </c>
      <c r="C3975">
        <v>401</v>
      </c>
      <c r="D3975">
        <v>1</v>
      </c>
      <c r="E3975">
        <v>1</v>
      </c>
      <c r="F3975" t="s">
        <v>315</v>
      </c>
      <c r="G3975" t="s">
        <v>32</v>
      </c>
      <c r="H3975" t="s">
        <v>33</v>
      </c>
      <c r="I3975" t="s">
        <v>58</v>
      </c>
      <c r="J3975" t="s">
        <v>44</v>
      </c>
      <c r="K3975" t="s">
        <v>36</v>
      </c>
      <c r="L3975" t="s">
        <v>45</v>
      </c>
      <c r="M3975">
        <v>0</v>
      </c>
      <c r="N3975">
        <v>0</v>
      </c>
      <c r="O3975" s="5" t="s">
        <v>657</v>
      </c>
      <c r="P3975" s="5"/>
      <c r="Q3975">
        <f>39-13</f>
        <v>26</v>
      </c>
      <c r="R3975" t="s">
        <v>74</v>
      </c>
      <c r="S3975" t="s">
        <v>102</v>
      </c>
      <c r="T3975">
        <v>17</v>
      </c>
      <c r="Z3975" t="s">
        <v>102</v>
      </c>
      <c r="AA3975" t="s">
        <v>201</v>
      </c>
      <c r="AB3975" t="s">
        <v>60</v>
      </c>
      <c r="AC3975" t="s">
        <v>87</v>
      </c>
      <c r="AD3975" t="s">
        <v>1014</v>
      </c>
    </row>
    <row r="3976" spans="1:30" x14ac:dyDescent="0.35">
      <c r="A3976" s="4">
        <v>42606</v>
      </c>
      <c r="B3976" t="s">
        <v>30</v>
      </c>
      <c r="C3976">
        <v>303</v>
      </c>
      <c r="D3976">
        <v>2</v>
      </c>
      <c r="E3976">
        <v>2</v>
      </c>
      <c r="F3976" t="s">
        <v>315</v>
      </c>
      <c r="G3976" t="s">
        <v>32</v>
      </c>
      <c r="H3976" t="s">
        <v>33</v>
      </c>
      <c r="I3976" t="s">
        <v>58</v>
      </c>
      <c r="J3976" t="s">
        <v>44</v>
      </c>
      <c r="K3976" t="s">
        <v>36</v>
      </c>
      <c r="L3976" t="s">
        <v>37</v>
      </c>
      <c r="M3976">
        <v>0</v>
      </c>
      <c r="N3976">
        <v>0</v>
      </c>
      <c r="O3976" s="5" t="s">
        <v>921</v>
      </c>
      <c r="P3976" s="5"/>
      <c r="Q3976">
        <f>35-14.5</f>
        <v>20.5</v>
      </c>
      <c r="R3976" t="s">
        <v>38</v>
      </c>
      <c r="T3976">
        <v>17.5</v>
      </c>
      <c r="W3976">
        <v>13</v>
      </c>
      <c r="Z3976" t="s">
        <v>102</v>
      </c>
      <c r="AA3976" t="s">
        <v>1015</v>
      </c>
      <c r="AB3976" t="s">
        <v>60</v>
      </c>
      <c r="AC3976" t="s">
        <v>87</v>
      </c>
    </row>
    <row r="3977" spans="1:30" x14ac:dyDescent="0.35">
      <c r="A3977" s="4">
        <v>42606</v>
      </c>
      <c r="B3977" t="s">
        <v>30</v>
      </c>
      <c r="C3977">
        <v>703</v>
      </c>
      <c r="D3977">
        <v>5</v>
      </c>
      <c r="E3977">
        <v>2</v>
      </c>
      <c r="F3977" t="s">
        <v>42</v>
      </c>
      <c r="G3977" t="s">
        <v>32</v>
      </c>
      <c r="H3977" t="s">
        <v>33</v>
      </c>
      <c r="I3977" t="s">
        <v>58</v>
      </c>
      <c r="J3977" t="s">
        <v>44</v>
      </c>
      <c r="K3977" t="s">
        <v>113</v>
      </c>
      <c r="L3977" t="s">
        <v>37</v>
      </c>
      <c r="M3977">
        <v>0</v>
      </c>
      <c r="N3977">
        <v>0</v>
      </c>
      <c r="O3977" s="5" t="s">
        <v>655</v>
      </c>
      <c r="P3977" s="5"/>
      <c r="Q3977">
        <f>33-16</f>
        <v>17</v>
      </c>
      <c r="R3977" t="s">
        <v>38</v>
      </c>
      <c r="T3977">
        <v>16</v>
      </c>
      <c r="W3977">
        <v>12.5</v>
      </c>
      <c r="X3977">
        <v>24.9</v>
      </c>
      <c r="Z3977" t="s">
        <v>102</v>
      </c>
      <c r="AB3977" t="s">
        <v>47</v>
      </c>
      <c r="AC3977" t="s">
        <v>41</v>
      </c>
    </row>
    <row r="3978" spans="1:30" x14ac:dyDescent="0.35">
      <c r="A3978" s="4">
        <v>42606</v>
      </c>
      <c r="B3978" t="s">
        <v>30</v>
      </c>
      <c r="C3978">
        <v>503</v>
      </c>
      <c r="D3978">
        <v>10</v>
      </c>
      <c r="E3978">
        <v>2</v>
      </c>
      <c r="F3978" t="s">
        <v>315</v>
      </c>
      <c r="G3978" t="s">
        <v>32</v>
      </c>
      <c r="H3978" t="s">
        <v>33</v>
      </c>
      <c r="I3978" t="s">
        <v>55</v>
      </c>
      <c r="J3978" t="s">
        <v>66</v>
      </c>
      <c r="O3978" s="5"/>
      <c r="P3978" s="5"/>
    </row>
    <row r="3979" spans="1:30" x14ac:dyDescent="0.35">
      <c r="A3979" s="4">
        <v>42606</v>
      </c>
      <c r="B3979" t="s">
        <v>30</v>
      </c>
      <c r="C3979">
        <v>303</v>
      </c>
      <c r="D3979">
        <v>7</v>
      </c>
      <c r="E3979">
        <v>1</v>
      </c>
      <c r="F3979" t="s">
        <v>315</v>
      </c>
      <c r="G3979" t="s">
        <v>32</v>
      </c>
      <c r="H3979" t="s">
        <v>33</v>
      </c>
      <c r="I3979" t="s">
        <v>55</v>
      </c>
      <c r="J3979" t="s">
        <v>66</v>
      </c>
      <c r="O3979" s="5"/>
      <c r="P3979" s="5"/>
    </row>
    <row r="3980" spans="1:30" x14ac:dyDescent="0.35">
      <c r="A3980" s="4">
        <v>42606</v>
      </c>
      <c r="B3980" t="s">
        <v>30</v>
      </c>
      <c r="C3980">
        <v>303</v>
      </c>
      <c r="D3980">
        <v>10</v>
      </c>
      <c r="E3980">
        <v>2</v>
      </c>
      <c r="F3980" t="s">
        <v>315</v>
      </c>
      <c r="G3980" t="s">
        <v>32</v>
      </c>
      <c r="H3980" t="s">
        <v>33</v>
      </c>
      <c r="I3980" t="s">
        <v>55</v>
      </c>
      <c r="J3980" t="s">
        <v>66</v>
      </c>
      <c r="O3980" s="5"/>
      <c r="P3980" s="5"/>
    </row>
    <row r="3981" spans="1:30" x14ac:dyDescent="0.35">
      <c r="A3981" s="4">
        <v>42606</v>
      </c>
      <c r="B3981" t="s">
        <v>30</v>
      </c>
      <c r="C3981">
        <v>401</v>
      </c>
      <c r="D3981">
        <v>5</v>
      </c>
      <c r="E3981">
        <v>2</v>
      </c>
      <c r="F3981" t="s">
        <v>315</v>
      </c>
      <c r="G3981" t="s">
        <v>32</v>
      </c>
      <c r="H3981" t="s">
        <v>33</v>
      </c>
      <c r="I3981" t="s">
        <v>55</v>
      </c>
      <c r="J3981" t="s">
        <v>66</v>
      </c>
      <c r="O3981" s="5"/>
      <c r="P3981" s="5"/>
    </row>
    <row r="3982" spans="1:30" x14ac:dyDescent="0.35">
      <c r="A3982" s="4">
        <v>42606</v>
      </c>
      <c r="B3982" t="s">
        <v>30</v>
      </c>
      <c r="C3982">
        <v>401</v>
      </c>
      <c r="D3982">
        <v>6</v>
      </c>
      <c r="E3982">
        <v>1</v>
      </c>
      <c r="F3982" t="s">
        <v>315</v>
      </c>
      <c r="G3982" t="s">
        <v>32</v>
      </c>
      <c r="H3982" t="s">
        <v>33</v>
      </c>
      <c r="I3982" t="s">
        <v>55</v>
      </c>
      <c r="J3982" t="s">
        <v>66</v>
      </c>
      <c r="O3982" s="5"/>
      <c r="P3982" s="5"/>
    </row>
    <row r="3983" spans="1:30" x14ac:dyDescent="0.35">
      <c r="A3983" s="4">
        <v>42606</v>
      </c>
      <c r="B3983" t="s">
        <v>30</v>
      </c>
      <c r="C3983">
        <v>703</v>
      </c>
      <c r="D3983">
        <v>7</v>
      </c>
      <c r="E3983">
        <v>2</v>
      </c>
      <c r="F3983" t="s">
        <v>42</v>
      </c>
      <c r="G3983" t="s">
        <v>32</v>
      </c>
      <c r="H3983" t="s">
        <v>33</v>
      </c>
      <c r="I3983" t="s">
        <v>55</v>
      </c>
      <c r="J3983" t="s">
        <v>66</v>
      </c>
      <c r="O3983" s="5"/>
      <c r="P3983" s="5"/>
    </row>
    <row r="3984" spans="1:30" x14ac:dyDescent="0.35">
      <c r="A3984" s="4">
        <v>42606</v>
      </c>
      <c r="B3984" t="s">
        <v>30</v>
      </c>
      <c r="C3984">
        <v>701</v>
      </c>
      <c r="D3984">
        <v>8</v>
      </c>
      <c r="E3984">
        <v>1</v>
      </c>
      <c r="F3984" t="s">
        <v>42</v>
      </c>
      <c r="G3984" t="s">
        <v>32</v>
      </c>
      <c r="H3984" t="s">
        <v>33</v>
      </c>
      <c r="I3984" t="s">
        <v>55</v>
      </c>
      <c r="J3984" t="s">
        <v>66</v>
      </c>
      <c r="O3984" s="5"/>
      <c r="P3984" s="5"/>
      <c r="AB3984" t="s">
        <v>47</v>
      </c>
      <c r="AC3984" t="s">
        <v>41</v>
      </c>
    </row>
    <row r="3985" spans="1:29" x14ac:dyDescent="0.35">
      <c r="A3985" s="4">
        <v>42606</v>
      </c>
      <c r="B3985" t="s">
        <v>30</v>
      </c>
      <c r="C3985">
        <v>801</v>
      </c>
      <c r="D3985">
        <v>10</v>
      </c>
      <c r="E3985">
        <v>1</v>
      </c>
      <c r="F3985" t="s">
        <v>42</v>
      </c>
      <c r="G3985" t="s">
        <v>32</v>
      </c>
      <c r="H3985" t="s">
        <v>33</v>
      </c>
      <c r="I3985" t="s">
        <v>55</v>
      </c>
      <c r="J3985" t="s">
        <v>66</v>
      </c>
      <c r="O3985" s="5"/>
      <c r="P3985" s="5"/>
      <c r="AB3985" t="s">
        <v>47</v>
      </c>
      <c r="AC3985" t="s">
        <v>41</v>
      </c>
    </row>
    <row r="3986" spans="1:29" x14ac:dyDescent="0.35">
      <c r="A3986" s="4">
        <v>42606</v>
      </c>
      <c r="B3986" t="s">
        <v>30</v>
      </c>
      <c r="C3986">
        <v>803</v>
      </c>
      <c r="D3986">
        <v>8</v>
      </c>
      <c r="E3986">
        <v>1</v>
      </c>
      <c r="F3986" t="s">
        <v>42</v>
      </c>
      <c r="G3986" t="s">
        <v>32</v>
      </c>
      <c r="H3986" t="s">
        <v>33</v>
      </c>
      <c r="I3986" t="s">
        <v>55</v>
      </c>
      <c r="J3986" t="s">
        <v>66</v>
      </c>
      <c r="O3986" s="5"/>
      <c r="P3986" s="5"/>
      <c r="AB3986" t="s">
        <v>47</v>
      </c>
      <c r="AC3986" t="s">
        <v>41</v>
      </c>
    </row>
    <row r="3987" spans="1:29" x14ac:dyDescent="0.35">
      <c r="A3987" s="4">
        <v>42606</v>
      </c>
      <c r="B3987" t="s">
        <v>30</v>
      </c>
      <c r="C3987">
        <v>803</v>
      </c>
      <c r="D3987">
        <v>8</v>
      </c>
      <c r="E3987">
        <v>2</v>
      </c>
      <c r="F3987" t="s">
        <v>42</v>
      </c>
      <c r="G3987" t="s">
        <v>32</v>
      </c>
      <c r="H3987" t="s">
        <v>33</v>
      </c>
      <c r="I3987" t="s">
        <v>55</v>
      </c>
      <c r="J3987" t="s">
        <v>66</v>
      </c>
      <c r="O3987" s="5"/>
      <c r="P3987" s="5"/>
      <c r="AB3987" t="s">
        <v>47</v>
      </c>
      <c r="AC3987" t="s">
        <v>41</v>
      </c>
    </row>
    <row r="3988" spans="1:29" x14ac:dyDescent="0.35">
      <c r="A3988" s="4">
        <v>42606</v>
      </c>
      <c r="B3988" t="s">
        <v>30</v>
      </c>
      <c r="C3988">
        <v>803</v>
      </c>
      <c r="D3988">
        <v>3</v>
      </c>
      <c r="E3988">
        <v>2</v>
      </c>
      <c r="F3988" t="s">
        <v>42</v>
      </c>
      <c r="G3988" t="s">
        <v>32</v>
      </c>
      <c r="H3988" t="s">
        <v>33</v>
      </c>
      <c r="I3988" t="s">
        <v>55</v>
      </c>
      <c r="J3988" t="s">
        <v>66</v>
      </c>
      <c r="O3988" s="5"/>
      <c r="P3988" s="5"/>
      <c r="AB3988" t="s">
        <v>47</v>
      </c>
      <c r="AC3988" t="s">
        <v>41</v>
      </c>
    </row>
    <row r="3989" spans="1:29" x14ac:dyDescent="0.35">
      <c r="A3989" s="4">
        <v>42606</v>
      </c>
      <c r="B3989" t="s">
        <v>30</v>
      </c>
      <c r="C3989">
        <v>503</v>
      </c>
      <c r="D3989">
        <v>7</v>
      </c>
      <c r="E3989">
        <v>1</v>
      </c>
      <c r="F3989" t="s">
        <v>315</v>
      </c>
      <c r="G3989" t="s">
        <v>32</v>
      </c>
      <c r="H3989" t="s">
        <v>33</v>
      </c>
      <c r="I3989" t="s">
        <v>72</v>
      </c>
      <c r="J3989" t="s">
        <v>123</v>
      </c>
      <c r="O3989" s="5"/>
      <c r="P3989" s="5"/>
    </row>
    <row r="3990" spans="1:29" x14ac:dyDescent="0.35">
      <c r="A3990" s="4">
        <v>42606</v>
      </c>
      <c r="B3990" t="s">
        <v>30</v>
      </c>
      <c r="C3990">
        <v>801</v>
      </c>
      <c r="D3990">
        <v>2</v>
      </c>
      <c r="E3990">
        <v>2</v>
      </c>
      <c r="F3990" t="s">
        <v>42</v>
      </c>
      <c r="G3990" t="s">
        <v>32</v>
      </c>
      <c r="H3990" t="s">
        <v>33</v>
      </c>
      <c r="I3990" t="s">
        <v>72</v>
      </c>
      <c r="J3990" t="s">
        <v>123</v>
      </c>
      <c r="O3990" s="5"/>
      <c r="P3990" s="5"/>
    </row>
    <row r="3991" spans="1:29" x14ac:dyDescent="0.35">
      <c r="A3991" s="4">
        <v>42606</v>
      </c>
      <c r="B3991" t="s">
        <v>30</v>
      </c>
      <c r="C3991">
        <v>801</v>
      </c>
      <c r="D3991">
        <v>5</v>
      </c>
      <c r="E3991">
        <v>2</v>
      </c>
      <c r="F3991" t="s">
        <v>42</v>
      </c>
      <c r="G3991" t="s">
        <v>32</v>
      </c>
      <c r="H3991" t="s">
        <v>33</v>
      </c>
      <c r="I3991" t="s">
        <v>72</v>
      </c>
      <c r="J3991" t="s">
        <v>66</v>
      </c>
      <c r="O3991" s="5"/>
      <c r="P3991" s="5"/>
    </row>
    <row r="3992" spans="1:29" x14ac:dyDescent="0.35">
      <c r="A3992" s="4">
        <v>42606</v>
      </c>
      <c r="B3992" t="s">
        <v>30</v>
      </c>
      <c r="C3992">
        <v>501</v>
      </c>
      <c r="D3992">
        <v>1</v>
      </c>
      <c r="E3992">
        <v>2</v>
      </c>
      <c r="F3992" t="s">
        <v>315</v>
      </c>
      <c r="G3992" t="s">
        <v>32</v>
      </c>
      <c r="H3992" t="s">
        <v>33</v>
      </c>
      <c r="I3992" t="s">
        <v>59</v>
      </c>
      <c r="O3992" s="5"/>
      <c r="P3992" s="5"/>
    </row>
    <row r="3993" spans="1:29" x14ac:dyDescent="0.35">
      <c r="A3993" s="4">
        <v>42606</v>
      </c>
      <c r="B3993" t="s">
        <v>30</v>
      </c>
      <c r="C3993">
        <v>501</v>
      </c>
      <c r="D3993">
        <v>2</v>
      </c>
      <c r="E3993">
        <v>1</v>
      </c>
      <c r="F3993" t="s">
        <v>315</v>
      </c>
      <c r="G3993" t="s">
        <v>32</v>
      </c>
      <c r="H3993" t="s">
        <v>33</v>
      </c>
      <c r="I3993" t="s">
        <v>59</v>
      </c>
      <c r="O3993" s="5"/>
      <c r="P3993" s="5"/>
    </row>
    <row r="3994" spans="1:29" x14ac:dyDescent="0.35">
      <c r="A3994" s="4">
        <v>42606</v>
      </c>
      <c r="B3994" t="s">
        <v>30</v>
      </c>
      <c r="C3994">
        <v>501</v>
      </c>
      <c r="D3994">
        <v>2</v>
      </c>
      <c r="E3994">
        <v>2</v>
      </c>
      <c r="F3994" t="s">
        <v>315</v>
      </c>
      <c r="G3994" t="s">
        <v>32</v>
      </c>
      <c r="H3994" t="s">
        <v>33</v>
      </c>
      <c r="I3994" t="s">
        <v>59</v>
      </c>
      <c r="O3994" s="5"/>
      <c r="P3994" s="5"/>
    </row>
    <row r="3995" spans="1:29" x14ac:dyDescent="0.35">
      <c r="A3995" s="4">
        <v>42606</v>
      </c>
      <c r="B3995" t="s">
        <v>30</v>
      </c>
      <c r="C3995">
        <v>501</v>
      </c>
      <c r="D3995">
        <v>5</v>
      </c>
      <c r="E3995">
        <v>1</v>
      </c>
      <c r="F3995" t="s">
        <v>315</v>
      </c>
      <c r="G3995" t="s">
        <v>32</v>
      </c>
      <c r="H3995" t="s">
        <v>33</v>
      </c>
      <c r="I3995" t="s">
        <v>59</v>
      </c>
      <c r="O3995" s="5"/>
      <c r="P3995" s="5"/>
    </row>
    <row r="3996" spans="1:29" x14ac:dyDescent="0.35">
      <c r="A3996" s="4">
        <v>42606</v>
      </c>
      <c r="B3996" t="s">
        <v>30</v>
      </c>
      <c r="C3996">
        <v>501</v>
      </c>
      <c r="D3996">
        <v>5</v>
      </c>
      <c r="E3996">
        <v>2</v>
      </c>
      <c r="F3996" t="s">
        <v>315</v>
      </c>
      <c r="G3996" t="s">
        <v>32</v>
      </c>
      <c r="H3996" t="s">
        <v>33</v>
      </c>
      <c r="I3996" t="s">
        <v>59</v>
      </c>
      <c r="O3996" s="5"/>
      <c r="P3996" s="5"/>
    </row>
    <row r="3997" spans="1:29" x14ac:dyDescent="0.35">
      <c r="A3997" s="4">
        <v>42606</v>
      </c>
      <c r="B3997" t="s">
        <v>30</v>
      </c>
      <c r="C3997">
        <v>501</v>
      </c>
      <c r="D3997">
        <v>6</v>
      </c>
      <c r="E3997">
        <v>1</v>
      </c>
      <c r="F3997" t="s">
        <v>315</v>
      </c>
      <c r="G3997" t="s">
        <v>32</v>
      </c>
      <c r="H3997" t="s">
        <v>33</v>
      </c>
      <c r="I3997" t="s">
        <v>59</v>
      </c>
      <c r="O3997" s="5"/>
      <c r="P3997" s="5"/>
    </row>
    <row r="3998" spans="1:29" x14ac:dyDescent="0.35">
      <c r="A3998" s="4">
        <v>42606</v>
      </c>
      <c r="B3998" t="s">
        <v>30</v>
      </c>
      <c r="C3998">
        <v>501</v>
      </c>
      <c r="D3998">
        <v>6</v>
      </c>
      <c r="E3998">
        <v>2</v>
      </c>
      <c r="F3998" t="s">
        <v>315</v>
      </c>
      <c r="G3998" t="s">
        <v>32</v>
      </c>
      <c r="H3998" t="s">
        <v>33</v>
      </c>
      <c r="I3998" t="s">
        <v>59</v>
      </c>
      <c r="O3998" s="5"/>
      <c r="P3998" s="5"/>
    </row>
    <row r="3999" spans="1:29" x14ac:dyDescent="0.35">
      <c r="A3999" s="4">
        <v>42606</v>
      </c>
      <c r="B3999" t="s">
        <v>30</v>
      </c>
      <c r="C3999">
        <v>501</v>
      </c>
      <c r="D3999">
        <v>7</v>
      </c>
      <c r="E3999">
        <v>1</v>
      </c>
      <c r="F3999" t="s">
        <v>315</v>
      </c>
      <c r="G3999" t="s">
        <v>32</v>
      </c>
      <c r="H3999" t="s">
        <v>33</v>
      </c>
      <c r="I3999" t="s">
        <v>59</v>
      </c>
      <c r="O3999" s="5"/>
      <c r="P3999" s="5"/>
    </row>
    <row r="4000" spans="1:29" x14ac:dyDescent="0.35">
      <c r="A4000" s="4">
        <v>42606</v>
      </c>
      <c r="B4000" t="s">
        <v>30</v>
      </c>
      <c r="C4000">
        <v>501</v>
      </c>
      <c r="D4000">
        <v>8</v>
      </c>
      <c r="E4000">
        <v>2</v>
      </c>
      <c r="F4000" t="s">
        <v>315</v>
      </c>
      <c r="G4000" t="s">
        <v>32</v>
      </c>
      <c r="H4000" t="s">
        <v>33</v>
      </c>
      <c r="I4000" t="s">
        <v>59</v>
      </c>
      <c r="O4000" s="5"/>
      <c r="P4000" s="5"/>
    </row>
    <row r="4001" spans="1:16" x14ac:dyDescent="0.35">
      <c r="A4001" s="4">
        <v>42606</v>
      </c>
      <c r="B4001" t="s">
        <v>30</v>
      </c>
      <c r="C4001">
        <v>501</v>
      </c>
      <c r="D4001">
        <v>9</v>
      </c>
      <c r="E4001">
        <v>1</v>
      </c>
      <c r="F4001" t="s">
        <v>315</v>
      </c>
      <c r="G4001" t="s">
        <v>32</v>
      </c>
      <c r="H4001" t="s">
        <v>33</v>
      </c>
      <c r="I4001" t="s">
        <v>59</v>
      </c>
      <c r="O4001" s="5"/>
      <c r="P4001" s="5"/>
    </row>
    <row r="4002" spans="1:16" x14ac:dyDescent="0.35">
      <c r="A4002" s="4">
        <v>42606</v>
      </c>
      <c r="B4002" t="s">
        <v>30</v>
      </c>
      <c r="C4002">
        <v>501</v>
      </c>
      <c r="D4002">
        <v>10</v>
      </c>
      <c r="E4002">
        <v>1</v>
      </c>
      <c r="F4002" t="s">
        <v>315</v>
      </c>
      <c r="G4002" t="s">
        <v>32</v>
      </c>
      <c r="H4002" t="s">
        <v>33</v>
      </c>
      <c r="I4002" t="s">
        <v>59</v>
      </c>
      <c r="O4002" s="5"/>
      <c r="P4002" s="5"/>
    </row>
    <row r="4003" spans="1:16" x14ac:dyDescent="0.35">
      <c r="A4003" s="4">
        <v>42606</v>
      </c>
      <c r="B4003" t="s">
        <v>30</v>
      </c>
      <c r="C4003">
        <v>503</v>
      </c>
      <c r="D4003">
        <v>2</v>
      </c>
      <c r="E4003">
        <v>2</v>
      </c>
      <c r="F4003" t="s">
        <v>315</v>
      </c>
      <c r="G4003" t="s">
        <v>32</v>
      </c>
      <c r="H4003" t="s">
        <v>33</v>
      </c>
      <c r="I4003" t="s">
        <v>59</v>
      </c>
      <c r="O4003" s="5"/>
      <c r="P4003" s="5"/>
    </row>
    <row r="4004" spans="1:16" x14ac:dyDescent="0.35">
      <c r="A4004" s="4">
        <v>42606</v>
      </c>
      <c r="B4004" t="s">
        <v>30</v>
      </c>
      <c r="C4004">
        <v>503</v>
      </c>
      <c r="D4004">
        <v>3</v>
      </c>
      <c r="E4004">
        <v>1</v>
      </c>
      <c r="F4004" t="s">
        <v>315</v>
      </c>
      <c r="G4004" t="s">
        <v>32</v>
      </c>
      <c r="H4004" t="s">
        <v>33</v>
      </c>
      <c r="I4004" t="s">
        <v>59</v>
      </c>
      <c r="O4004" s="5"/>
      <c r="P4004" s="5"/>
    </row>
    <row r="4005" spans="1:16" x14ac:dyDescent="0.35">
      <c r="A4005" s="4">
        <v>42606</v>
      </c>
      <c r="B4005" t="s">
        <v>30</v>
      </c>
      <c r="C4005">
        <v>503</v>
      </c>
      <c r="D4005">
        <v>4</v>
      </c>
      <c r="E4005">
        <v>1</v>
      </c>
      <c r="F4005" t="s">
        <v>315</v>
      </c>
      <c r="G4005" t="s">
        <v>32</v>
      </c>
      <c r="H4005" t="s">
        <v>33</v>
      </c>
      <c r="I4005" t="s">
        <v>59</v>
      </c>
      <c r="O4005" s="5"/>
      <c r="P4005" s="5"/>
    </row>
    <row r="4006" spans="1:16" x14ac:dyDescent="0.35">
      <c r="A4006" s="4">
        <v>42606</v>
      </c>
      <c r="B4006" t="s">
        <v>30</v>
      </c>
      <c r="C4006">
        <v>503</v>
      </c>
      <c r="D4006">
        <v>4</v>
      </c>
      <c r="E4006">
        <v>2</v>
      </c>
      <c r="F4006" t="s">
        <v>315</v>
      </c>
      <c r="G4006" t="s">
        <v>32</v>
      </c>
      <c r="H4006" t="s">
        <v>33</v>
      </c>
      <c r="I4006" t="s">
        <v>59</v>
      </c>
      <c r="O4006" s="5"/>
      <c r="P4006" s="5"/>
    </row>
    <row r="4007" spans="1:16" x14ac:dyDescent="0.35">
      <c r="A4007" s="4">
        <v>42606</v>
      </c>
      <c r="B4007" t="s">
        <v>30</v>
      </c>
      <c r="C4007">
        <v>503</v>
      </c>
      <c r="D4007">
        <v>5</v>
      </c>
      <c r="E4007">
        <v>1</v>
      </c>
      <c r="F4007" t="s">
        <v>315</v>
      </c>
      <c r="G4007" t="s">
        <v>32</v>
      </c>
      <c r="H4007" t="s">
        <v>33</v>
      </c>
      <c r="I4007" t="s">
        <v>59</v>
      </c>
      <c r="O4007" s="5"/>
      <c r="P4007" s="5"/>
    </row>
    <row r="4008" spans="1:16" x14ac:dyDescent="0.35">
      <c r="A4008" s="4">
        <v>42606</v>
      </c>
      <c r="B4008" t="s">
        <v>30</v>
      </c>
      <c r="C4008">
        <v>503</v>
      </c>
      <c r="D4008">
        <v>6</v>
      </c>
      <c r="E4008">
        <v>2</v>
      </c>
      <c r="F4008" t="s">
        <v>315</v>
      </c>
      <c r="G4008" t="s">
        <v>32</v>
      </c>
      <c r="H4008" t="s">
        <v>33</v>
      </c>
      <c r="I4008" t="s">
        <v>59</v>
      </c>
      <c r="O4008" s="5"/>
      <c r="P4008" s="5"/>
    </row>
    <row r="4009" spans="1:16" x14ac:dyDescent="0.35">
      <c r="A4009" s="4">
        <v>42606</v>
      </c>
      <c r="B4009" t="s">
        <v>30</v>
      </c>
      <c r="C4009">
        <v>503</v>
      </c>
      <c r="D4009">
        <v>9</v>
      </c>
      <c r="E4009">
        <v>2</v>
      </c>
      <c r="F4009" t="s">
        <v>315</v>
      </c>
      <c r="G4009" t="s">
        <v>32</v>
      </c>
      <c r="H4009" t="s">
        <v>33</v>
      </c>
      <c r="I4009" t="s">
        <v>59</v>
      </c>
      <c r="O4009" s="5"/>
      <c r="P4009" s="5"/>
    </row>
    <row r="4010" spans="1:16" x14ac:dyDescent="0.35">
      <c r="A4010" s="4">
        <v>42606</v>
      </c>
      <c r="B4010" t="s">
        <v>30</v>
      </c>
      <c r="C4010">
        <v>503</v>
      </c>
      <c r="D4010">
        <v>10</v>
      </c>
      <c r="E4010">
        <v>1</v>
      </c>
      <c r="F4010" t="s">
        <v>315</v>
      </c>
      <c r="G4010" t="s">
        <v>32</v>
      </c>
      <c r="H4010" t="s">
        <v>33</v>
      </c>
      <c r="I4010" t="s">
        <v>59</v>
      </c>
      <c r="O4010" s="5"/>
      <c r="P4010" s="5"/>
    </row>
    <row r="4011" spans="1:16" x14ac:dyDescent="0.35">
      <c r="A4011" s="4">
        <v>42606</v>
      </c>
      <c r="B4011" t="s">
        <v>30</v>
      </c>
      <c r="C4011">
        <v>303</v>
      </c>
      <c r="D4011">
        <v>1</v>
      </c>
      <c r="E4011">
        <v>1</v>
      </c>
      <c r="F4011" t="s">
        <v>315</v>
      </c>
      <c r="G4011" t="s">
        <v>32</v>
      </c>
      <c r="H4011" t="s">
        <v>33</v>
      </c>
      <c r="I4011" t="s">
        <v>59</v>
      </c>
      <c r="O4011" s="5"/>
      <c r="P4011" s="5"/>
    </row>
    <row r="4012" spans="1:16" x14ac:dyDescent="0.35">
      <c r="A4012" s="4">
        <v>42606</v>
      </c>
      <c r="B4012" t="s">
        <v>30</v>
      </c>
      <c r="C4012">
        <v>303</v>
      </c>
      <c r="D4012">
        <v>1</v>
      </c>
      <c r="E4012">
        <v>2</v>
      </c>
      <c r="F4012" t="s">
        <v>315</v>
      </c>
      <c r="G4012" t="s">
        <v>32</v>
      </c>
      <c r="H4012" t="s">
        <v>33</v>
      </c>
      <c r="I4012" t="s">
        <v>59</v>
      </c>
      <c r="O4012" s="5"/>
      <c r="P4012" s="5"/>
    </row>
    <row r="4013" spans="1:16" x14ac:dyDescent="0.35">
      <c r="A4013" s="4">
        <v>42606</v>
      </c>
      <c r="B4013" t="s">
        <v>30</v>
      </c>
      <c r="C4013">
        <v>303</v>
      </c>
      <c r="D4013">
        <v>2</v>
      </c>
      <c r="E4013">
        <v>1</v>
      </c>
      <c r="F4013" t="s">
        <v>315</v>
      </c>
      <c r="G4013" t="s">
        <v>32</v>
      </c>
      <c r="H4013" t="s">
        <v>33</v>
      </c>
      <c r="I4013" t="s">
        <v>59</v>
      </c>
      <c r="O4013" s="5"/>
      <c r="P4013" s="5"/>
    </row>
    <row r="4014" spans="1:16" x14ac:dyDescent="0.35">
      <c r="A4014" s="4">
        <v>42606</v>
      </c>
      <c r="B4014" t="s">
        <v>30</v>
      </c>
      <c r="C4014">
        <v>303</v>
      </c>
      <c r="D4014">
        <v>4</v>
      </c>
      <c r="E4014">
        <v>2</v>
      </c>
      <c r="F4014" t="s">
        <v>315</v>
      </c>
      <c r="G4014" t="s">
        <v>32</v>
      </c>
      <c r="H4014" t="s">
        <v>33</v>
      </c>
      <c r="I4014" t="s">
        <v>59</v>
      </c>
      <c r="O4014" s="5"/>
      <c r="P4014" s="5"/>
    </row>
    <row r="4015" spans="1:16" x14ac:dyDescent="0.35">
      <c r="A4015" s="4">
        <v>42606</v>
      </c>
      <c r="B4015" t="s">
        <v>30</v>
      </c>
      <c r="C4015">
        <v>303</v>
      </c>
      <c r="D4015">
        <v>5</v>
      </c>
      <c r="E4015">
        <v>1</v>
      </c>
      <c r="F4015" t="s">
        <v>315</v>
      </c>
      <c r="G4015" t="s">
        <v>32</v>
      </c>
      <c r="H4015" t="s">
        <v>33</v>
      </c>
      <c r="I4015" t="s">
        <v>59</v>
      </c>
      <c r="O4015" s="5"/>
      <c r="P4015" s="5"/>
    </row>
    <row r="4016" spans="1:16" x14ac:dyDescent="0.35">
      <c r="A4016" s="4">
        <v>42606</v>
      </c>
      <c r="B4016" t="s">
        <v>30</v>
      </c>
      <c r="C4016">
        <v>303</v>
      </c>
      <c r="D4016">
        <v>6</v>
      </c>
      <c r="E4016">
        <v>1</v>
      </c>
      <c r="F4016" t="s">
        <v>315</v>
      </c>
      <c r="G4016" t="s">
        <v>32</v>
      </c>
      <c r="H4016" t="s">
        <v>33</v>
      </c>
      <c r="I4016" t="s">
        <v>59</v>
      </c>
      <c r="O4016" s="5"/>
      <c r="P4016" s="5"/>
    </row>
    <row r="4017" spans="1:16" x14ac:dyDescent="0.35">
      <c r="A4017" s="4">
        <v>42606</v>
      </c>
      <c r="B4017" t="s">
        <v>30</v>
      </c>
      <c r="C4017">
        <v>303</v>
      </c>
      <c r="D4017">
        <v>6</v>
      </c>
      <c r="E4017">
        <v>2</v>
      </c>
      <c r="F4017" t="s">
        <v>315</v>
      </c>
      <c r="G4017" t="s">
        <v>32</v>
      </c>
      <c r="H4017" t="s">
        <v>33</v>
      </c>
      <c r="I4017" t="s">
        <v>59</v>
      </c>
      <c r="O4017" s="5"/>
      <c r="P4017" s="5"/>
    </row>
    <row r="4018" spans="1:16" x14ac:dyDescent="0.35">
      <c r="A4018" s="4">
        <v>42606</v>
      </c>
      <c r="B4018" t="s">
        <v>30</v>
      </c>
      <c r="C4018">
        <v>303</v>
      </c>
      <c r="D4018">
        <v>8</v>
      </c>
      <c r="E4018">
        <v>1</v>
      </c>
      <c r="F4018" t="s">
        <v>315</v>
      </c>
      <c r="G4018" t="s">
        <v>32</v>
      </c>
      <c r="H4018" t="s">
        <v>33</v>
      </c>
      <c r="I4018" t="s">
        <v>59</v>
      </c>
      <c r="O4018" s="5"/>
      <c r="P4018" s="5"/>
    </row>
    <row r="4019" spans="1:16" x14ac:dyDescent="0.35">
      <c r="A4019" s="4">
        <v>42606</v>
      </c>
      <c r="B4019" t="s">
        <v>30</v>
      </c>
      <c r="C4019">
        <v>303</v>
      </c>
      <c r="D4019">
        <v>8</v>
      </c>
      <c r="E4019">
        <v>2</v>
      </c>
      <c r="F4019" t="s">
        <v>315</v>
      </c>
      <c r="G4019" t="s">
        <v>32</v>
      </c>
      <c r="H4019" t="s">
        <v>33</v>
      </c>
      <c r="I4019" t="s">
        <v>59</v>
      </c>
      <c r="O4019" s="5"/>
      <c r="P4019" s="5"/>
    </row>
    <row r="4020" spans="1:16" x14ac:dyDescent="0.35">
      <c r="A4020" s="4">
        <v>42606</v>
      </c>
      <c r="B4020" t="s">
        <v>30</v>
      </c>
      <c r="C4020">
        <v>303</v>
      </c>
      <c r="D4020">
        <v>10</v>
      </c>
      <c r="E4020">
        <v>1</v>
      </c>
      <c r="F4020" t="s">
        <v>315</v>
      </c>
      <c r="G4020" t="s">
        <v>32</v>
      </c>
      <c r="H4020" t="s">
        <v>33</v>
      </c>
      <c r="I4020" t="s">
        <v>59</v>
      </c>
      <c r="O4020" s="5"/>
      <c r="P4020" s="5"/>
    </row>
    <row r="4021" spans="1:16" x14ac:dyDescent="0.35">
      <c r="A4021" s="4">
        <v>42606</v>
      </c>
      <c r="B4021" t="s">
        <v>30</v>
      </c>
      <c r="C4021">
        <v>401</v>
      </c>
      <c r="D4021">
        <v>2</v>
      </c>
      <c r="E4021">
        <v>1</v>
      </c>
      <c r="F4021" t="s">
        <v>315</v>
      </c>
      <c r="G4021" t="s">
        <v>32</v>
      </c>
      <c r="H4021" t="s">
        <v>33</v>
      </c>
      <c r="I4021" t="s">
        <v>59</v>
      </c>
      <c r="O4021" s="5"/>
      <c r="P4021" s="5"/>
    </row>
    <row r="4022" spans="1:16" x14ac:dyDescent="0.35">
      <c r="A4022" s="4">
        <v>42606</v>
      </c>
      <c r="B4022" t="s">
        <v>30</v>
      </c>
      <c r="C4022">
        <v>401</v>
      </c>
      <c r="D4022">
        <v>2</v>
      </c>
      <c r="E4022">
        <v>2</v>
      </c>
      <c r="F4022" t="s">
        <v>315</v>
      </c>
      <c r="G4022" t="s">
        <v>32</v>
      </c>
      <c r="H4022" t="s">
        <v>33</v>
      </c>
      <c r="I4022" t="s">
        <v>59</v>
      </c>
      <c r="O4022" s="5"/>
      <c r="P4022" s="5"/>
    </row>
    <row r="4023" spans="1:16" x14ac:dyDescent="0.35">
      <c r="A4023" s="4">
        <v>42606</v>
      </c>
      <c r="B4023" t="s">
        <v>30</v>
      </c>
      <c r="C4023">
        <v>401</v>
      </c>
      <c r="D4023">
        <v>6</v>
      </c>
      <c r="E4023">
        <v>2</v>
      </c>
      <c r="F4023" t="s">
        <v>315</v>
      </c>
      <c r="G4023" t="s">
        <v>32</v>
      </c>
      <c r="H4023" t="s">
        <v>33</v>
      </c>
      <c r="I4023" t="s">
        <v>59</v>
      </c>
      <c r="O4023" s="5"/>
      <c r="P4023" s="5"/>
    </row>
    <row r="4024" spans="1:16" x14ac:dyDescent="0.35">
      <c r="A4024" s="4">
        <v>42606</v>
      </c>
      <c r="B4024" t="s">
        <v>30</v>
      </c>
      <c r="C4024">
        <v>401</v>
      </c>
      <c r="D4024">
        <v>7</v>
      </c>
      <c r="E4024">
        <v>1</v>
      </c>
      <c r="F4024" t="s">
        <v>315</v>
      </c>
      <c r="G4024" t="s">
        <v>32</v>
      </c>
      <c r="H4024" t="s">
        <v>33</v>
      </c>
      <c r="I4024" t="s">
        <v>59</v>
      </c>
      <c r="O4024" s="5"/>
      <c r="P4024" s="5"/>
    </row>
    <row r="4025" spans="1:16" x14ac:dyDescent="0.35">
      <c r="A4025" s="4">
        <v>42606</v>
      </c>
      <c r="B4025" t="s">
        <v>30</v>
      </c>
      <c r="C4025">
        <v>401</v>
      </c>
      <c r="D4025">
        <v>8</v>
      </c>
      <c r="E4025">
        <v>1</v>
      </c>
      <c r="F4025" t="s">
        <v>315</v>
      </c>
      <c r="G4025" t="s">
        <v>32</v>
      </c>
      <c r="H4025" t="s">
        <v>33</v>
      </c>
      <c r="I4025" t="s">
        <v>59</v>
      </c>
      <c r="O4025" s="5"/>
      <c r="P4025" s="5"/>
    </row>
    <row r="4026" spans="1:16" x14ac:dyDescent="0.35">
      <c r="A4026" s="4">
        <v>42606</v>
      </c>
      <c r="B4026" t="s">
        <v>30</v>
      </c>
      <c r="C4026">
        <v>401</v>
      </c>
      <c r="D4026">
        <v>9</v>
      </c>
      <c r="E4026">
        <v>1</v>
      </c>
      <c r="F4026" t="s">
        <v>315</v>
      </c>
      <c r="G4026" t="s">
        <v>32</v>
      </c>
      <c r="H4026" t="s">
        <v>33</v>
      </c>
      <c r="I4026" t="s">
        <v>59</v>
      </c>
      <c r="O4026" s="5"/>
      <c r="P4026" s="5"/>
    </row>
    <row r="4027" spans="1:16" x14ac:dyDescent="0.35">
      <c r="A4027" s="4">
        <v>42606</v>
      </c>
      <c r="B4027" t="s">
        <v>30</v>
      </c>
      <c r="C4027">
        <v>401</v>
      </c>
      <c r="D4027">
        <v>9</v>
      </c>
      <c r="E4027">
        <v>2</v>
      </c>
      <c r="F4027" t="s">
        <v>315</v>
      </c>
      <c r="G4027" t="s">
        <v>32</v>
      </c>
      <c r="H4027" t="s">
        <v>33</v>
      </c>
      <c r="I4027" t="s">
        <v>59</v>
      </c>
      <c r="O4027" s="5"/>
      <c r="P4027" s="5"/>
    </row>
    <row r="4028" spans="1:16" x14ac:dyDescent="0.35">
      <c r="A4028" s="4">
        <v>42606</v>
      </c>
      <c r="B4028" t="s">
        <v>30</v>
      </c>
      <c r="C4028">
        <v>703</v>
      </c>
      <c r="D4028">
        <v>1</v>
      </c>
      <c r="E4028">
        <v>1</v>
      </c>
      <c r="F4028" t="s">
        <v>42</v>
      </c>
      <c r="G4028" t="s">
        <v>32</v>
      </c>
      <c r="H4028" t="s">
        <v>33</v>
      </c>
      <c r="I4028" t="s">
        <v>59</v>
      </c>
      <c r="O4028" s="5"/>
      <c r="P4028" s="5"/>
    </row>
    <row r="4029" spans="1:16" x14ac:dyDescent="0.35">
      <c r="A4029" s="4">
        <v>42606</v>
      </c>
      <c r="B4029" t="s">
        <v>30</v>
      </c>
      <c r="C4029">
        <v>703</v>
      </c>
      <c r="D4029">
        <v>2</v>
      </c>
      <c r="E4029">
        <v>2</v>
      </c>
      <c r="F4029" t="s">
        <v>42</v>
      </c>
      <c r="G4029" t="s">
        <v>32</v>
      </c>
      <c r="H4029" t="s">
        <v>33</v>
      </c>
      <c r="I4029" t="s">
        <v>59</v>
      </c>
      <c r="O4029" s="5"/>
      <c r="P4029" s="5"/>
    </row>
    <row r="4030" spans="1:16" x14ac:dyDescent="0.35">
      <c r="A4030" s="4">
        <v>42606</v>
      </c>
      <c r="B4030" t="s">
        <v>30</v>
      </c>
      <c r="C4030">
        <v>703</v>
      </c>
      <c r="D4030">
        <v>3</v>
      </c>
      <c r="E4030">
        <v>1</v>
      </c>
      <c r="F4030" t="s">
        <v>42</v>
      </c>
      <c r="G4030" t="s">
        <v>32</v>
      </c>
      <c r="H4030" t="s">
        <v>33</v>
      </c>
      <c r="I4030" t="s">
        <v>59</v>
      </c>
      <c r="O4030" s="5"/>
      <c r="P4030" s="5"/>
    </row>
    <row r="4031" spans="1:16" x14ac:dyDescent="0.35">
      <c r="A4031" s="4">
        <v>42606</v>
      </c>
      <c r="B4031" t="s">
        <v>30</v>
      </c>
      <c r="C4031">
        <v>703</v>
      </c>
      <c r="D4031">
        <v>4</v>
      </c>
      <c r="E4031">
        <v>1</v>
      </c>
      <c r="F4031" t="s">
        <v>42</v>
      </c>
      <c r="G4031" t="s">
        <v>32</v>
      </c>
      <c r="H4031" t="s">
        <v>33</v>
      </c>
      <c r="I4031" t="s">
        <v>59</v>
      </c>
      <c r="O4031" s="5"/>
      <c r="P4031" s="5"/>
    </row>
    <row r="4032" spans="1:16" x14ac:dyDescent="0.35">
      <c r="A4032" s="4">
        <v>42606</v>
      </c>
      <c r="B4032" t="s">
        <v>30</v>
      </c>
      <c r="C4032">
        <v>703</v>
      </c>
      <c r="D4032">
        <v>4</v>
      </c>
      <c r="E4032">
        <v>2</v>
      </c>
      <c r="F4032" t="s">
        <v>42</v>
      </c>
      <c r="G4032" t="s">
        <v>32</v>
      </c>
      <c r="H4032" t="s">
        <v>33</v>
      </c>
      <c r="I4032" t="s">
        <v>59</v>
      </c>
      <c r="O4032" s="5"/>
      <c r="P4032" s="5"/>
    </row>
    <row r="4033" spans="1:16" x14ac:dyDescent="0.35">
      <c r="A4033" s="4">
        <v>42606</v>
      </c>
      <c r="B4033" t="s">
        <v>30</v>
      </c>
      <c r="C4033">
        <v>703</v>
      </c>
      <c r="D4033">
        <v>5</v>
      </c>
      <c r="E4033">
        <v>1</v>
      </c>
      <c r="F4033" t="s">
        <v>42</v>
      </c>
      <c r="G4033" t="s">
        <v>32</v>
      </c>
      <c r="H4033" t="s">
        <v>33</v>
      </c>
      <c r="I4033" t="s">
        <v>59</v>
      </c>
      <c r="O4033" s="5"/>
      <c r="P4033" s="5"/>
    </row>
    <row r="4034" spans="1:16" x14ac:dyDescent="0.35">
      <c r="A4034" s="4">
        <v>42606</v>
      </c>
      <c r="B4034" t="s">
        <v>30</v>
      </c>
      <c r="C4034">
        <v>703</v>
      </c>
      <c r="D4034">
        <v>8</v>
      </c>
      <c r="E4034">
        <v>1</v>
      </c>
      <c r="F4034" t="s">
        <v>42</v>
      </c>
      <c r="G4034" t="s">
        <v>32</v>
      </c>
      <c r="H4034" t="s">
        <v>33</v>
      </c>
      <c r="I4034" t="s">
        <v>59</v>
      </c>
      <c r="O4034" s="5"/>
      <c r="P4034" s="5"/>
    </row>
    <row r="4035" spans="1:16" x14ac:dyDescent="0.35">
      <c r="A4035" s="4">
        <v>42606</v>
      </c>
      <c r="B4035" t="s">
        <v>30</v>
      </c>
      <c r="C4035">
        <v>703</v>
      </c>
      <c r="D4035">
        <v>8</v>
      </c>
      <c r="E4035">
        <v>2</v>
      </c>
      <c r="F4035" t="s">
        <v>42</v>
      </c>
      <c r="G4035" t="s">
        <v>32</v>
      </c>
      <c r="H4035" t="s">
        <v>33</v>
      </c>
      <c r="I4035" t="s">
        <v>59</v>
      </c>
      <c r="O4035" s="5"/>
      <c r="P4035" s="5"/>
    </row>
    <row r="4036" spans="1:16" x14ac:dyDescent="0.35">
      <c r="A4036" s="4">
        <v>42606</v>
      </c>
      <c r="B4036" t="s">
        <v>30</v>
      </c>
      <c r="C4036">
        <v>703</v>
      </c>
      <c r="D4036">
        <v>10</v>
      </c>
      <c r="E4036">
        <v>1</v>
      </c>
      <c r="F4036" t="s">
        <v>42</v>
      </c>
      <c r="G4036" t="s">
        <v>32</v>
      </c>
      <c r="H4036" t="s">
        <v>33</v>
      </c>
      <c r="I4036" t="s">
        <v>59</v>
      </c>
      <c r="O4036" s="5"/>
      <c r="P4036" s="5"/>
    </row>
    <row r="4037" spans="1:16" x14ac:dyDescent="0.35">
      <c r="A4037" s="4">
        <v>42606</v>
      </c>
      <c r="B4037" t="s">
        <v>30</v>
      </c>
      <c r="C4037">
        <v>701</v>
      </c>
      <c r="D4037">
        <v>1</v>
      </c>
      <c r="E4037">
        <v>1</v>
      </c>
      <c r="F4037" t="s">
        <v>42</v>
      </c>
      <c r="G4037" t="s">
        <v>32</v>
      </c>
      <c r="H4037" t="s">
        <v>33</v>
      </c>
      <c r="I4037" t="s">
        <v>59</v>
      </c>
      <c r="O4037" s="5"/>
      <c r="P4037" s="5"/>
    </row>
    <row r="4038" spans="1:16" x14ac:dyDescent="0.35">
      <c r="A4038" s="4">
        <v>42606</v>
      </c>
      <c r="B4038" t="s">
        <v>30</v>
      </c>
      <c r="C4038">
        <v>701</v>
      </c>
      <c r="D4038">
        <v>1</v>
      </c>
      <c r="E4038">
        <v>2</v>
      </c>
      <c r="F4038" t="s">
        <v>42</v>
      </c>
      <c r="G4038" t="s">
        <v>32</v>
      </c>
      <c r="H4038" t="s">
        <v>33</v>
      </c>
      <c r="I4038" t="s">
        <v>59</v>
      </c>
      <c r="O4038" s="5"/>
      <c r="P4038" s="5"/>
    </row>
    <row r="4039" spans="1:16" x14ac:dyDescent="0.35">
      <c r="A4039" s="4">
        <v>42606</v>
      </c>
      <c r="B4039" t="s">
        <v>30</v>
      </c>
      <c r="C4039">
        <v>701</v>
      </c>
      <c r="D4039">
        <v>2</v>
      </c>
      <c r="E4039">
        <v>1</v>
      </c>
      <c r="F4039" t="s">
        <v>42</v>
      </c>
      <c r="G4039" t="s">
        <v>32</v>
      </c>
      <c r="H4039" t="s">
        <v>33</v>
      </c>
      <c r="I4039" t="s">
        <v>59</v>
      </c>
      <c r="O4039" s="5"/>
      <c r="P4039" s="5"/>
    </row>
    <row r="4040" spans="1:16" x14ac:dyDescent="0.35">
      <c r="A4040" s="4">
        <v>42606</v>
      </c>
      <c r="B4040" t="s">
        <v>30</v>
      </c>
      <c r="C4040">
        <v>701</v>
      </c>
      <c r="D4040">
        <v>3</v>
      </c>
      <c r="E4040">
        <v>1</v>
      </c>
      <c r="F4040" t="s">
        <v>42</v>
      </c>
      <c r="G4040" t="s">
        <v>32</v>
      </c>
      <c r="H4040" t="s">
        <v>33</v>
      </c>
      <c r="I4040" t="s">
        <v>59</v>
      </c>
      <c r="O4040" s="5"/>
      <c r="P4040" s="5"/>
    </row>
    <row r="4041" spans="1:16" x14ac:dyDescent="0.35">
      <c r="A4041" s="4">
        <v>42606</v>
      </c>
      <c r="B4041" t="s">
        <v>30</v>
      </c>
      <c r="C4041">
        <v>701</v>
      </c>
      <c r="D4041">
        <v>6</v>
      </c>
      <c r="E4041">
        <v>1</v>
      </c>
      <c r="F4041" t="s">
        <v>42</v>
      </c>
      <c r="G4041" t="s">
        <v>32</v>
      </c>
      <c r="H4041" t="s">
        <v>33</v>
      </c>
      <c r="I4041" t="s">
        <v>59</v>
      </c>
      <c r="O4041" s="5"/>
      <c r="P4041" s="5"/>
    </row>
    <row r="4042" spans="1:16" x14ac:dyDescent="0.35">
      <c r="A4042" s="4">
        <v>42606</v>
      </c>
      <c r="B4042" t="s">
        <v>30</v>
      </c>
      <c r="C4042">
        <v>701</v>
      </c>
      <c r="D4042">
        <v>6</v>
      </c>
      <c r="E4042">
        <v>2</v>
      </c>
      <c r="F4042" t="s">
        <v>42</v>
      </c>
      <c r="G4042" t="s">
        <v>32</v>
      </c>
      <c r="H4042" t="s">
        <v>33</v>
      </c>
      <c r="I4042" t="s">
        <v>59</v>
      </c>
      <c r="O4042" s="5"/>
      <c r="P4042" s="5"/>
    </row>
    <row r="4043" spans="1:16" x14ac:dyDescent="0.35">
      <c r="A4043" s="4">
        <v>42606</v>
      </c>
      <c r="B4043" t="s">
        <v>30</v>
      </c>
      <c r="C4043">
        <v>701</v>
      </c>
      <c r="D4043">
        <v>9</v>
      </c>
      <c r="E4043">
        <v>1</v>
      </c>
      <c r="F4043" t="s">
        <v>42</v>
      </c>
      <c r="G4043" t="s">
        <v>32</v>
      </c>
      <c r="H4043" t="s">
        <v>33</v>
      </c>
      <c r="I4043" t="s">
        <v>59</v>
      </c>
      <c r="O4043" s="5"/>
      <c r="P4043" s="5"/>
    </row>
    <row r="4044" spans="1:16" x14ac:dyDescent="0.35">
      <c r="A4044" s="4">
        <v>42606</v>
      </c>
      <c r="B4044" t="s">
        <v>30</v>
      </c>
      <c r="C4044">
        <v>801</v>
      </c>
      <c r="D4044">
        <v>1</v>
      </c>
      <c r="E4044">
        <v>1</v>
      </c>
      <c r="F4044" t="s">
        <v>42</v>
      </c>
      <c r="G4044" t="s">
        <v>32</v>
      </c>
      <c r="H4044" t="s">
        <v>33</v>
      </c>
      <c r="I4044" t="s">
        <v>59</v>
      </c>
      <c r="O4044" s="5"/>
      <c r="P4044" s="5"/>
    </row>
    <row r="4045" spans="1:16" x14ac:dyDescent="0.35">
      <c r="A4045" s="4">
        <v>42606</v>
      </c>
      <c r="B4045" t="s">
        <v>30</v>
      </c>
      <c r="C4045">
        <v>801</v>
      </c>
      <c r="D4045">
        <v>3</v>
      </c>
      <c r="E4045">
        <v>1</v>
      </c>
      <c r="F4045" t="s">
        <v>42</v>
      </c>
      <c r="G4045" t="s">
        <v>32</v>
      </c>
      <c r="H4045" t="s">
        <v>33</v>
      </c>
      <c r="I4045" t="s">
        <v>59</v>
      </c>
      <c r="O4045" s="5"/>
      <c r="P4045" s="5"/>
    </row>
    <row r="4046" spans="1:16" x14ac:dyDescent="0.35">
      <c r="A4046" s="4">
        <v>42606</v>
      </c>
      <c r="B4046" t="s">
        <v>30</v>
      </c>
      <c r="C4046">
        <v>801</v>
      </c>
      <c r="D4046">
        <v>4</v>
      </c>
      <c r="E4046">
        <v>2</v>
      </c>
      <c r="F4046" t="s">
        <v>42</v>
      </c>
      <c r="G4046" t="s">
        <v>32</v>
      </c>
      <c r="H4046" t="s">
        <v>33</v>
      </c>
      <c r="I4046" t="s">
        <v>59</v>
      </c>
      <c r="O4046" s="5"/>
      <c r="P4046" s="5"/>
    </row>
    <row r="4047" spans="1:16" x14ac:dyDescent="0.35">
      <c r="A4047" s="4">
        <v>42606</v>
      </c>
      <c r="B4047" t="s">
        <v>30</v>
      </c>
      <c r="C4047">
        <v>801</v>
      </c>
      <c r="D4047">
        <v>5</v>
      </c>
      <c r="E4047">
        <v>1</v>
      </c>
      <c r="F4047" t="s">
        <v>42</v>
      </c>
      <c r="G4047" t="s">
        <v>32</v>
      </c>
      <c r="H4047" t="s">
        <v>33</v>
      </c>
      <c r="I4047" t="s">
        <v>59</v>
      </c>
      <c r="O4047" s="5"/>
      <c r="P4047" s="5"/>
    </row>
    <row r="4048" spans="1:16" x14ac:dyDescent="0.35">
      <c r="A4048" s="4">
        <v>42606</v>
      </c>
      <c r="B4048" t="s">
        <v>30</v>
      </c>
      <c r="C4048">
        <v>801</v>
      </c>
      <c r="D4048">
        <v>7</v>
      </c>
      <c r="E4048">
        <v>1</v>
      </c>
      <c r="F4048" t="s">
        <v>42</v>
      </c>
      <c r="G4048" t="s">
        <v>32</v>
      </c>
      <c r="H4048" t="s">
        <v>33</v>
      </c>
      <c r="I4048" t="s">
        <v>59</v>
      </c>
      <c r="O4048" s="5"/>
      <c r="P4048" s="5"/>
    </row>
    <row r="4049" spans="1:30" x14ac:dyDescent="0.35">
      <c r="A4049" s="4">
        <v>42606</v>
      </c>
      <c r="B4049" t="s">
        <v>30</v>
      </c>
      <c r="C4049">
        <v>801</v>
      </c>
      <c r="D4049">
        <v>10</v>
      </c>
      <c r="E4049">
        <v>2</v>
      </c>
      <c r="F4049" t="s">
        <v>42</v>
      </c>
      <c r="G4049" t="s">
        <v>32</v>
      </c>
      <c r="H4049" t="s">
        <v>33</v>
      </c>
      <c r="I4049" t="s">
        <v>59</v>
      </c>
      <c r="O4049" s="5"/>
      <c r="P4049" s="5"/>
    </row>
    <row r="4050" spans="1:30" x14ac:dyDescent="0.35">
      <c r="A4050" s="4">
        <v>42606</v>
      </c>
      <c r="B4050" t="s">
        <v>30</v>
      </c>
      <c r="C4050">
        <v>803</v>
      </c>
      <c r="D4050">
        <v>10</v>
      </c>
      <c r="E4050">
        <v>1</v>
      </c>
      <c r="F4050" t="s">
        <v>42</v>
      </c>
      <c r="G4050" t="s">
        <v>32</v>
      </c>
      <c r="H4050" t="s">
        <v>33</v>
      </c>
      <c r="I4050" t="s">
        <v>59</v>
      </c>
      <c r="O4050" s="5"/>
      <c r="P4050" s="5"/>
    </row>
    <row r="4051" spans="1:30" x14ac:dyDescent="0.35">
      <c r="A4051" s="4">
        <v>42606</v>
      </c>
      <c r="B4051" t="s">
        <v>30</v>
      </c>
      <c r="C4051">
        <v>803</v>
      </c>
      <c r="D4051">
        <v>6</v>
      </c>
      <c r="E4051">
        <v>1</v>
      </c>
      <c r="F4051" t="s">
        <v>42</v>
      </c>
      <c r="G4051" t="s">
        <v>32</v>
      </c>
      <c r="H4051" t="s">
        <v>33</v>
      </c>
      <c r="I4051" t="s">
        <v>59</v>
      </c>
      <c r="O4051" s="5"/>
      <c r="P4051" s="5"/>
    </row>
    <row r="4052" spans="1:30" x14ac:dyDescent="0.35">
      <c r="A4052" s="4">
        <v>42606</v>
      </c>
      <c r="B4052" t="s">
        <v>30</v>
      </c>
      <c r="C4052">
        <v>803</v>
      </c>
      <c r="D4052">
        <v>4</v>
      </c>
      <c r="E4052">
        <v>1</v>
      </c>
      <c r="F4052" t="s">
        <v>42</v>
      </c>
      <c r="G4052" t="s">
        <v>32</v>
      </c>
      <c r="H4052" t="s">
        <v>33</v>
      </c>
      <c r="I4052" t="s">
        <v>59</v>
      </c>
      <c r="O4052" s="5"/>
      <c r="P4052" s="5"/>
    </row>
    <row r="4053" spans="1:30" x14ac:dyDescent="0.35">
      <c r="A4053" s="4">
        <v>42606</v>
      </c>
      <c r="B4053" t="s">
        <v>30</v>
      </c>
      <c r="C4053">
        <v>803</v>
      </c>
      <c r="D4053">
        <v>4</v>
      </c>
      <c r="E4053">
        <v>2</v>
      </c>
      <c r="F4053" t="s">
        <v>42</v>
      </c>
      <c r="G4053" t="s">
        <v>32</v>
      </c>
      <c r="H4053" t="s">
        <v>33</v>
      </c>
      <c r="I4053" t="s">
        <v>59</v>
      </c>
      <c r="O4053" s="5"/>
      <c r="P4053" s="5"/>
    </row>
    <row r="4054" spans="1:30" x14ac:dyDescent="0.35">
      <c r="A4054" s="4">
        <v>42606</v>
      </c>
      <c r="B4054" t="s">
        <v>30</v>
      </c>
      <c r="C4054">
        <v>803</v>
      </c>
      <c r="D4054">
        <v>3</v>
      </c>
      <c r="E4054">
        <v>1</v>
      </c>
      <c r="F4054" t="s">
        <v>42</v>
      </c>
      <c r="G4054" t="s">
        <v>32</v>
      </c>
      <c r="H4054" t="s">
        <v>33</v>
      </c>
      <c r="I4054" t="s">
        <v>59</v>
      </c>
      <c r="O4054" s="5"/>
      <c r="P4054" s="5"/>
    </row>
    <row r="4055" spans="1:30" x14ac:dyDescent="0.35">
      <c r="A4055" s="4">
        <v>42606</v>
      </c>
      <c r="B4055" t="s">
        <v>30</v>
      </c>
      <c r="C4055">
        <v>901</v>
      </c>
      <c r="D4055">
        <v>10</v>
      </c>
      <c r="E4055">
        <v>1</v>
      </c>
      <c r="F4055" t="s">
        <v>42</v>
      </c>
      <c r="G4055" t="s">
        <v>32</v>
      </c>
      <c r="H4055" t="s">
        <v>33</v>
      </c>
      <c r="I4055" t="s">
        <v>59</v>
      </c>
      <c r="O4055" s="5"/>
      <c r="P4055" s="5"/>
    </row>
    <row r="4056" spans="1:30" x14ac:dyDescent="0.35">
      <c r="A4056" s="4">
        <v>42606</v>
      </c>
      <c r="B4056" t="s">
        <v>30</v>
      </c>
      <c r="C4056">
        <v>901</v>
      </c>
      <c r="D4056">
        <v>7</v>
      </c>
      <c r="E4056">
        <v>2</v>
      </c>
      <c r="F4056" t="s">
        <v>42</v>
      </c>
      <c r="G4056" t="s">
        <v>32</v>
      </c>
      <c r="H4056" t="s">
        <v>33</v>
      </c>
      <c r="I4056" t="s">
        <v>59</v>
      </c>
      <c r="O4056" s="5"/>
      <c r="P4056" s="5"/>
    </row>
    <row r="4057" spans="1:30" x14ac:dyDescent="0.35">
      <c r="A4057" s="4">
        <v>42606</v>
      </c>
      <c r="B4057" t="s">
        <v>30</v>
      </c>
      <c r="C4057">
        <v>901</v>
      </c>
      <c r="D4057">
        <v>1</v>
      </c>
      <c r="E4057">
        <v>1</v>
      </c>
      <c r="F4057" t="s">
        <v>42</v>
      </c>
      <c r="G4057" t="s">
        <v>32</v>
      </c>
      <c r="H4057" t="s">
        <v>33</v>
      </c>
      <c r="I4057" t="s">
        <v>59</v>
      </c>
      <c r="O4057" s="5"/>
      <c r="P4057" s="5"/>
    </row>
    <row r="4058" spans="1:30" x14ac:dyDescent="0.35">
      <c r="A4058" s="4">
        <v>42606</v>
      </c>
      <c r="B4058" t="s">
        <v>30</v>
      </c>
      <c r="C4058">
        <v>901</v>
      </c>
      <c r="D4058">
        <v>1</v>
      </c>
      <c r="E4058">
        <v>1</v>
      </c>
      <c r="F4058" t="s">
        <v>42</v>
      </c>
      <c r="G4058" t="s">
        <v>32</v>
      </c>
      <c r="H4058" t="s">
        <v>33</v>
      </c>
      <c r="I4058" t="s">
        <v>59</v>
      </c>
      <c r="O4058" s="5"/>
      <c r="P4058" s="5"/>
    </row>
    <row r="4059" spans="1:30" x14ac:dyDescent="0.35">
      <c r="A4059" s="4">
        <v>42606</v>
      </c>
      <c r="B4059" t="s">
        <v>30</v>
      </c>
      <c r="C4059">
        <v>401</v>
      </c>
      <c r="D4059">
        <v>10</v>
      </c>
      <c r="E4059">
        <v>1</v>
      </c>
      <c r="F4059" t="s">
        <v>315</v>
      </c>
      <c r="G4059" t="s">
        <v>32</v>
      </c>
      <c r="H4059" t="s">
        <v>33</v>
      </c>
      <c r="I4059" t="s">
        <v>94</v>
      </c>
      <c r="J4059" t="s">
        <v>44</v>
      </c>
      <c r="K4059" t="s">
        <v>36</v>
      </c>
      <c r="L4059" t="s">
        <v>45</v>
      </c>
      <c r="M4059">
        <v>0</v>
      </c>
      <c r="N4059">
        <v>0</v>
      </c>
      <c r="O4059" s="5" t="s">
        <v>955</v>
      </c>
      <c r="P4059" s="5"/>
      <c r="Q4059">
        <f>34-13</f>
        <v>21</v>
      </c>
      <c r="R4059" t="s">
        <v>46</v>
      </c>
      <c r="S4059" t="s">
        <v>39</v>
      </c>
      <c r="T4059">
        <v>29</v>
      </c>
      <c r="W4059">
        <v>13.2</v>
      </c>
      <c r="X4059">
        <v>25.5</v>
      </c>
      <c r="Z4059" t="s">
        <v>39</v>
      </c>
      <c r="AB4059" t="s">
        <v>60</v>
      </c>
      <c r="AC4059" t="s">
        <v>87</v>
      </c>
      <c r="AD4059" t="s">
        <v>725</v>
      </c>
    </row>
    <row r="4060" spans="1:30" x14ac:dyDescent="0.35">
      <c r="A4060" s="4">
        <v>42606</v>
      </c>
      <c r="B4060" t="s">
        <v>30</v>
      </c>
      <c r="C4060">
        <v>501</v>
      </c>
      <c r="D4060">
        <v>7</v>
      </c>
      <c r="E4060">
        <v>2</v>
      </c>
      <c r="F4060" t="s">
        <v>315</v>
      </c>
      <c r="G4060" t="s">
        <v>32</v>
      </c>
      <c r="H4060" t="s">
        <v>33</v>
      </c>
      <c r="I4060" t="s">
        <v>94</v>
      </c>
      <c r="J4060" t="s">
        <v>35</v>
      </c>
      <c r="K4060" t="s">
        <v>113</v>
      </c>
      <c r="L4060" t="s">
        <v>37</v>
      </c>
      <c r="M4060">
        <v>0</v>
      </c>
      <c r="N4060">
        <v>1</v>
      </c>
      <c r="O4060" s="5" t="s">
        <v>1016</v>
      </c>
      <c r="P4060" s="5"/>
      <c r="Q4060">
        <f>31.5-13</f>
        <v>18.5</v>
      </c>
      <c r="R4060" t="s">
        <v>64</v>
      </c>
      <c r="T4060">
        <v>29</v>
      </c>
      <c r="W4060">
        <v>13</v>
      </c>
      <c r="X4060">
        <v>24.8</v>
      </c>
      <c r="Z4060" t="s">
        <v>102</v>
      </c>
      <c r="AA4060" t="s">
        <v>201</v>
      </c>
      <c r="AB4060" t="s">
        <v>60</v>
      </c>
      <c r="AC4060" t="s">
        <v>87</v>
      </c>
      <c r="AD4060" t="s">
        <v>807</v>
      </c>
    </row>
    <row r="4061" spans="1:30" x14ac:dyDescent="0.35">
      <c r="A4061" s="4">
        <v>42606</v>
      </c>
      <c r="B4061" t="s">
        <v>30</v>
      </c>
      <c r="C4061">
        <v>803</v>
      </c>
      <c r="D4061">
        <v>9</v>
      </c>
      <c r="E4061">
        <v>1</v>
      </c>
      <c r="F4061" t="s">
        <v>42</v>
      </c>
      <c r="G4061" t="s">
        <v>32</v>
      </c>
      <c r="H4061" t="s">
        <v>33</v>
      </c>
      <c r="I4061" t="s">
        <v>94</v>
      </c>
      <c r="J4061" t="s">
        <v>35</v>
      </c>
      <c r="K4061" t="s">
        <v>36</v>
      </c>
      <c r="L4061" t="s">
        <v>37</v>
      </c>
      <c r="M4061">
        <v>0</v>
      </c>
      <c r="N4061">
        <v>1</v>
      </c>
      <c r="O4061" s="5" t="s">
        <v>1017</v>
      </c>
      <c r="P4061" s="5"/>
      <c r="Q4061">
        <f>34-14</f>
        <v>20</v>
      </c>
      <c r="R4061" t="s">
        <v>64</v>
      </c>
      <c r="T4061">
        <v>29</v>
      </c>
      <c r="W4061">
        <v>13.1</v>
      </c>
      <c r="X4061">
        <v>22.5</v>
      </c>
      <c r="AB4061" t="s">
        <v>47</v>
      </c>
      <c r="AC4061" t="s">
        <v>41</v>
      </c>
    </row>
    <row r="4062" spans="1:30" x14ac:dyDescent="0.35">
      <c r="A4062" s="4">
        <v>42606</v>
      </c>
      <c r="B4062" t="s">
        <v>30</v>
      </c>
      <c r="C4062">
        <v>801</v>
      </c>
      <c r="D4062">
        <v>3</v>
      </c>
      <c r="E4062">
        <v>2</v>
      </c>
      <c r="F4062" t="s">
        <v>42</v>
      </c>
      <c r="G4062" t="s">
        <v>32</v>
      </c>
      <c r="H4062" t="s">
        <v>33</v>
      </c>
      <c r="I4062" t="s">
        <v>94</v>
      </c>
      <c r="J4062" t="s">
        <v>35</v>
      </c>
      <c r="K4062" t="s">
        <v>36</v>
      </c>
      <c r="L4062" t="s">
        <v>37</v>
      </c>
      <c r="M4062">
        <v>0</v>
      </c>
      <c r="N4062">
        <v>1</v>
      </c>
      <c r="O4062" s="5" t="s">
        <v>1018</v>
      </c>
      <c r="P4062" s="5"/>
      <c r="Q4062">
        <f>33-13.5</f>
        <v>19.5</v>
      </c>
      <c r="R4062" t="s">
        <v>64</v>
      </c>
      <c r="T4062">
        <v>27</v>
      </c>
      <c r="W4062">
        <v>12.4</v>
      </c>
      <c r="X4062">
        <v>25.2</v>
      </c>
      <c r="AB4062" t="s">
        <v>47</v>
      </c>
      <c r="AC4062" t="s">
        <v>41</v>
      </c>
    </row>
    <row r="4063" spans="1:30" x14ac:dyDescent="0.35">
      <c r="A4063" s="4">
        <v>42606</v>
      </c>
      <c r="B4063" t="s">
        <v>30</v>
      </c>
      <c r="C4063">
        <v>701</v>
      </c>
      <c r="D4063">
        <v>5</v>
      </c>
      <c r="E4063">
        <v>1</v>
      </c>
      <c r="F4063" t="s">
        <v>42</v>
      </c>
      <c r="G4063" t="s">
        <v>32</v>
      </c>
      <c r="H4063" t="s">
        <v>33</v>
      </c>
      <c r="I4063" t="s">
        <v>94</v>
      </c>
      <c r="J4063" t="s">
        <v>44</v>
      </c>
      <c r="K4063" t="s">
        <v>36</v>
      </c>
      <c r="L4063" t="s">
        <v>37</v>
      </c>
      <c r="M4063">
        <v>0</v>
      </c>
      <c r="N4063">
        <v>0</v>
      </c>
      <c r="O4063" s="5" t="s">
        <v>947</v>
      </c>
      <c r="P4063" s="5"/>
      <c r="Q4063">
        <f>34.5-13</f>
        <v>21.5</v>
      </c>
      <c r="R4063" t="s">
        <v>64</v>
      </c>
      <c r="T4063">
        <v>30</v>
      </c>
      <c r="W4063">
        <v>12.6</v>
      </c>
      <c r="X4063">
        <v>26</v>
      </c>
      <c r="Z4063" t="s">
        <v>102</v>
      </c>
      <c r="AB4063" t="s">
        <v>47</v>
      </c>
      <c r="AC4063" t="s">
        <v>41</v>
      </c>
    </row>
    <row r="4064" spans="1:30" x14ac:dyDescent="0.35">
      <c r="A4064" s="4">
        <v>42606</v>
      </c>
      <c r="B4064" t="s">
        <v>30</v>
      </c>
      <c r="C4064">
        <v>801</v>
      </c>
      <c r="D4064">
        <v>9</v>
      </c>
      <c r="E4064">
        <v>1</v>
      </c>
      <c r="F4064" t="s">
        <v>42</v>
      </c>
      <c r="G4064" t="s">
        <v>32</v>
      </c>
      <c r="H4064" t="s">
        <v>33</v>
      </c>
      <c r="I4064" t="s">
        <v>94</v>
      </c>
      <c r="J4064" t="s">
        <v>44</v>
      </c>
      <c r="K4064" t="s">
        <v>36</v>
      </c>
      <c r="L4064" t="s">
        <v>37</v>
      </c>
      <c r="M4064">
        <v>0</v>
      </c>
      <c r="N4064">
        <v>0</v>
      </c>
      <c r="O4064" s="5" t="s">
        <v>664</v>
      </c>
      <c r="P4064" s="5"/>
      <c r="Q4064">
        <f>38-13</f>
        <v>25</v>
      </c>
      <c r="R4064" t="s">
        <v>64</v>
      </c>
      <c r="T4064">
        <v>30</v>
      </c>
      <c r="W4064">
        <v>13.75</v>
      </c>
      <c r="X4064">
        <v>26.9</v>
      </c>
      <c r="AB4064" t="s">
        <v>47</v>
      </c>
      <c r="AC4064" t="s">
        <v>41</v>
      </c>
    </row>
    <row r="4065" spans="1:30" x14ac:dyDescent="0.35">
      <c r="A4065" s="4">
        <v>42606</v>
      </c>
      <c r="B4065" t="s">
        <v>30</v>
      </c>
      <c r="C4065">
        <v>803</v>
      </c>
      <c r="D4065">
        <v>5</v>
      </c>
      <c r="E4065">
        <v>1</v>
      </c>
      <c r="F4065" t="s">
        <v>42</v>
      </c>
      <c r="G4065" t="s">
        <v>32</v>
      </c>
      <c r="H4065" t="s">
        <v>33</v>
      </c>
      <c r="I4065" t="s">
        <v>94</v>
      </c>
      <c r="J4065" t="s">
        <v>44</v>
      </c>
      <c r="K4065" t="s">
        <v>36</v>
      </c>
      <c r="L4065" t="s">
        <v>45</v>
      </c>
      <c r="M4065">
        <v>0</v>
      </c>
      <c r="N4065">
        <v>0</v>
      </c>
      <c r="O4065" s="5" t="s">
        <v>609</v>
      </c>
      <c r="P4065" s="5"/>
      <c r="Q4065">
        <f>36-16</f>
        <v>20</v>
      </c>
      <c r="R4065" t="s">
        <v>64</v>
      </c>
      <c r="S4065" t="s">
        <v>39</v>
      </c>
      <c r="T4065">
        <v>28</v>
      </c>
      <c r="W4065">
        <v>13.05</v>
      </c>
      <c r="X4065">
        <v>25.2</v>
      </c>
      <c r="AB4065" t="s">
        <v>47</v>
      </c>
      <c r="AC4065" t="s">
        <v>41</v>
      </c>
    </row>
    <row r="4066" spans="1:30" x14ac:dyDescent="0.35">
      <c r="A4066" s="4">
        <v>42606</v>
      </c>
      <c r="B4066" t="s">
        <v>30</v>
      </c>
      <c r="C4066">
        <v>501</v>
      </c>
      <c r="D4066">
        <v>8</v>
      </c>
      <c r="E4066">
        <v>1</v>
      </c>
      <c r="F4066" t="s">
        <v>315</v>
      </c>
      <c r="G4066" t="s">
        <v>32</v>
      </c>
      <c r="H4066" t="s">
        <v>33</v>
      </c>
      <c r="I4066" t="s">
        <v>94</v>
      </c>
      <c r="J4066" t="s">
        <v>44</v>
      </c>
      <c r="K4066" t="s">
        <v>36</v>
      </c>
      <c r="L4066" t="s">
        <v>45</v>
      </c>
      <c r="M4066">
        <v>0</v>
      </c>
      <c r="N4066">
        <v>0</v>
      </c>
      <c r="O4066" s="5"/>
      <c r="P4066" s="5" t="s">
        <v>1019</v>
      </c>
      <c r="Q4066">
        <f>35-13</f>
        <v>22</v>
      </c>
      <c r="R4066" t="s">
        <v>46</v>
      </c>
      <c r="S4066" t="s">
        <v>39</v>
      </c>
      <c r="T4066">
        <v>29</v>
      </c>
      <c r="W4066">
        <v>13</v>
      </c>
      <c r="X4066">
        <v>26</v>
      </c>
      <c r="Z4066" t="s">
        <v>102</v>
      </c>
      <c r="AA4066" t="s">
        <v>201</v>
      </c>
      <c r="AB4066" t="s">
        <v>60</v>
      </c>
      <c r="AC4066" t="s">
        <v>87</v>
      </c>
      <c r="AD4066" t="s">
        <v>1009</v>
      </c>
    </row>
    <row r="4067" spans="1:30" x14ac:dyDescent="0.35">
      <c r="A4067" s="4">
        <v>42606</v>
      </c>
      <c r="B4067" t="s">
        <v>30</v>
      </c>
      <c r="C4067">
        <v>401</v>
      </c>
      <c r="D4067">
        <v>5</v>
      </c>
      <c r="E4067">
        <v>1</v>
      </c>
      <c r="F4067" t="s">
        <v>315</v>
      </c>
      <c r="G4067" t="s">
        <v>32</v>
      </c>
      <c r="H4067" t="s">
        <v>33</v>
      </c>
      <c r="I4067" t="s">
        <v>94</v>
      </c>
      <c r="J4067" t="s">
        <v>44</v>
      </c>
      <c r="K4067" t="s">
        <v>113</v>
      </c>
      <c r="L4067" t="s">
        <v>45</v>
      </c>
      <c r="M4067">
        <v>0</v>
      </c>
      <c r="N4067">
        <v>0</v>
      </c>
      <c r="O4067" s="5"/>
      <c r="P4067" s="5" t="s">
        <v>984</v>
      </c>
      <c r="Q4067">
        <f>31-13</f>
        <v>18</v>
      </c>
      <c r="R4067" t="s">
        <v>46</v>
      </c>
      <c r="S4067" t="s">
        <v>39</v>
      </c>
      <c r="T4067">
        <v>28</v>
      </c>
      <c r="W4067">
        <v>13.1</v>
      </c>
      <c r="X4067">
        <v>26.3</v>
      </c>
      <c r="Z4067" t="s">
        <v>102</v>
      </c>
      <c r="AA4067" t="s">
        <v>201</v>
      </c>
      <c r="AB4067" t="s">
        <v>60</v>
      </c>
      <c r="AC4067" t="s">
        <v>87</v>
      </c>
      <c r="AD4067" t="s">
        <v>986</v>
      </c>
    </row>
    <row r="4068" spans="1:30" x14ac:dyDescent="0.35">
      <c r="A4068" s="7">
        <v>42927</v>
      </c>
      <c r="B4068" t="s">
        <v>30</v>
      </c>
      <c r="C4068">
        <v>303</v>
      </c>
      <c r="D4068">
        <v>1</v>
      </c>
      <c r="E4068">
        <v>1</v>
      </c>
      <c r="F4068" t="s">
        <v>1020</v>
      </c>
      <c r="G4068" t="s">
        <v>32</v>
      </c>
      <c r="H4068" t="s">
        <v>33</v>
      </c>
      <c r="I4068" t="s">
        <v>59</v>
      </c>
      <c r="AB4068" t="s">
        <v>60</v>
      </c>
      <c r="AC4068" t="s">
        <v>87</v>
      </c>
    </row>
    <row r="4069" spans="1:30" x14ac:dyDescent="0.35">
      <c r="A4069" s="7">
        <v>42927</v>
      </c>
      <c r="B4069" t="s">
        <v>30</v>
      </c>
      <c r="C4069">
        <v>303</v>
      </c>
      <c r="D4069">
        <v>1</v>
      </c>
      <c r="E4069">
        <v>2</v>
      </c>
      <c r="F4069" t="s">
        <v>1020</v>
      </c>
      <c r="G4069" t="s">
        <v>32</v>
      </c>
      <c r="H4069" t="s">
        <v>33</v>
      </c>
      <c r="I4069" t="s">
        <v>59</v>
      </c>
      <c r="AB4069" t="s">
        <v>60</v>
      </c>
      <c r="AC4069" t="s">
        <v>87</v>
      </c>
    </row>
    <row r="4070" spans="1:30" x14ac:dyDescent="0.35">
      <c r="A4070" s="7">
        <v>42927</v>
      </c>
      <c r="B4070" t="s">
        <v>30</v>
      </c>
      <c r="C4070">
        <v>303</v>
      </c>
      <c r="D4070">
        <v>2</v>
      </c>
      <c r="E4070">
        <v>1</v>
      </c>
      <c r="F4070" t="s">
        <v>1020</v>
      </c>
      <c r="G4070" t="s">
        <v>32</v>
      </c>
      <c r="H4070" t="s">
        <v>33</v>
      </c>
      <c r="I4070" t="s">
        <v>59</v>
      </c>
      <c r="AB4070" t="s">
        <v>60</v>
      </c>
      <c r="AC4070" t="s">
        <v>87</v>
      </c>
    </row>
    <row r="4071" spans="1:30" x14ac:dyDescent="0.35">
      <c r="A4071" s="7">
        <v>42927</v>
      </c>
      <c r="B4071" t="s">
        <v>30</v>
      </c>
      <c r="C4071">
        <v>303</v>
      </c>
      <c r="D4071">
        <v>3</v>
      </c>
      <c r="E4071">
        <v>1</v>
      </c>
      <c r="F4071" t="s">
        <v>1020</v>
      </c>
      <c r="G4071" t="s">
        <v>32</v>
      </c>
      <c r="H4071" t="s">
        <v>33</v>
      </c>
      <c r="I4071" t="s">
        <v>59</v>
      </c>
      <c r="AB4071" t="s">
        <v>60</v>
      </c>
      <c r="AC4071" t="s">
        <v>87</v>
      </c>
    </row>
    <row r="4072" spans="1:30" x14ac:dyDescent="0.35">
      <c r="A4072" s="7">
        <v>42927</v>
      </c>
      <c r="B4072" t="s">
        <v>30</v>
      </c>
      <c r="C4072">
        <v>303</v>
      </c>
      <c r="D4072">
        <v>3</v>
      </c>
      <c r="E4072">
        <v>2</v>
      </c>
      <c r="F4072" t="s">
        <v>1020</v>
      </c>
      <c r="G4072" t="s">
        <v>32</v>
      </c>
      <c r="H4072" t="s">
        <v>33</v>
      </c>
      <c r="I4072" t="s">
        <v>59</v>
      </c>
      <c r="AB4072" t="s">
        <v>60</v>
      </c>
      <c r="AC4072" t="s">
        <v>87</v>
      </c>
    </row>
    <row r="4073" spans="1:30" x14ac:dyDescent="0.35">
      <c r="A4073" s="7">
        <v>42927</v>
      </c>
      <c r="B4073" t="s">
        <v>30</v>
      </c>
      <c r="C4073">
        <v>303</v>
      </c>
      <c r="D4073">
        <v>4</v>
      </c>
      <c r="E4073">
        <v>1</v>
      </c>
      <c r="F4073" t="s">
        <v>1020</v>
      </c>
      <c r="G4073" t="s">
        <v>32</v>
      </c>
      <c r="H4073" t="s">
        <v>33</v>
      </c>
      <c r="I4073" t="s">
        <v>43</v>
      </c>
      <c r="J4073" t="s">
        <v>35</v>
      </c>
      <c r="K4073" t="s">
        <v>113</v>
      </c>
      <c r="L4073" t="s">
        <v>37</v>
      </c>
      <c r="M4073">
        <v>0</v>
      </c>
      <c r="N4073">
        <v>1</v>
      </c>
      <c r="O4073">
        <v>39318</v>
      </c>
      <c r="P4073">
        <v>39319</v>
      </c>
      <c r="Q4073">
        <f>31-15</f>
        <v>16</v>
      </c>
      <c r="R4073" t="s">
        <v>38</v>
      </c>
      <c r="AB4073" t="s">
        <v>60</v>
      </c>
      <c r="AC4073" t="s">
        <v>87</v>
      </c>
    </row>
    <row r="4074" spans="1:30" x14ac:dyDescent="0.35">
      <c r="A4074" s="7">
        <v>42927</v>
      </c>
      <c r="B4074" t="s">
        <v>30</v>
      </c>
      <c r="C4074">
        <v>303</v>
      </c>
      <c r="D4074">
        <v>5</v>
      </c>
      <c r="E4074">
        <v>1</v>
      </c>
      <c r="F4074" t="s">
        <v>1020</v>
      </c>
      <c r="G4074" t="s">
        <v>32</v>
      </c>
      <c r="H4074" t="s">
        <v>33</v>
      </c>
      <c r="I4074" t="s">
        <v>59</v>
      </c>
      <c r="AB4074" t="s">
        <v>60</v>
      </c>
      <c r="AC4074" t="s">
        <v>87</v>
      </c>
    </row>
    <row r="4075" spans="1:30" x14ac:dyDescent="0.35">
      <c r="A4075" s="7">
        <v>42927</v>
      </c>
      <c r="B4075" t="s">
        <v>30</v>
      </c>
      <c r="C4075">
        <v>303</v>
      </c>
      <c r="D4075">
        <v>5</v>
      </c>
      <c r="E4075">
        <v>2</v>
      </c>
      <c r="F4075" t="s">
        <v>1020</v>
      </c>
      <c r="G4075" t="s">
        <v>32</v>
      </c>
      <c r="H4075" t="s">
        <v>33</v>
      </c>
      <c r="I4075" t="s">
        <v>59</v>
      </c>
      <c r="AB4075" t="s">
        <v>60</v>
      </c>
      <c r="AC4075" t="s">
        <v>87</v>
      </c>
    </row>
    <row r="4076" spans="1:30" x14ac:dyDescent="0.35">
      <c r="A4076" s="7">
        <v>42927</v>
      </c>
      <c r="B4076" t="s">
        <v>30</v>
      </c>
      <c r="C4076">
        <v>303</v>
      </c>
      <c r="D4076">
        <v>6</v>
      </c>
      <c r="E4076">
        <v>1</v>
      </c>
      <c r="F4076" t="s">
        <v>1020</v>
      </c>
      <c r="G4076" t="s">
        <v>32</v>
      </c>
      <c r="H4076" t="s">
        <v>33</v>
      </c>
      <c r="I4076" t="s">
        <v>59</v>
      </c>
      <c r="AB4076" t="s">
        <v>60</v>
      </c>
      <c r="AC4076" t="s">
        <v>87</v>
      </c>
    </row>
    <row r="4077" spans="1:30" x14ac:dyDescent="0.35">
      <c r="A4077" s="7">
        <v>42927</v>
      </c>
      <c r="B4077" t="s">
        <v>30</v>
      </c>
      <c r="C4077">
        <v>303</v>
      </c>
      <c r="D4077">
        <v>6</v>
      </c>
      <c r="E4077">
        <v>2</v>
      </c>
      <c r="F4077" t="s">
        <v>1020</v>
      </c>
      <c r="G4077" t="s">
        <v>32</v>
      </c>
      <c r="H4077" t="s">
        <v>33</v>
      </c>
      <c r="I4077" t="s">
        <v>43</v>
      </c>
      <c r="J4077" t="s">
        <v>44</v>
      </c>
      <c r="K4077" t="s">
        <v>113</v>
      </c>
      <c r="L4077" t="s">
        <v>37</v>
      </c>
      <c r="M4077">
        <v>0</v>
      </c>
      <c r="N4077">
        <v>0</v>
      </c>
      <c r="O4077">
        <v>39191</v>
      </c>
      <c r="P4077">
        <v>39190</v>
      </c>
      <c r="Q4077">
        <f>31-14</f>
        <v>17</v>
      </c>
      <c r="R4077" t="s">
        <v>38</v>
      </c>
      <c r="AB4077" t="s">
        <v>60</v>
      </c>
      <c r="AC4077" t="s">
        <v>87</v>
      </c>
    </row>
    <row r="4078" spans="1:30" x14ac:dyDescent="0.35">
      <c r="A4078" s="7">
        <v>42927</v>
      </c>
      <c r="B4078" t="s">
        <v>30</v>
      </c>
      <c r="C4078">
        <v>303</v>
      </c>
      <c r="D4078">
        <v>7</v>
      </c>
      <c r="E4078">
        <v>1</v>
      </c>
      <c r="F4078" t="s">
        <v>1020</v>
      </c>
      <c r="G4078" t="s">
        <v>32</v>
      </c>
      <c r="H4078" t="s">
        <v>33</v>
      </c>
      <c r="I4078" t="s">
        <v>59</v>
      </c>
      <c r="AB4078" t="s">
        <v>60</v>
      </c>
      <c r="AC4078" t="s">
        <v>87</v>
      </c>
    </row>
    <row r="4079" spans="1:30" x14ac:dyDescent="0.35">
      <c r="A4079" s="7">
        <v>42927</v>
      </c>
      <c r="B4079" t="s">
        <v>30</v>
      </c>
      <c r="C4079">
        <v>303</v>
      </c>
      <c r="D4079">
        <v>7</v>
      </c>
      <c r="E4079">
        <v>2</v>
      </c>
      <c r="F4079" t="s">
        <v>1020</v>
      </c>
      <c r="G4079" t="s">
        <v>32</v>
      </c>
      <c r="H4079" t="s">
        <v>33</v>
      </c>
      <c r="I4079" t="s">
        <v>59</v>
      </c>
      <c r="AB4079" t="s">
        <v>60</v>
      </c>
      <c r="AC4079" t="s">
        <v>87</v>
      </c>
    </row>
    <row r="4080" spans="1:30" x14ac:dyDescent="0.35">
      <c r="A4080" s="7">
        <v>42927</v>
      </c>
      <c r="B4080" t="s">
        <v>30</v>
      </c>
      <c r="C4080">
        <v>303</v>
      </c>
      <c r="D4080">
        <v>8</v>
      </c>
      <c r="E4080">
        <v>1</v>
      </c>
      <c r="F4080" t="s">
        <v>1020</v>
      </c>
      <c r="G4080" t="s">
        <v>32</v>
      </c>
      <c r="H4080" t="s">
        <v>33</v>
      </c>
      <c r="I4080" t="s">
        <v>59</v>
      </c>
      <c r="AB4080" t="s">
        <v>60</v>
      </c>
      <c r="AC4080" t="s">
        <v>87</v>
      </c>
    </row>
    <row r="4081" spans="1:30" x14ac:dyDescent="0.35">
      <c r="A4081" s="7">
        <v>42927</v>
      </c>
      <c r="B4081" t="s">
        <v>30</v>
      </c>
      <c r="C4081">
        <v>303</v>
      </c>
      <c r="D4081">
        <v>8</v>
      </c>
      <c r="E4081">
        <v>2</v>
      </c>
      <c r="F4081" t="s">
        <v>1020</v>
      </c>
      <c r="G4081" t="s">
        <v>32</v>
      </c>
      <c r="H4081" t="s">
        <v>33</v>
      </c>
      <c r="I4081" t="s">
        <v>59</v>
      </c>
      <c r="AB4081" t="s">
        <v>60</v>
      </c>
      <c r="AC4081" t="s">
        <v>87</v>
      </c>
    </row>
    <row r="4082" spans="1:30" x14ac:dyDescent="0.35">
      <c r="A4082" s="7">
        <v>42927</v>
      </c>
      <c r="B4082" t="s">
        <v>30</v>
      </c>
      <c r="C4082">
        <v>303</v>
      </c>
      <c r="D4082">
        <v>9</v>
      </c>
      <c r="E4082">
        <v>1</v>
      </c>
      <c r="F4082" t="s">
        <v>1020</v>
      </c>
      <c r="G4082" t="s">
        <v>32</v>
      </c>
      <c r="H4082" t="s">
        <v>33</v>
      </c>
      <c r="I4082" t="s">
        <v>59</v>
      </c>
      <c r="AB4082" t="s">
        <v>60</v>
      </c>
      <c r="AC4082" t="s">
        <v>87</v>
      </c>
    </row>
    <row r="4083" spans="1:30" x14ac:dyDescent="0.35">
      <c r="A4083" s="7">
        <v>42927</v>
      </c>
      <c r="B4083" t="s">
        <v>30</v>
      </c>
      <c r="C4083">
        <v>303</v>
      </c>
      <c r="D4083">
        <v>9</v>
      </c>
      <c r="E4083">
        <v>2</v>
      </c>
      <c r="F4083" t="s">
        <v>1020</v>
      </c>
      <c r="G4083" t="s">
        <v>32</v>
      </c>
      <c r="H4083" t="s">
        <v>33</v>
      </c>
      <c r="I4083" t="s">
        <v>43</v>
      </c>
      <c r="J4083" t="s">
        <v>44</v>
      </c>
      <c r="K4083" t="s">
        <v>113</v>
      </c>
      <c r="L4083" t="s">
        <v>45</v>
      </c>
      <c r="M4083">
        <v>0</v>
      </c>
      <c r="N4083">
        <v>0</v>
      </c>
      <c r="O4083">
        <v>38989</v>
      </c>
      <c r="P4083">
        <v>38988</v>
      </c>
      <c r="Q4083">
        <f>32-16</f>
        <v>16</v>
      </c>
      <c r="R4083" t="s">
        <v>46</v>
      </c>
      <c r="S4083" t="s">
        <v>39</v>
      </c>
      <c r="AB4083" t="s">
        <v>60</v>
      </c>
      <c r="AC4083" t="s">
        <v>87</v>
      </c>
    </row>
    <row r="4084" spans="1:30" x14ac:dyDescent="0.35">
      <c r="A4084" s="7">
        <v>42927</v>
      </c>
      <c r="B4084" t="s">
        <v>30</v>
      </c>
      <c r="C4084">
        <v>401</v>
      </c>
      <c r="D4084">
        <v>4</v>
      </c>
      <c r="E4084">
        <v>1</v>
      </c>
      <c r="F4084" t="s">
        <v>1020</v>
      </c>
      <c r="G4084" t="s">
        <v>32</v>
      </c>
      <c r="H4084" t="s">
        <v>33</v>
      </c>
      <c r="I4084" t="s">
        <v>58</v>
      </c>
      <c r="J4084" t="s">
        <v>139</v>
      </c>
      <c r="O4084">
        <v>38991</v>
      </c>
      <c r="AB4084" t="s">
        <v>60</v>
      </c>
      <c r="AC4084" t="s">
        <v>87</v>
      </c>
    </row>
    <row r="4085" spans="1:30" x14ac:dyDescent="0.35">
      <c r="A4085" s="7">
        <v>42927</v>
      </c>
      <c r="B4085" t="s">
        <v>30</v>
      </c>
      <c r="C4085">
        <v>401</v>
      </c>
      <c r="D4085">
        <v>4</v>
      </c>
      <c r="E4085">
        <v>2</v>
      </c>
      <c r="F4085" t="s">
        <v>1020</v>
      </c>
      <c r="G4085" t="s">
        <v>32</v>
      </c>
      <c r="H4085" t="s">
        <v>33</v>
      </c>
      <c r="I4085" t="s">
        <v>59</v>
      </c>
      <c r="AB4085" t="s">
        <v>60</v>
      </c>
      <c r="AC4085" t="s">
        <v>87</v>
      </c>
    </row>
    <row r="4086" spans="1:30" x14ac:dyDescent="0.35">
      <c r="A4086" s="7">
        <v>42927</v>
      </c>
      <c r="B4086" t="s">
        <v>30</v>
      </c>
      <c r="C4086">
        <v>401</v>
      </c>
      <c r="D4086">
        <v>5</v>
      </c>
      <c r="E4086">
        <v>1</v>
      </c>
      <c r="F4086" t="s">
        <v>1020</v>
      </c>
      <c r="G4086" t="s">
        <v>32</v>
      </c>
      <c r="H4086" t="s">
        <v>33</v>
      </c>
      <c r="I4086" t="s">
        <v>58</v>
      </c>
      <c r="J4086" t="s">
        <v>44</v>
      </c>
      <c r="K4086" t="s">
        <v>36</v>
      </c>
      <c r="L4086" t="s">
        <v>37</v>
      </c>
      <c r="M4086">
        <v>0</v>
      </c>
      <c r="N4086">
        <v>0</v>
      </c>
      <c r="O4086">
        <v>39195</v>
      </c>
      <c r="Q4086">
        <f>47-16</f>
        <v>31</v>
      </c>
      <c r="R4086" t="s">
        <v>38</v>
      </c>
      <c r="AB4086" t="s">
        <v>60</v>
      </c>
      <c r="AC4086" t="s">
        <v>87</v>
      </c>
    </row>
    <row r="4087" spans="1:30" x14ac:dyDescent="0.35">
      <c r="A4087" s="7">
        <v>42927</v>
      </c>
      <c r="B4087" t="s">
        <v>30</v>
      </c>
      <c r="C4087">
        <v>401</v>
      </c>
      <c r="D4087">
        <v>5</v>
      </c>
      <c r="E4087">
        <v>2</v>
      </c>
      <c r="F4087" t="s">
        <v>1020</v>
      </c>
      <c r="G4087" t="s">
        <v>32</v>
      </c>
      <c r="H4087" t="s">
        <v>33</v>
      </c>
      <c r="I4087" t="s">
        <v>65</v>
      </c>
      <c r="J4087" t="s">
        <v>44</v>
      </c>
      <c r="K4087" t="s">
        <v>36</v>
      </c>
      <c r="L4087" t="s">
        <v>45</v>
      </c>
      <c r="M4087">
        <v>0</v>
      </c>
      <c r="N4087">
        <v>0</v>
      </c>
      <c r="O4087">
        <v>2796</v>
      </c>
      <c r="Q4087">
        <f>285-90</f>
        <v>195</v>
      </c>
      <c r="R4087" t="s">
        <v>1021</v>
      </c>
      <c r="S4087" t="s">
        <v>102</v>
      </c>
      <c r="AB4087" t="s">
        <v>60</v>
      </c>
      <c r="AC4087" t="s">
        <v>87</v>
      </c>
    </row>
    <row r="4088" spans="1:30" x14ac:dyDescent="0.35">
      <c r="A4088" s="7">
        <v>42927</v>
      </c>
      <c r="B4088" t="s">
        <v>30</v>
      </c>
      <c r="C4088">
        <v>401</v>
      </c>
      <c r="D4088">
        <v>6</v>
      </c>
      <c r="E4088">
        <v>1</v>
      </c>
      <c r="F4088" t="s">
        <v>1020</v>
      </c>
      <c r="G4088" t="s">
        <v>32</v>
      </c>
      <c r="H4088" t="s">
        <v>33</v>
      </c>
      <c r="I4088" t="s">
        <v>59</v>
      </c>
      <c r="AB4088" t="s">
        <v>60</v>
      </c>
      <c r="AC4088" t="s">
        <v>87</v>
      </c>
    </row>
    <row r="4089" spans="1:30" x14ac:dyDescent="0.35">
      <c r="A4089" s="7">
        <v>42927</v>
      </c>
      <c r="B4089" t="s">
        <v>30</v>
      </c>
      <c r="C4089">
        <v>401</v>
      </c>
      <c r="D4089">
        <v>6</v>
      </c>
      <c r="E4089">
        <v>2</v>
      </c>
      <c r="F4089" t="s">
        <v>1020</v>
      </c>
      <c r="G4089" t="s">
        <v>32</v>
      </c>
      <c r="H4089" t="s">
        <v>33</v>
      </c>
      <c r="I4089" t="s">
        <v>59</v>
      </c>
      <c r="AB4089" t="s">
        <v>60</v>
      </c>
      <c r="AC4089" t="s">
        <v>87</v>
      </c>
    </row>
    <row r="4090" spans="1:30" x14ac:dyDescent="0.35">
      <c r="A4090" s="7">
        <v>42927</v>
      </c>
      <c r="B4090" t="s">
        <v>30</v>
      </c>
      <c r="C4090">
        <v>401</v>
      </c>
      <c r="D4090">
        <v>7</v>
      </c>
      <c r="E4090">
        <v>1</v>
      </c>
      <c r="F4090" t="s">
        <v>1020</v>
      </c>
      <c r="G4090" t="s">
        <v>32</v>
      </c>
      <c r="H4090" t="s">
        <v>33</v>
      </c>
      <c r="I4090" t="s">
        <v>59</v>
      </c>
      <c r="AB4090" t="s">
        <v>60</v>
      </c>
      <c r="AC4090" t="s">
        <v>87</v>
      </c>
    </row>
    <row r="4091" spans="1:30" x14ac:dyDescent="0.35">
      <c r="A4091" s="7">
        <v>42927</v>
      </c>
      <c r="B4091" t="s">
        <v>30</v>
      </c>
      <c r="C4091">
        <v>401</v>
      </c>
      <c r="D4091">
        <v>8</v>
      </c>
      <c r="E4091">
        <v>1</v>
      </c>
      <c r="F4091" t="s">
        <v>1020</v>
      </c>
      <c r="G4091" t="s">
        <v>32</v>
      </c>
      <c r="H4091" t="s">
        <v>33</v>
      </c>
      <c r="I4091" t="s">
        <v>59</v>
      </c>
      <c r="AB4091" t="s">
        <v>60</v>
      </c>
      <c r="AC4091" t="s">
        <v>87</v>
      </c>
    </row>
    <row r="4092" spans="1:30" x14ac:dyDescent="0.35">
      <c r="A4092" s="7">
        <v>42927</v>
      </c>
      <c r="B4092" t="s">
        <v>30</v>
      </c>
      <c r="C4092">
        <v>401</v>
      </c>
      <c r="D4092">
        <v>9</v>
      </c>
      <c r="E4092">
        <v>1</v>
      </c>
      <c r="F4092" t="s">
        <v>1020</v>
      </c>
      <c r="G4092" t="s">
        <v>32</v>
      </c>
      <c r="H4092" t="s">
        <v>33</v>
      </c>
      <c r="I4092" t="s">
        <v>59</v>
      </c>
      <c r="AB4092" t="s">
        <v>60</v>
      </c>
      <c r="AC4092" t="s">
        <v>87</v>
      </c>
    </row>
    <row r="4093" spans="1:30" x14ac:dyDescent="0.35">
      <c r="A4093" s="7">
        <v>42927</v>
      </c>
      <c r="B4093" t="s">
        <v>30</v>
      </c>
      <c r="C4093">
        <v>401</v>
      </c>
      <c r="D4093">
        <v>10</v>
      </c>
      <c r="E4093">
        <v>1</v>
      </c>
      <c r="F4093" t="s">
        <v>1020</v>
      </c>
      <c r="G4093" t="s">
        <v>32</v>
      </c>
      <c r="H4093" t="s">
        <v>33</v>
      </c>
      <c r="I4093" t="s">
        <v>59</v>
      </c>
      <c r="AB4093" t="s">
        <v>60</v>
      </c>
      <c r="AC4093" t="s">
        <v>87</v>
      </c>
    </row>
    <row r="4094" spans="1:30" x14ac:dyDescent="0.35">
      <c r="A4094" s="7">
        <v>42927</v>
      </c>
      <c r="B4094" t="s">
        <v>30</v>
      </c>
      <c r="C4094">
        <v>501</v>
      </c>
      <c r="D4094">
        <v>2</v>
      </c>
      <c r="E4094">
        <v>1</v>
      </c>
      <c r="F4094" t="s">
        <v>1020</v>
      </c>
      <c r="G4094" t="s">
        <v>32</v>
      </c>
      <c r="H4094" t="s">
        <v>33</v>
      </c>
      <c r="I4094" t="s">
        <v>59</v>
      </c>
      <c r="AB4094" t="s">
        <v>60</v>
      </c>
      <c r="AC4094" t="s">
        <v>87</v>
      </c>
    </row>
    <row r="4095" spans="1:30" x14ac:dyDescent="0.35">
      <c r="A4095" s="7">
        <v>42927</v>
      </c>
      <c r="B4095" t="s">
        <v>30</v>
      </c>
      <c r="C4095">
        <v>501</v>
      </c>
      <c r="D4095">
        <v>3</v>
      </c>
      <c r="E4095">
        <v>1</v>
      </c>
      <c r="F4095" t="s">
        <v>1020</v>
      </c>
      <c r="G4095" t="s">
        <v>32</v>
      </c>
      <c r="H4095" t="s">
        <v>33</v>
      </c>
      <c r="I4095" t="s">
        <v>43</v>
      </c>
      <c r="J4095" t="s">
        <v>35</v>
      </c>
      <c r="K4095" t="s">
        <v>36</v>
      </c>
      <c r="L4095" t="s">
        <v>37</v>
      </c>
      <c r="M4095">
        <v>0</v>
      </c>
      <c r="N4095">
        <v>1</v>
      </c>
      <c r="O4095">
        <v>39312</v>
      </c>
      <c r="P4095">
        <v>39313</v>
      </c>
      <c r="Q4095">
        <f>34-14</f>
        <v>20</v>
      </c>
      <c r="R4095" t="s">
        <v>38</v>
      </c>
      <c r="AB4095" t="s">
        <v>60</v>
      </c>
      <c r="AC4095" t="s">
        <v>87</v>
      </c>
      <c r="AD4095" t="s">
        <v>1022</v>
      </c>
    </row>
    <row r="4096" spans="1:30" x14ac:dyDescent="0.35">
      <c r="A4096" s="7">
        <v>42927</v>
      </c>
      <c r="B4096" t="s">
        <v>30</v>
      </c>
      <c r="C4096">
        <v>501</v>
      </c>
      <c r="D4096">
        <v>4</v>
      </c>
      <c r="E4096">
        <v>1</v>
      </c>
      <c r="F4096" t="s">
        <v>1020</v>
      </c>
      <c r="G4096" t="s">
        <v>32</v>
      </c>
      <c r="H4096" t="s">
        <v>33</v>
      </c>
      <c r="I4096" t="s">
        <v>59</v>
      </c>
      <c r="AB4096" t="s">
        <v>60</v>
      </c>
      <c r="AC4096" t="s">
        <v>87</v>
      </c>
    </row>
    <row r="4097" spans="1:30" x14ac:dyDescent="0.35">
      <c r="A4097" s="7">
        <v>42927</v>
      </c>
      <c r="B4097" t="s">
        <v>30</v>
      </c>
      <c r="C4097">
        <v>501</v>
      </c>
      <c r="D4097">
        <v>6</v>
      </c>
      <c r="E4097">
        <v>1</v>
      </c>
      <c r="F4097" t="s">
        <v>1020</v>
      </c>
      <c r="G4097" t="s">
        <v>32</v>
      </c>
      <c r="H4097" t="s">
        <v>33</v>
      </c>
      <c r="I4097" t="s">
        <v>59</v>
      </c>
      <c r="AB4097" t="s">
        <v>60</v>
      </c>
      <c r="AC4097" t="s">
        <v>87</v>
      </c>
    </row>
    <row r="4098" spans="1:30" x14ac:dyDescent="0.35">
      <c r="A4098" s="7">
        <v>42927</v>
      </c>
      <c r="B4098" t="s">
        <v>30</v>
      </c>
      <c r="C4098">
        <v>501</v>
      </c>
      <c r="D4098">
        <v>7</v>
      </c>
      <c r="E4098">
        <v>1</v>
      </c>
      <c r="F4098" t="s">
        <v>1020</v>
      </c>
      <c r="G4098" t="s">
        <v>32</v>
      </c>
      <c r="H4098" t="s">
        <v>33</v>
      </c>
      <c r="I4098" t="s">
        <v>59</v>
      </c>
      <c r="AB4098" t="s">
        <v>60</v>
      </c>
      <c r="AC4098" t="s">
        <v>87</v>
      </c>
    </row>
    <row r="4099" spans="1:30" x14ac:dyDescent="0.35">
      <c r="A4099" s="7">
        <v>42927</v>
      </c>
      <c r="B4099" t="s">
        <v>30</v>
      </c>
      <c r="C4099">
        <v>501</v>
      </c>
      <c r="D4099">
        <v>7</v>
      </c>
      <c r="E4099">
        <v>2</v>
      </c>
      <c r="F4099" t="s">
        <v>1020</v>
      </c>
      <c r="G4099" t="s">
        <v>32</v>
      </c>
      <c r="H4099" t="s">
        <v>33</v>
      </c>
      <c r="I4099" t="s">
        <v>59</v>
      </c>
      <c r="AB4099" t="s">
        <v>60</v>
      </c>
      <c r="AC4099" t="s">
        <v>87</v>
      </c>
    </row>
    <row r="4100" spans="1:30" x14ac:dyDescent="0.35">
      <c r="A4100" s="7">
        <v>42927</v>
      </c>
      <c r="B4100" t="s">
        <v>30</v>
      </c>
      <c r="C4100">
        <v>501</v>
      </c>
      <c r="D4100">
        <v>8</v>
      </c>
      <c r="E4100">
        <v>1</v>
      </c>
      <c r="F4100" t="s">
        <v>1020</v>
      </c>
      <c r="G4100" t="s">
        <v>32</v>
      </c>
      <c r="H4100" t="s">
        <v>33</v>
      </c>
      <c r="I4100" t="s">
        <v>59</v>
      </c>
      <c r="AB4100" t="s">
        <v>60</v>
      </c>
      <c r="AC4100" t="s">
        <v>87</v>
      </c>
    </row>
    <row r="4101" spans="1:30" x14ac:dyDescent="0.35">
      <c r="A4101" s="7">
        <v>42927</v>
      </c>
      <c r="B4101" t="s">
        <v>30</v>
      </c>
      <c r="C4101">
        <v>501</v>
      </c>
      <c r="D4101">
        <v>8</v>
      </c>
      <c r="E4101">
        <v>2</v>
      </c>
      <c r="F4101" t="s">
        <v>1020</v>
      </c>
      <c r="G4101" t="s">
        <v>32</v>
      </c>
      <c r="H4101" t="s">
        <v>33</v>
      </c>
      <c r="I4101" t="s">
        <v>59</v>
      </c>
      <c r="AB4101" t="s">
        <v>60</v>
      </c>
      <c r="AC4101" t="s">
        <v>87</v>
      </c>
    </row>
    <row r="4102" spans="1:30" x14ac:dyDescent="0.35">
      <c r="A4102" s="7">
        <v>42927</v>
      </c>
      <c r="B4102" t="s">
        <v>30</v>
      </c>
      <c r="C4102">
        <v>501</v>
      </c>
      <c r="D4102">
        <v>9</v>
      </c>
      <c r="E4102">
        <v>1</v>
      </c>
      <c r="F4102" t="s">
        <v>1020</v>
      </c>
      <c r="G4102" t="s">
        <v>32</v>
      </c>
      <c r="H4102" t="s">
        <v>33</v>
      </c>
      <c r="I4102" t="s">
        <v>59</v>
      </c>
      <c r="AB4102" t="s">
        <v>60</v>
      </c>
      <c r="AC4102" t="s">
        <v>87</v>
      </c>
    </row>
    <row r="4103" spans="1:30" x14ac:dyDescent="0.35">
      <c r="A4103" s="7">
        <v>42927</v>
      </c>
      <c r="B4103" t="s">
        <v>30</v>
      </c>
      <c r="C4103">
        <v>503</v>
      </c>
      <c r="D4103">
        <v>5</v>
      </c>
      <c r="E4103">
        <v>1</v>
      </c>
      <c r="F4103" t="s">
        <v>1020</v>
      </c>
      <c r="G4103" t="s">
        <v>32</v>
      </c>
      <c r="H4103" t="s">
        <v>33</v>
      </c>
      <c r="I4103" t="s">
        <v>59</v>
      </c>
      <c r="AB4103" t="s">
        <v>60</v>
      </c>
      <c r="AC4103" t="s">
        <v>87</v>
      </c>
    </row>
    <row r="4104" spans="1:30" x14ac:dyDescent="0.35">
      <c r="A4104" s="7">
        <v>42927</v>
      </c>
      <c r="B4104" t="s">
        <v>30</v>
      </c>
      <c r="C4104">
        <v>503</v>
      </c>
      <c r="D4104">
        <v>6</v>
      </c>
      <c r="E4104">
        <v>1</v>
      </c>
      <c r="F4104" t="s">
        <v>1020</v>
      </c>
      <c r="G4104" t="s">
        <v>32</v>
      </c>
      <c r="H4104" t="s">
        <v>33</v>
      </c>
      <c r="I4104" t="s">
        <v>59</v>
      </c>
      <c r="AB4104" t="s">
        <v>60</v>
      </c>
      <c r="AC4104" t="s">
        <v>87</v>
      </c>
    </row>
    <row r="4105" spans="1:30" x14ac:dyDescent="0.35">
      <c r="A4105" s="7">
        <v>42927</v>
      </c>
      <c r="B4105" t="s">
        <v>30</v>
      </c>
      <c r="C4105">
        <v>503</v>
      </c>
      <c r="D4105">
        <v>6</v>
      </c>
      <c r="E4105">
        <v>2</v>
      </c>
      <c r="F4105" t="s">
        <v>1020</v>
      </c>
      <c r="G4105" t="s">
        <v>32</v>
      </c>
      <c r="H4105" t="s">
        <v>33</v>
      </c>
      <c r="I4105" t="s">
        <v>84</v>
      </c>
      <c r="AB4105" t="s">
        <v>60</v>
      </c>
      <c r="AC4105" t="s">
        <v>87</v>
      </c>
    </row>
    <row r="4106" spans="1:30" x14ac:dyDescent="0.35">
      <c r="A4106" s="7">
        <v>42927</v>
      </c>
      <c r="B4106" t="s">
        <v>30</v>
      </c>
      <c r="C4106">
        <v>503</v>
      </c>
      <c r="D4106">
        <v>7</v>
      </c>
      <c r="E4106">
        <v>1</v>
      </c>
      <c r="F4106" t="s">
        <v>1020</v>
      </c>
      <c r="G4106" t="s">
        <v>32</v>
      </c>
      <c r="H4106" t="s">
        <v>33</v>
      </c>
      <c r="I4106" t="s">
        <v>59</v>
      </c>
      <c r="AB4106" t="s">
        <v>60</v>
      </c>
      <c r="AC4106" t="s">
        <v>87</v>
      </c>
    </row>
    <row r="4107" spans="1:30" x14ac:dyDescent="0.35">
      <c r="A4107" s="7">
        <v>42927</v>
      </c>
      <c r="B4107" t="s">
        <v>30</v>
      </c>
      <c r="C4107">
        <v>503</v>
      </c>
      <c r="D4107">
        <v>7</v>
      </c>
      <c r="E4107">
        <v>2</v>
      </c>
      <c r="F4107" t="s">
        <v>1020</v>
      </c>
      <c r="G4107" t="s">
        <v>32</v>
      </c>
      <c r="H4107" t="s">
        <v>33</v>
      </c>
      <c r="I4107" t="s">
        <v>59</v>
      </c>
      <c r="AB4107" t="s">
        <v>60</v>
      </c>
      <c r="AC4107" t="s">
        <v>87</v>
      </c>
    </row>
    <row r="4108" spans="1:30" x14ac:dyDescent="0.35">
      <c r="A4108" s="7">
        <v>42927</v>
      </c>
      <c r="B4108" t="s">
        <v>30</v>
      </c>
      <c r="C4108">
        <v>503</v>
      </c>
      <c r="D4108">
        <v>8</v>
      </c>
      <c r="E4108">
        <v>1</v>
      </c>
      <c r="F4108" t="s">
        <v>1020</v>
      </c>
      <c r="G4108" t="s">
        <v>32</v>
      </c>
      <c r="H4108" t="s">
        <v>33</v>
      </c>
      <c r="I4108" t="s">
        <v>59</v>
      </c>
      <c r="AB4108" t="s">
        <v>60</v>
      </c>
      <c r="AC4108" t="s">
        <v>87</v>
      </c>
    </row>
    <row r="4109" spans="1:30" x14ac:dyDescent="0.35">
      <c r="A4109" s="7">
        <v>42927</v>
      </c>
      <c r="B4109" t="s">
        <v>30</v>
      </c>
      <c r="C4109">
        <v>503</v>
      </c>
      <c r="D4109">
        <v>8</v>
      </c>
      <c r="E4109">
        <v>2</v>
      </c>
      <c r="F4109" t="s">
        <v>1020</v>
      </c>
      <c r="G4109" t="s">
        <v>32</v>
      </c>
      <c r="H4109" t="s">
        <v>33</v>
      </c>
      <c r="I4109" t="s">
        <v>59</v>
      </c>
      <c r="AB4109" t="s">
        <v>60</v>
      </c>
      <c r="AC4109" t="s">
        <v>87</v>
      </c>
    </row>
    <row r="4110" spans="1:30" x14ac:dyDescent="0.35">
      <c r="A4110" s="7">
        <v>42927</v>
      </c>
      <c r="B4110" t="s">
        <v>30</v>
      </c>
      <c r="C4110">
        <v>503</v>
      </c>
      <c r="D4110">
        <v>9</v>
      </c>
      <c r="E4110">
        <v>1</v>
      </c>
      <c r="F4110" t="s">
        <v>1020</v>
      </c>
      <c r="G4110" t="s">
        <v>32</v>
      </c>
      <c r="H4110" t="s">
        <v>33</v>
      </c>
      <c r="I4110" t="s">
        <v>43</v>
      </c>
      <c r="J4110" t="s">
        <v>35</v>
      </c>
      <c r="K4110" t="s">
        <v>113</v>
      </c>
      <c r="L4110" t="s">
        <v>45</v>
      </c>
      <c r="M4110">
        <v>0</v>
      </c>
      <c r="N4110">
        <v>1</v>
      </c>
      <c r="O4110">
        <v>39314</v>
      </c>
      <c r="P4110">
        <v>39315</v>
      </c>
      <c r="Q4110">
        <f>30-13</f>
        <v>17</v>
      </c>
      <c r="R4110" t="s">
        <v>46</v>
      </c>
      <c r="S4110" t="s">
        <v>39</v>
      </c>
      <c r="AB4110" t="s">
        <v>60</v>
      </c>
      <c r="AC4110" t="s">
        <v>87</v>
      </c>
    </row>
    <row r="4111" spans="1:30" x14ac:dyDescent="0.35">
      <c r="A4111" s="7">
        <v>42927</v>
      </c>
      <c r="B4111" t="s">
        <v>30</v>
      </c>
      <c r="C4111">
        <v>503</v>
      </c>
      <c r="D4111">
        <v>9</v>
      </c>
      <c r="E4111">
        <v>2</v>
      </c>
      <c r="F4111" t="s">
        <v>1020</v>
      </c>
      <c r="G4111" t="s">
        <v>32</v>
      </c>
      <c r="H4111" t="s">
        <v>33</v>
      </c>
      <c r="I4111" t="s">
        <v>43</v>
      </c>
      <c r="J4111" t="s">
        <v>44</v>
      </c>
      <c r="K4111" t="s">
        <v>36</v>
      </c>
      <c r="L4111" t="s">
        <v>45</v>
      </c>
      <c r="M4111">
        <v>0</v>
      </c>
      <c r="N4111">
        <v>0</v>
      </c>
      <c r="O4111">
        <v>50984</v>
      </c>
      <c r="P4111">
        <v>50983</v>
      </c>
      <c r="Q4111">
        <f>32-14</f>
        <v>18</v>
      </c>
      <c r="R4111" t="s">
        <v>1021</v>
      </c>
      <c r="S4111" t="s">
        <v>102</v>
      </c>
      <c r="AB4111" t="s">
        <v>60</v>
      </c>
      <c r="AC4111" t="s">
        <v>87</v>
      </c>
    </row>
    <row r="4112" spans="1:30" x14ac:dyDescent="0.35">
      <c r="A4112" s="7">
        <v>42927</v>
      </c>
      <c r="B4112" t="s">
        <v>30</v>
      </c>
      <c r="C4112">
        <v>503</v>
      </c>
      <c r="D4112">
        <v>10</v>
      </c>
      <c r="E4112">
        <v>1</v>
      </c>
      <c r="F4112" t="s">
        <v>1020</v>
      </c>
      <c r="G4112" t="s">
        <v>32</v>
      </c>
      <c r="H4112" t="s">
        <v>33</v>
      </c>
      <c r="I4112" t="s">
        <v>43</v>
      </c>
      <c r="J4112" t="s">
        <v>35</v>
      </c>
      <c r="K4112" t="s">
        <v>113</v>
      </c>
      <c r="L4112" t="s">
        <v>37</v>
      </c>
      <c r="M4112">
        <v>0</v>
      </c>
      <c r="N4112">
        <v>1</v>
      </c>
      <c r="O4112">
        <v>39316</v>
      </c>
      <c r="P4112">
        <v>39317</v>
      </c>
      <c r="Q4112">
        <f>30-14</f>
        <v>16</v>
      </c>
      <c r="R4112" t="s">
        <v>38</v>
      </c>
      <c r="AB4112" t="s">
        <v>60</v>
      </c>
      <c r="AC4112" t="s">
        <v>87</v>
      </c>
      <c r="AD4112" t="s">
        <v>1023</v>
      </c>
    </row>
    <row r="4113" spans="1:30" x14ac:dyDescent="0.35">
      <c r="A4113" s="7">
        <v>42927</v>
      </c>
      <c r="B4113" t="s">
        <v>30</v>
      </c>
      <c r="C4113">
        <v>701</v>
      </c>
      <c r="D4113">
        <v>1</v>
      </c>
      <c r="E4113">
        <v>1</v>
      </c>
      <c r="F4113" t="s">
        <v>315</v>
      </c>
      <c r="G4113" t="s">
        <v>32</v>
      </c>
      <c r="H4113" t="s">
        <v>33</v>
      </c>
      <c r="I4113" t="s">
        <v>94</v>
      </c>
      <c r="J4113" t="s">
        <v>35</v>
      </c>
      <c r="K4113" t="s">
        <v>36</v>
      </c>
      <c r="L4113" t="s">
        <v>37</v>
      </c>
      <c r="M4113">
        <v>0</v>
      </c>
      <c r="N4113">
        <v>1</v>
      </c>
      <c r="O4113">
        <v>39773</v>
      </c>
      <c r="Q4113">
        <f>40-14</f>
        <v>26</v>
      </c>
      <c r="R4113" t="s">
        <v>38</v>
      </c>
      <c r="AB4113" t="s">
        <v>86</v>
      </c>
      <c r="AC4113" t="s">
        <v>87</v>
      </c>
    </row>
    <row r="4114" spans="1:30" x14ac:dyDescent="0.35">
      <c r="A4114" s="7">
        <v>42927</v>
      </c>
      <c r="B4114" t="s">
        <v>30</v>
      </c>
      <c r="C4114">
        <v>701</v>
      </c>
      <c r="D4114">
        <v>4</v>
      </c>
      <c r="E4114">
        <v>1</v>
      </c>
      <c r="F4114" t="s">
        <v>315</v>
      </c>
      <c r="G4114" t="s">
        <v>32</v>
      </c>
      <c r="H4114" t="s">
        <v>33</v>
      </c>
      <c r="I4114" t="s">
        <v>94</v>
      </c>
      <c r="J4114" t="s">
        <v>35</v>
      </c>
      <c r="K4114" t="s">
        <v>36</v>
      </c>
      <c r="L4114" t="s">
        <v>37</v>
      </c>
      <c r="M4114">
        <v>0</v>
      </c>
      <c r="N4114">
        <v>1</v>
      </c>
      <c r="P4114">
        <v>39772</v>
      </c>
      <c r="Q4114">
        <f>32.5-13</f>
        <v>19.5</v>
      </c>
      <c r="R4114" t="s">
        <v>38</v>
      </c>
      <c r="AB4114" t="s">
        <v>86</v>
      </c>
      <c r="AC4114" t="s">
        <v>87</v>
      </c>
      <c r="AD4114" t="s">
        <v>1024</v>
      </c>
    </row>
    <row r="4115" spans="1:30" x14ac:dyDescent="0.35">
      <c r="A4115" s="7">
        <v>42927</v>
      </c>
      <c r="B4115" t="s">
        <v>30</v>
      </c>
      <c r="C4115">
        <v>701</v>
      </c>
      <c r="D4115">
        <v>5</v>
      </c>
      <c r="E4115">
        <v>1</v>
      </c>
      <c r="F4115" t="s">
        <v>315</v>
      </c>
      <c r="G4115" t="s">
        <v>32</v>
      </c>
      <c r="H4115" t="s">
        <v>33</v>
      </c>
      <c r="I4115" t="s">
        <v>59</v>
      </c>
      <c r="AB4115" t="s">
        <v>86</v>
      </c>
      <c r="AC4115" t="s">
        <v>87</v>
      </c>
    </row>
    <row r="4116" spans="1:30" x14ac:dyDescent="0.35">
      <c r="A4116" s="7">
        <v>42927</v>
      </c>
      <c r="B4116" t="s">
        <v>30</v>
      </c>
      <c r="C4116">
        <v>701</v>
      </c>
      <c r="D4116">
        <v>5</v>
      </c>
      <c r="E4116">
        <v>2</v>
      </c>
      <c r="F4116" t="s">
        <v>315</v>
      </c>
      <c r="G4116" t="s">
        <v>32</v>
      </c>
      <c r="H4116" t="s">
        <v>33</v>
      </c>
      <c r="I4116" t="s">
        <v>43</v>
      </c>
      <c r="J4116" t="s">
        <v>35</v>
      </c>
      <c r="K4116" t="s">
        <v>36</v>
      </c>
      <c r="L4116" t="s">
        <v>45</v>
      </c>
      <c r="M4116">
        <v>0</v>
      </c>
      <c r="N4116">
        <v>1</v>
      </c>
      <c r="O4116">
        <v>39771</v>
      </c>
      <c r="P4116">
        <v>39770</v>
      </c>
      <c r="Q4116">
        <f>34-15.5</f>
        <v>18.5</v>
      </c>
      <c r="R4116" t="s">
        <v>79</v>
      </c>
      <c r="S4116" t="s">
        <v>39</v>
      </c>
      <c r="AB4116" t="s">
        <v>86</v>
      </c>
      <c r="AC4116" t="s">
        <v>87</v>
      </c>
    </row>
    <row r="4117" spans="1:30" x14ac:dyDescent="0.35">
      <c r="A4117" s="7">
        <v>42927</v>
      </c>
      <c r="B4117" t="s">
        <v>30</v>
      </c>
      <c r="C4117">
        <v>701</v>
      </c>
      <c r="D4117">
        <v>6</v>
      </c>
      <c r="E4117">
        <v>1</v>
      </c>
      <c r="F4117" t="s">
        <v>315</v>
      </c>
      <c r="G4117" t="s">
        <v>32</v>
      </c>
      <c r="H4117" t="s">
        <v>33</v>
      </c>
      <c r="I4117" t="s">
        <v>1025</v>
      </c>
      <c r="AB4117" t="s">
        <v>86</v>
      </c>
      <c r="AC4117" t="s">
        <v>87</v>
      </c>
      <c r="AD4117" t="s">
        <v>1026</v>
      </c>
    </row>
    <row r="4118" spans="1:30" x14ac:dyDescent="0.35">
      <c r="A4118" s="7">
        <v>42927</v>
      </c>
      <c r="B4118" t="s">
        <v>30</v>
      </c>
      <c r="C4118">
        <v>701</v>
      </c>
      <c r="D4118">
        <v>7</v>
      </c>
      <c r="E4118">
        <v>1</v>
      </c>
      <c r="F4118" t="s">
        <v>315</v>
      </c>
      <c r="G4118" t="s">
        <v>32</v>
      </c>
      <c r="H4118" t="s">
        <v>33</v>
      </c>
      <c r="I4118" t="s">
        <v>1025</v>
      </c>
      <c r="AB4118" t="s">
        <v>86</v>
      </c>
      <c r="AC4118" t="s">
        <v>87</v>
      </c>
    </row>
    <row r="4119" spans="1:30" x14ac:dyDescent="0.35">
      <c r="A4119" s="7">
        <v>42927</v>
      </c>
      <c r="B4119" t="s">
        <v>30</v>
      </c>
      <c r="C4119">
        <v>701</v>
      </c>
      <c r="D4119">
        <v>8</v>
      </c>
      <c r="E4119">
        <v>1</v>
      </c>
      <c r="F4119" t="s">
        <v>315</v>
      </c>
      <c r="G4119" t="s">
        <v>32</v>
      </c>
      <c r="H4119" t="s">
        <v>33</v>
      </c>
      <c r="I4119" t="s">
        <v>65</v>
      </c>
      <c r="J4119" t="s">
        <v>44</v>
      </c>
      <c r="K4119" t="s">
        <v>36</v>
      </c>
      <c r="L4119" t="s">
        <v>37</v>
      </c>
      <c r="M4119">
        <v>0</v>
      </c>
      <c r="N4119">
        <v>0</v>
      </c>
      <c r="O4119">
        <v>39108</v>
      </c>
      <c r="Q4119">
        <f>206-50</f>
        <v>156</v>
      </c>
      <c r="R4119" t="s">
        <v>38</v>
      </c>
      <c r="AB4119" t="s">
        <v>86</v>
      </c>
      <c r="AC4119" t="s">
        <v>87</v>
      </c>
    </row>
    <row r="4120" spans="1:30" x14ac:dyDescent="0.35">
      <c r="A4120" s="7">
        <v>42927</v>
      </c>
      <c r="B4120" t="s">
        <v>30</v>
      </c>
      <c r="C4120">
        <v>701</v>
      </c>
      <c r="D4120">
        <v>9</v>
      </c>
      <c r="E4120">
        <v>1</v>
      </c>
      <c r="F4120" t="s">
        <v>315</v>
      </c>
      <c r="G4120" t="s">
        <v>32</v>
      </c>
      <c r="H4120" t="s">
        <v>33</v>
      </c>
      <c r="I4120" t="s">
        <v>59</v>
      </c>
      <c r="AB4120" t="s">
        <v>86</v>
      </c>
      <c r="AC4120" t="s">
        <v>87</v>
      </c>
    </row>
    <row r="4121" spans="1:30" x14ac:dyDescent="0.35">
      <c r="A4121" s="7">
        <v>42927</v>
      </c>
      <c r="B4121" t="s">
        <v>30</v>
      </c>
      <c r="C4121">
        <v>701</v>
      </c>
      <c r="D4121">
        <v>9</v>
      </c>
      <c r="E4121">
        <v>2</v>
      </c>
      <c r="F4121" t="s">
        <v>315</v>
      </c>
      <c r="G4121" t="s">
        <v>32</v>
      </c>
      <c r="H4121" t="s">
        <v>33</v>
      </c>
      <c r="I4121" t="s">
        <v>59</v>
      </c>
      <c r="AB4121" t="s">
        <v>86</v>
      </c>
      <c r="AC4121" t="s">
        <v>87</v>
      </c>
    </row>
    <row r="4122" spans="1:30" x14ac:dyDescent="0.35">
      <c r="A4122" s="7">
        <v>42927</v>
      </c>
      <c r="B4122" t="s">
        <v>30</v>
      </c>
      <c r="C4122">
        <v>703</v>
      </c>
      <c r="D4122">
        <v>3</v>
      </c>
      <c r="E4122">
        <v>1</v>
      </c>
      <c r="F4122" t="s">
        <v>315</v>
      </c>
      <c r="G4122" t="s">
        <v>32</v>
      </c>
      <c r="H4122" t="s">
        <v>33</v>
      </c>
      <c r="I4122" t="s">
        <v>94</v>
      </c>
      <c r="J4122" t="s">
        <v>35</v>
      </c>
      <c r="K4122" t="s">
        <v>36</v>
      </c>
      <c r="L4122" t="s">
        <v>37</v>
      </c>
      <c r="M4122">
        <v>0</v>
      </c>
      <c r="N4122">
        <v>1</v>
      </c>
      <c r="O4122">
        <v>38953</v>
      </c>
      <c r="Q4122">
        <f>35.5-13</f>
        <v>22.5</v>
      </c>
      <c r="R4122" t="s">
        <v>38</v>
      </c>
      <c r="AB4122" t="s">
        <v>86</v>
      </c>
      <c r="AC4122" t="s">
        <v>87</v>
      </c>
    </row>
    <row r="4123" spans="1:30" x14ac:dyDescent="0.35">
      <c r="A4123" s="7">
        <v>42927</v>
      </c>
      <c r="B4123" t="s">
        <v>30</v>
      </c>
      <c r="C4123">
        <v>703</v>
      </c>
      <c r="D4123">
        <v>4</v>
      </c>
      <c r="E4123">
        <v>1</v>
      </c>
      <c r="F4123" t="s">
        <v>315</v>
      </c>
      <c r="G4123" t="s">
        <v>32</v>
      </c>
      <c r="H4123" t="s">
        <v>33</v>
      </c>
      <c r="I4123" t="s">
        <v>43</v>
      </c>
      <c r="J4123" t="s">
        <v>35</v>
      </c>
      <c r="K4123" t="s">
        <v>88</v>
      </c>
      <c r="L4123" t="s">
        <v>45</v>
      </c>
      <c r="M4123">
        <v>0</v>
      </c>
      <c r="N4123">
        <v>1</v>
      </c>
      <c r="O4123">
        <v>38952</v>
      </c>
      <c r="P4123">
        <v>38951</v>
      </c>
      <c r="Q4123">
        <f>30-16</f>
        <v>14</v>
      </c>
      <c r="R4123" t="s">
        <v>46</v>
      </c>
      <c r="S4123" t="s">
        <v>39</v>
      </c>
      <c r="AB4123" t="s">
        <v>86</v>
      </c>
      <c r="AC4123" t="s">
        <v>87</v>
      </c>
    </row>
    <row r="4124" spans="1:30" x14ac:dyDescent="0.35">
      <c r="A4124" s="7">
        <v>42927</v>
      </c>
      <c r="B4124" t="s">
        <v>30</v>
      </c>
      <c r="C4124">
        <v>703</v>
      </c>
      <c r="D4124">
        <v>5</v>
      </c>
      <c r="E4124">
        <v>1</v>
      </c>
      <c r="F4124" t="s">
        <v>315</v>
      </c>
      <c r="G4124" t="s">
        <v>32</v>
      </c>
      <c r="H4124" t="s">
        <v>33</v>
      </c>
      <c r="I4124" t="s">
        <v>43</v>
      </c>
      <c r="J4124" t="s">
        <v>35</v>
      </c>
      <c r="K4124" t="s">
        <v>36</v>
      </c>
      <c r="L4124" t="s">
        <v>37</v>
      </c>
      <c r="M4124">
        <v>0</v>
      </c>
      <c r="N4124">
        <v>1</v>
      </c>
      <c r="O4124">
        <v>39777</v>
      </c>
      <c r="P4124">
        <v>39776</v>
      </c>
      <c r="Q4124">
        <f>35.5-13</f>
        <v>22.5</v>
      </c>
      <c r="R4124" t="s">
        <v>38</v>
      </c>
      <c r="AB4124" t="s">
        <v>86</v>
      </c>
      <c r="AC4124" t="s">
        <v>87</v>
      </c>
    </row>
    <row r="4125" spans="1:30" x14ac:dyDescent="0.35">
      <c r="A4125" s="7">
        <v>42927</v>
      </c>
      <c r="B4125" t="s">
        <v>30</v>
      </c>
      <c r="C4125">
        <v>703</v>
      </c>
      <c r="D4125">
        <v>8</v>
      </c>
      <c r="E4125">
        <v>1</v>
      </c>
      <c r="F4125" t="s">
        <v>315</v>
      </c>
      <c r="G4125" t="s">
        <v>32</v>
      </c>
      <c r="H4125" t="s">
        <v>33</v>
      </c>
      <c r="I4125" t="s">
        <v>59</v>
      </c>
      <c r="AB4125" t="s">
        <v>86</v>
      </c>
      <c r="AC4125" t="s">
        <v>87</v>
      </c>
    </row>
    <row r="4126" spans="1:30" x14ac:dyDescent="0.35">
      <c r="A4126" s="7">
        <v>42927</v>
      </c>
      <c r="B4126" t="s">
        <v>30</v>
      </c>
      <c r="C4126">
        <v>703</v>
      </c>
      <c r="D4126">
        <v>8</v>
      </c>
      <c r="E4126">
        <v>2</v>
      </c>
      <c r="F4126" t="s">
        <v>315</v>
      </c>
      <c r="G4126" t="s">
        <v>32</v>
      </c>
      <c r="H4126" t="s">
        <v>33</v>
      </c>
      <c r="I4126" t="s">
        <v>59</v>
      </c>
      <c r="AB4126" t="s">
        <v>86</v>
      </c>
      <c r="AC4126" t="s">
        <v>87</v>
      </c>
    </row>
    <row r="4127" spans="1:30" x14ac:dyDescent="0.35">
      <c r="A4127" s="7">
        <v>42927</v>
      </c>
      <c r="B4127" t="s">
        <v>30</v>
      </c>
      <c r="C4127">
        <v>703</v>
      </c>
      <c r="D4127">
        <v>9</v>
      </c>
      <c r="E4127">
        <v>1</v>
      </c>
      <c r="F4127" t="s">
        <v>315</v>
      </c>
      <c r="G4127" t="s">
        <v>32</v>
      </c>
      <c r="H4127" t="s">
        <v>33</v>
      </c>
      <c r="I4127" t="s">
        <v>59</v>
      </c>
      <c r="AB4127" t="s">
        <v>86</v>
      </c>
      <c r="AC4127" t="s">
        <v>87</v>
      </c>
    </row>
    <row r="4128" spans="1:30" x14ac:dyDescent="0.35">
      <c r="A4128" s="7">
        <v>42927</v>
      </c>
      <c r="B4128" t="s">
        <v>30</v>
      </c>
      <c r="C4128">
        <v>703</v>
      </c>
      <c r="D4128">
        <v>10</v>
      </c>
      <c r="E4128">
        <v>1</v>
      </c>
      <c r="F4128" t="s">
        <v>315</v>
      </c>
      <c r="G4128" t="s">
        <v>32</v>
      </c>
      <c r="H4128" t="s">
        <v>33</v>
      </c>
      <c r="I4128" t="s">
        <v>43</v>
      </c>
      <c r="J4128" t="s">
        <v>35</v>
      </c>
      <c r="K4128" t="s">
        <v>36</v>
      </c>
      <c r="L4128" t="s">
        <v>37</v>
      </c>
      <c r="M4128">
        <v>0</v>
      </c>
      <c r="N4128">
        <v>1</v>
      </c>
      <c r="O4128">
        <v>39775</v>
      </c>
      <c r="P4128">
        <v>39774</v>
      </c>
      <c r="Q4128">
        <f>35-15</f>
        <v>20</v>
      </c>
      <c r="R4128" t="s">
        <v>38</v>
      </c>
      <c r="AB4128" t="s">
        <v>86</v>
      </c>
      <c r="AC4128" t="s">
        <v>87</v>
      </c>
    </row>
    <row r="4129" spans="1:30" x14ac:dyDescent="0.35">
      <c r="A4129" s="7">
        <v>42927</v>
      </c>
      <c r="B4129" t="s">
        <v>30</v>
      </c>
      <c r="C4129">
        <v>801</v>
      </c>
      <c r="D4129">
        <v>5</v>
      </c>
      <c r="E4129">
        <v>1</v>
      </c>
      <c r="F4129" t="s">
        <v>315</v>
      </c>
      <c r="G4129" t="s">
        <v>32</v>
      </c>
      <c r="H4129" t="s">
        <v>33</v>
      </c>
      <c r="I4129" t="s">
        <v>59</v>
      </c>
      <c r="AB4129" t="s">
        <v>86</v>
      </c>
      <c r="AC4129" t="s">
        <v>87</v>
      </c>
    </row>
    <row r="4130" spans="1:30" x14ac:dyDescent="0.35">
      <c r="A4130" s="7">
        <v>42927</v>
      </c>
      <c r="B4130" t="s">
        <v>30</v>
      </c>
      <c r="C4130">
        <v>801</v>
      </c>
      <c r="D4130">
        <v>6</v>
      </c>
      <c r="E4130">
        <v>1</v>
      </c>
      <c r="F4130" t="s">
        <v>315</v>
      </c>
      <c r="G4130" t="s">
        <v>32</v>
      </c>
      <c r="H4130" t="s">
        <v>33</v>
      </c>
      <c r="I4130" t="s">
        <v>59</v>
      </c>
      <c r="AB4130" t="s">
        <v>86</v>
      </c>
      <c r="AC4130" t="s">
        <v>87</v>
      </c>
    </row>
    <row r="4131" spans="1:30" x14ac:dyDescent="0.35">
      <c r="A4131" s="7">
        <v>42927</v>
      </c>
      <c r="B4131" t="s">
        <v>30</v>
      </c>
      <c r="C4131">
        <v>801</v>
      </c>
      <c r="D4131">
        <v>6</v>
      </c>
      <c r="E4131">
        <v>2</v>
      </c>
      <c r="F4131" t="s">
        <v>315</v>
      </c>
      <c r="G4131" t="s">
        <v>32</v>
      </c>
      <c r="H4131" t="s">
        <v>33</v>
      </c>
      <c r="I4131" t="s">
        <v>43</v>
      </c>
      <c r="J4131" t="s">
        <v>44</v>
      </c>
      <c r="K4131" t="s">
        <v>36</v>
      </c>
      <c r="L4131" t="s">
        <v>37</v>
      </c>
      <c r="M4131">
        <v>1</v>
      </c>
      <c r="N4131">
        <v>0</v>
      </c>
      <c r="O4131">
        <v>39129</v>
      </c>
      <c r="P4131">
        <v>39769</v>
      </c>
      <c r="Q4131">
        <f>35-14</f>
        <v>21</v>
      </c>
      <c r="R4131" t="s">
        <v>38</v>
      </c>
      <c r="AB4131" t="s">
        <v>86</v>
      </c>
      <c r="AC4131" t="s">
        <v>87</v>
      </c>
      <c r="AD4131" t="s">
        <v>1027</v>
      </c>
    </row>
    <row r="4132" spans="1:30" x14ac:dyDescent="0.35">
      <c r="A4132" s="7">
        <v>42927</v>
      </c>
      <c r="B4132" t="s">
        <v>30</v>
      </c>
      <c r="C4132">
        <v>801</v>
      </c>
      <c r="D4132">
        <v>7</v>
      </c>
      <c r="E4132">
        <v>1</v>
      </c>
      <c r="F4132" t="s">
        <v>315</v>
      </c>
      <c r="G4132" t="s">
        <v>32</v>
      </c>
      <c r="H4132" t="s">
        <v>33</v>
      </c>
      <c r="I4132" t="s">
        <v>59</v>
      </c>
      <c r="AB4132" t="s">
        <v>86</v>
      </c>
      <c r="AC4132" t="s">
        <v>87</v>
      </c>
    </row>
    <row r="4133" spans="1:30" x14ac:dyDescent="0.35">
      <c r="A4133" s="7">
        <v>42927</v>
      </c>
      <c r="B4133" t="s">
        <v>30</v>
      </c>
      <c r="C4133">
        <v>801</v>
      </c>
      <c r="D4133">
        <v>8</v>
      </c>
      <c r="E4133">
        <v>1</v>
      </c>
      <c r="F4133" t="s">
        <v>315</v>
      </c>
      <c r="G4133" t="s">
        <v>32</v>
      </c>
      <c r="H4133" t="s">
        <v>33</v>
      </c>
      <c r="I4133" t="s">
        <v>59</v>
      </c>
      <c r="AB4133" t="s">
        <v>86</v>
      </c>
      <c r="AC4133" t="s">
        <v>87</v>
      </c>
    </row>
    <row r="4134" spans="1:30" x14ac:dyDescent="0.35">
      <c r="A4134" s="7">
        <v>42927</v>
      </c>
      <c r="B4134" t="s">
        <v>30</v>
      </c>
      <c r="C4134">
        <v>801</v>
      </c>
      <c r="D4134">
        <v>8</v>
      </c>
      <c r="E4134">
        <v>2</v>
      </c>
      <c r="F4134" t="s">
        <v>315</v>
      </c>
      <c r="G4134" t="s">
        <v>32</v>
      </c>
      <c r="H4134" t="s">
        <v>33</v>
      </c>
      <c r="I4134" t="s">
        <v>72</v>
      </c>
      <c r="J4134" t="s">
        <v>56</v>
      </c>
      <c r="AB4134" t="s">
        <v>86</v>
      </c>
      <c r="AC4134" t="s">
        <v>87</v>
      </c>
    </row>
    <row r="4135" spans="1:30" x14ac:dyDescent="0.35">
      <c r="A4135" s="7">
        <v>42927</v>
      </c>
      <c r="B4135" t="s">
        <v>30</v>
      </c>
      <c r="C4135">
        <v>803</v>
      </c>
      <c r="D4135">
        <v>1</v>
      </c>
      <c r="E4135">
        <v>1</v>
      </c>
      <c r="F4135" t="s">
        <v>315</v>
      </c>
      <c r="G4135" t="s">
        <v>32</v>
      </c>
      <c r="H4135" t="s">
        <v>33</v>
      </c>
      <c r="I4135" t="s">
        <v>43</v>
      </c>
      <c r="J4135" t="s">
        <v>35</v>
      </c>
      <c r="K4135" t="s">
        <v>113</v>
      </c>
      <c r="L4135" t="s">
        <v>37</v>
      </c>
      <c r="M4135">
        <v>0</v>
      </c>
      <c r="N4135">
        <v>1</v>
      </c>
      <c r="O4135">
        <v>39766</v>
      </c>
      <c r="P4135">
        <v>39765</v>
      </c>
      <c r="Q4135">
        <f>32-16.5</f>
        <v>15.5</v>
      </c>
      <c r="R4135" t="s">
        <v>38</v>
      </c>
      <c r="AB4135" t="s">
        <v>86</v>
      </c>
      <c r="AC4135" t="s">
        <v>87</v>
      </c>
    </row>
    <row r="4136" spans="1:30" x14ac:dyDescent="0.35">
      <c r="A4136" s="7">
        <v>42927</v>
      </c>
      <c r="B4136" t="s">
        <v>30</v>
      </c>
      <c r="C4136">
        <v>803</v>
      </c>
      <c r="D4136">
        <v>1</v>
      </c>
      <c r="E4136">
        <v>2</v>
      </c>
      <c r="F4136" t="s">
        <v>315</v>
      </c>
      <c r="G4136" t="s">
        <v>32</v>
      </c>
      <c r="H4136" t="s">
        <v>33</v>
      </c>
      <c r="I4136" t="s">
        <v>59</v>
      </c>
      <c r="AB4136" t="s">
        <v>86</v>
      </c>
      <c r="AC4136" t="s">
        <v>87</v>
      </c>
    </row>
    <row r="4137" spans="1:30" x14ac:dyDescent="0.35">
      <c r="A4137" s="7">
        <v>42927</v>
      </c>
      <c r="B4137" t="s">
        <v>30</v>
      </c>
      <c r="C4137">
        <v>803</v>
      </c>
      <c r="D4137">
        <v>4</v>
      </c>
      <c r="E4137">
        <v>1</v>
      </c>
      <c r="F4137" t="s">
        <v>315</v>
      </c>
      <c r="G4137" t="s">
        <v>32</v>
      </c>
      <c r="H4137" t="s">
        <v>33</v>
      </c>
      <c r="I4137" t="s">
        <v>94</v>
      </c>
      <c r="J4137" t="s">
        <v>44</v>
      </c>
      <c r="K4137" t="s">
        <v>36</v>
      </c>
      <c r="L4137" t="s">
        <v>45</v>
      </c>
      <c r="M4137">
        <v>0</v>
      </c>
      <c r="N4137">
        <v>0</v>
      </c>
      <c r="O4137">
        <v>50615</v>
      </c>
      <c r="Q4137">
        <f>42-14</f>
        <v>28</v>
      </c>
      <c r="R4137" t="s">
        <v>1028</v>
      </c>
      <c r="S4137" t="s">
        <v>102</v>
      </c>
      <c r="AB4137" t="s">
        <v>86</v>
      </c>
      <c r="AC4137" t="s">
        <v>87</v>
      </c>
    </row>
    <row r="4138" spans="1:30" x14ac:dyDescent="0.35">
      <c r="A4138" s="7">
        <v>42927</v>
      </c>
      <c r="B4138" t="s">
        <v>30</v>
      </c>
      <c r="C4138">
        <v>803</v>
      </c>
      <c r="D4138">
        <v>6</v>
      </c>
      <c r="E4138">
        <v>1</v>
      </c>
      <c r="F4138" t="s">
        <v>315</v>
      </c>
      <c r="G4138" t="s">
        <v>32</v>
      </c>
      <c r="H4138" t="s">
        <v>33</v>
      </c>
      <c r="I4138" t="s">
        <v>43</v>
      </c>
      <c r="J4138" t="s">
        <v>35</v>
      </c>
      <c r="K4138" t="s">
        <v>36</v>
      </c>
      <c r="L4138" t="s">
        <v>37</v>
      </c>
      <c r="M4138">
        <v>0</v>
      </c>
      <c r="N4138">
        <v>1</v>
      </c>
      <c r="O4138">
        <v>39768</v>
      </c>
      <c r="P4138">
        <v>39767</v>
      </c>
      <c r="Q4138">
        <f>35.5-16.5</f>
        <v>19</v>
      </c>
      <c r="R4138" t="s">
        <v>38</v>
      </c>
      <c r="AB4138" t="s">
        <v>86</v>
      </c>
      <c r="AC4138" t="s">
        <v>87</v>
      </c>
    </row>
    <row r="4139" spans="1:30" x14ac:dyDescent="0.35">
      <c r="A4139" s="7">
        <v>42927</v>
      </c>
      <c r="B4139" t="s">
        <v>30</v>
      </c>
      <c r="C4139">
        <v>803</v>
      </c>
      <c r="D4139">
        <v>10</v>
      </c>
      <c r="E4139">
        <v>1</v>
      </c>
      <c r="F4139" t="s">
        <v>315</v>
      </c>
      <c r="G4139" t="s">
        <v>32</v>
      </c>
      <c r="H4139" t="s">
        <v>33</v>
      </c>
      <c r="I4139" t="s">
        <v>1025</v>
      </c>
      <c r="AB4139" t="s">
        <v>86</v>
      </c>
      <c r="AC4139" t="s">
        <v>87</v>
      </c>
    </row>
    <row r="4140" spans="1:30" x14ac:dyDescent="0.35">
      <c r="A4140" s="7">
        <v>42927</v>
      </c>
      <c r="B4140" t="s">
        <v>30</v>
      </c>
      <c r="C4140">
        <v>901</v>
      </c>
      <c r="D4140">
        <v>4</v>
      </c>
      <c r="E4140">
        <v>1</v>
      </c>
      <c r="F4140" t="s">
        <v>315</v>
      </c>
      <c r="G4140" t="s">
        <v>32</v>
      </c>
      <c r="H4140" t="s">
        <v>33</v>
      </c>
      <c r="I4140" t="s">
        <v>59</v>
      </c>
      <c r="AB4140" t="s">
        <v>86</v>
      </c>
      <c r="AC4140" t="s">
        <v>87</v>
      </c>
    </row>
    <row r="4141" spans="1:30" x14ac:dyDescent="0.35">
      <c r="A4141" s="7">
        <v>42927</v>
      </c>
      <c r="B4141" t="s">
        <v>30</v>
      </c>
      <c r="C4141">
        <v>901</v>
      </c>
      <c r="D4141">
        <v>4</v>
      </c>
      <c r="E4141">
        <v>2</v>
      </c>
      <c r="F4141" t="s">
        <v>315</v>
      </c>
      <c r="G4141" t="s">
        <v>32</v>
      </c>
      <c r="H4141" t="s">
        <v>33</v>
      </c>
      <c r="I4141" t="s">
        <v>43</v>
      </c>
      <c r="J4141" t="s">
        <v>35</v>
      </c>
      <c r="K4141" t="s">
        <v>36</v>
      </c>
      <c r="L4141" t="s">
        <v>45</v>
      </c>
      <c r="M4141">
        <v>0</v>
      </c>
      <c r="N4141">
        <v>1</v>
      </c>
      <c r="O4141">
        <v>39764</v>
      </c>
      <c r="P4141">
        <v>39763</v>
      </c>
      <c r="Q4141">
        <f>23-4</f>
        <v>19</v>
      </c>
      <c r="R4141" t="s">
        <v>77</v>
      </c>
      <c r="S4141" t="s">
        <v>39</v>
      </c>
      <c r="AB4141" t="s">
        <v>86</v>
      </c>
      <c r="AC4141" t="s">
        <v>87</v>
      </c>
    </row>
    <row r="4142" spans="1:30" x14ac:dyDescent="0.35">
      <c r="A4142" s="7">
        <v>42927</v>
      </c>
      <c r="B4142" t="s">
        <v>30</v>
      </c>
      <c r="C4142">
        <v>901</v>
      </c>
      <c r="D4142">
        <v>8</v>
      </c>
      <c r="E4142">
        <v>1</v>
      </c>
      <c r="F4142" t="s">
        <v>315</v>
      </c>
      <c r="G4142" t="s">
        <v>32</v>
      </c>
      <c r="H4142" t="s">
        <v>33</v>
      </c>
      <c r="I4142" t="s">
        <v>43</v>
      </c>
      <c r="J4142" t="s">
        <v>44</v>
      </c>
      <c r="K4142" t="s">
        <v>113</v>
      </c>
      <c r="L4142" t="s">
        <v>45</v>
      </c>
      <c r="M4142">
        <v>0</v>
      </c>
      <c r="N4142">
        <v>0</v>
      </c>
      <c r="O4142">
        <v>39145</v>
      </c>
      <c r="P4142">
        <v>39144</v>
      </c>
      <c r="Q4142">
        <f>28-5</f>
        <v>23</v>
      </c>
      <c r="R4142" t="s">
        <v>77</v>
      </c>
      <c r="S4142" t="s">
        <v>39</v>
      </c>
      <c r="AB4142" t="s">
        <v>86</v>
      </c>
      <c r="AC4142" t="s">
        <v>87</v>
      </c>
    </row>
    <row r="4143" spans="1:30" x14ac:dyDescent="0.35">
      <c r="A4143" s="7">
        <v>42928</v>
      </c>
      <c r="B4143" t="s">
        <v>30</v>
      </c>
      <c r="C4143">
        <v>303</v>
      </c>
      <c r="D4143">
        <v>1</v>
      </c>
      <c r="E4143">
        <v>1</v>
      </c>
      <c r="F4143" t="s">
        <v>1020</v>
      </c>
      <c r="G4143" t="s">
        <v>32</v>
      </c>
      <c r="H4143" t="s">
        <v>33</v>
      </c>
      <c r="I4143" t="s">
        <v>43</v>
      </c>
      <c r="J4143" t="s">
        <v>44</v>
      </c>
      <c r="K4143" t="s">
        <v>113</v>
      </c>
      <c r="L4143" t="s">
        <v>37</v>
      </c>
      <c r="M4143">
        <v>0</v>
      </c>
      <c r="N4143">
        <v>0</v>
      </c>
      <c r="O4143">
        <v>39318</v>
      </c>
      <c r="P4143">
        <v>39319</v>
      </c>
      <c r="Q4143">
        <f>32-15</f>
        <v>17</v>
      </c>
      <c r="R4143" t="s">
        <v>38</v>
      </c>
      <c r="AB4143" t="s">
        <v>742</v>
      </c>
      <c r="AC4143" t="s">
        <v>87</v>
      </c>
    </row>
    <row r="4144" spans="1:30" x14ac:dyDescent="0.35">
      <c r="A4144" s="7">
        <v>42928</v>
      </c>
      <c r="B4144" t="s">
        <v>30</v>
      </c>
      <c r="C4144">
        <v>303</v>
      </c>
      <c r="D4144">
        <v>1</v>
      </c>
      <c r="E4144">
        <v>2</v>
      </c>
      <c r="F4144" t="s">
        <v>1020</v>
      </c>
      <c r="G4144" t="s">
        <v>32</v>
      </c>
      <c r="H4144" t="s">
        <v>33</v>
      </c>
      <c r="I4144" t="s">
        <v>43</v>
      </c>
      <c r="J4144" t="s">
        <v>44</v>
      </c>
      <c r="K4144" t="s">
        <v>113</v>
      </c>
      <c r="L4144" t="s">
        <v>37</v>
      </c>
      <c r="M4144">
        <v>0</v>
      </c>
      <c r="N4144">
        <v>0</v>
      </c>
      <c r="O4144">
        <v>39191</v>
      </c>
      <c r="P4144">
        <v>39190</v>
      </c>
      <c r="Q4144">
        <f>31-14</f>
        <v>17</v>
      </c>
      <c r="R4144" t="s">
        <v>38</v>
      </c>
      <c r="AB4144" t="s">
        <v>742</v>
      </c>
      <c r="AC4144" t="s">
        <v>87</v>
      </c>
    </row>
    <row r="4145" spans="1:29" x14ac:dyDescent="0.35">
      <c r="A4145" s="7">
        <v>42928</v>
      </c>
      <c r="B4145" t="s">
        <v>30</v>
      </c>
      <c r="C4145">
        <v>303</v>
      </c>
      <c r="D4145">
        <v>2</v>
      </c>
      <c r="E4145">
        <v>1</v>
      </c>
      <c r="F4145" t="s">
        <v>1020</v>
      </c>
      <c r="G4145" t="s">
        <v>32</v>
      </c>
      <c r="H4145" t="s">
        <v>33</v>
      </c>
      <c r="I4145" t="s">
        <v>59</v>
      </c>
      <c r="AB4145" t="s">
        <v>742</v>
      </c>
      <c r="AC4145" t="s">
        <v>87</v>
      </c>
    </row>
    <row r="4146" spans="1:29" x14ac:dyDescent="0.35">
      <c r="A4146" s="7">
        <v>42928</v>
      </c>
      <c r="B4146" t="s">
        <v>30</v>
      </c>
      <c r="C4146">
        <v>303</v>
      </c>
      <c r="D4146">
        <v>2</v>
      </c>
      <c r="E4146">
        <v>2</v>
      </c>
      <c r="F4146" t="s">
        <v>1020</v>
      </c>
      <c r="G4146" t="s">
        <v>32</v>
      </c>
      <c r="H4146" t="s">
        <v>33</v>
      </c>
      <c r="I4146" t="s">
        <v>59</v>
      </c>
      <c r="AB4146" t="s">
        <v>742</v>
      </c>
      <c r="AC4146" t="s">
        <v>87</v>
      </c>
    </row>
    <row r="4147" spans="1:29" x14ac:dyDescent="0.35">
      <c r="A4147" s="7">
        <v>42928</v>
      </c>
      <c r="B4147" t="s">
        <v>30</v>
      </c>
      <c r="C4147">
        <v>303</v>
      </c>
      <c r="D4147">
        <v>3</v>
      </c>
      <c r="E4147">
        <v>1</v>
      </c>
      <c r="F4147" t="s">
        <v>1020</v>
      </c>
      <c r="G4147" t="s">
        <v>32</v>
      </c>
      <c r="H4147" t="s">
        <v>33</v>
      </c>
      <c r="I4147" t="s">
        <v>59</v>
      </c>
      <c r="AB4147" t="s">
        <v>742</v>
      </c>
      <c r="AC4147" t="s">
        <v>87</v>
      </c>
    </row>
    <row r="4148" spans="1:29" x14ac:dyDescent="0.35">
      <c r="A4148" s="7">
        <v>42928</v>
      </c>
      <c r="B4148" t="s">
        <v>30</v>
      </c>
      <c r="C4148">
        <v>303</v>
      </c>
      <c r="D4148">
        <v>4</v>
      </c>
      <c r="E4148">
        <v>1</v>
      </c>
      <c r="F4148" t="s">
        <v>1020</v>
      </c>
      <c r="G4148" t="s">
        <v>32</v>
      </c>
      <c r="H4148" t="s">
        <v>33</v>
      </c>
      <c r="I4148" t="s">
        <v>59</v>
      </c>
      <c r="AB4148" t="s">
        <v>742</v>
      </c>
      <c r="AC4148" t="s">
        <v>87</v>
      </c>
    </row>
    <row r="4149" spans="1:29" x14ac:dyDescent="0.35">
      <c r="A4149" s="7">
        <v>42928</v>
      </c>
      <c r="B4149" t="s">
        <v>30</v>
      </c>
      <c r="C4149">
        <v>303</v>
      </c>
      <c r="D4149">
        <v>5</v>
      </c>
      <c r="E4149">
        <v>1</v>
      </c>
      <c r="F4149" t="s">
        <v>1020</v>
      </c>
      <c r="G4149" t="s">
        <v>32</v>
      </c>
      <c r="H4149" t="s">
        <v>33</v>
      </c>
      <c r="I4149" t="s">
        <v>59</v>
      </c>
      <c r="AB4149" t="s">
        <v>742</v>
      </c>
      <c r="AC4149" t="s">
        <v>87</v>
      </c>
    </row>
    <row r="4150" spans="1:29" x14ac:dyDescent="0.35">
      <c r="A4150" s="7">
        <v>42928</v>
      </c>
      <c r="B4150" t="s">
        <v>30</v>
      </c>
      <c r="C4150">
        <v>303</v>
      </c>
      <c r="D4150">
        <v>6</v>
      </c>
      <c r="E4150">
        <v>1</v>
      </c>
      <c r="F4150" t="s">
        <v>1020</v>
      </c>
      <c r="G4150" t="s">
        <v>32</v>
      </c>
      <c r="H4150" t="s">
        <v>33</v>
      </c>
      <c r="I4150" t="s">
        <v>43</v>
      </c>
      <c r="J4150" t="s">
        <v>44</v>
      </c>
      <c r="K4150" t="s">
        <v>113</v>
      </c>
      <c r="L4150" t="s">
        <v>45</v>
      </c>
      <c r="M4150">
        <v>0</v>
      </c>
      <c r="N4150">
        <v>0</v>
      </c>
      <c r="O4150">
        <v>38989</v>
      </c>
      <c r="P4150">
        <v>38988</v>
      </c>
      <c r="Q4150">
        <f>30-15</f>
        <v>15</v>
      </c>
      <c r="R4150" t="s">
        <v>46</v>
      </c>
      <c r="S4150" t="s">
        <v>39</v>
      </c>
      <c r="AB4150" t="s">
        <v>742</v>
      </c>
      <c r="AC4150" t="s">
        <v>87</v>
      </c>
    </row>
    <row r="4151" spans="1:29" x14ac:dyDescent="0.35">
      <c r="A4151" s="7">
        <v>42928</v>
      </c>
      <c r="B4151" t="s">
        <v>30</v>
      </c>
      <c r="C4151">
        <v>303</v>
      </c>
      <c r="D4151">
        <v>9</v>
      </c>
      <c r="E4151">
        <v>1</v>
      </c>
      <c r="F4151" t="s">
        <v>1020</v>
      </c>
      <c r="G4151" t="s">
        <v>32</v>
      </c>
      <c r="H4151" t="s">
        <v>33</v>
      </c>
      <c r="I4151" t="s">
        <v>43</v>
      </c>
      <c r="J4151" t="s">
        <v>35</v>
      </c>
      <c r="K4151" t="s">
        <v>113</v>
      </c>
      <c r="L4151" t="s">
        <v>45</v>
      </c>
      <c r="M4151">
        <v>0</v>
      </c>
      <c r="N4151">
        <v>1</v>
      </c>
      <c r="O4151">
        <v>39323</v>
      </c>
      <c r="P4151">
        <v>39324</v>
      </c>
      <c r="Q4151">
        <f>35-15</f>
        <v>20</v>
      </c>
      <c r="R4151" t="s">
        <v>46</v>
      </c>
      <c r="S4151" t="s">
        <v>39</v>
      </c>
      <c r="AB4151" t="s">
        <v>742</v>
      </c>
      <c r="AC4151" t="s">
        <v>87</v>
      </c>
    </row>
    <row r="4152" spans="1:29" x14ac:dyDescent="0.35">
      <c r="A4152" s="7">
        <v>42928</v>
      </c>
      <c r="B4152" t="s">
        <v>30</v>
      </c>
      <c r="C4152">
        <v>303</v>
      </c>
      <c r="D4152">
        <v>10</v>
      </c>
      <c r="E4152">
        <v>1</v>
      </c>
      <c r="F4152" t="s">
        <v>1020</v>
      </c>
      <c r="G4152" t="s">
        <v>32</v>
      </c>
      <c r="H4152" t="s">
        <v>33</v>
      </c>
      <c r="I4152" t="s">
        <v>59</v>
      </c>
      <c r="AB4152" t="s">
        <v>742</v>
      </c>
      <c r="AC4152" t="s">
        <v>87</v>
      </c>
    </row>
    <row r="4153" spans="1:29" x14ac:dyDescent="0.35">
      <c r="A4153" s="7">
        <v>42928</v>
      </c>
      <c r="B4153" t="s">
        <v>30</v>
      </c>
      <c r="C4153">
        <v>303</v>
      </c>
      <c r="D4153">
        <v>10</v>
      </c>
      <c r="E4153">
        <v>2</v>
      </c>
      <c r="F4153" t="s">
        <v>1020</v>
      </c>
      <c r="G4153" t="s">
        <v>32</v>
      </c>
      <c r="H4153" t="s">
        <v>33</v>
      </c>
      <c r="I4153" t="s">
        <v>59</v>
      </c>
      <c r="AB4153" t="s">
        <v>742</v>
      </c>
      <c r="AC4153" t="s">
        <v>87</v>
      </c>
    </row>
    <row r="4154" spans="1:29" x14ac:dyDescent="0.35">
      <c r="A4154" s="7">
        <v>42928</v>
      </c>
      <c r="B4154" t="s">
        <v>30</v>
      </c>
      <c r="C4154">
        <v>401</v>
      </c>
      <c r="D4154">
        <v>1</v>
      </c>
      <c r="E4154">
        <v>1</v>
      </c>
      <c r="F4154" t="s">
        <v>1020</v>
      </c>
      <c r="G4154" t="s">
        <v>32</v>
      </c>
      <c r="H4154" t="s">
        <v>33</v>
      </c>
      <c r="I4154" t="s">
        <v>94</v>
      </c>
      <c r="J4154" t="s">
        <v>44</v>
      </c>
      <c r="K4154" t="s">
        <v>36</v>
      </c>
      <c r="L4154" t="s">
        <v>45</v>
      </c>
      <c r="M4154">
        <v>0</v>
      </c>
      <c r="N4154">
        <v>0</v>
      </c>
      <c r="O4154">
        <v>50957</v>
      </c>
      <c r="Q4154">
        <f>40-14</f>
        <v>26</v>
      </c>
      <c r="R4154" t="s">
        <v>1021</v>
      </c>
      <c r="S4154" t="s">
        <v>102</v>
      </c>
      <c r="AB4154" t="s">
        <v>742</v>
      </c>
      <c r="AC4154" t="s">
        <v>87</v>
      </c>
    </row>
    <row r="4155" spans="1:29" x14ac:dyDescent="0.35">
      <c r="A4155" s="7">
        <v>42928</v>
      </c>
      <c r="B4155" t="s">
        <v>30</v>
      </c>
      <c r="C4155">
        <v>401</v>
      </c>
      <c r="D4155">
        <v>3</v>
      </c>
      <c r="E4155">
        <v>1</v>
      </c>
      <c r="F4155" t="s">
        <v>1020</v>
      </c>
      <c r="G4155" t="s">
        <v>32</v>
      </c>
      <c r="H4155" t="s">
        <v>33</v>
      </c>
      <c r="I4155" t="s">
        <v>58</v>
      </c>
      <c r="J4155" t="s">
        <v>35</v>
      </c>
      <c r="K4155" t="s">
        <v>36</v>
      </c>
      <c r="L4155" t="s">
        <v>45</v>
      </c>
      <c r="M4155">
        <v>0</v>
      </c>
      <c r="N4155">
        <v>1</v>
      </c>
      <c r="O4155">
        <v>39325</v>
      </c>
      <c r="Q4155">
        <f>37-14</f>
        <v>23</v>
      </c>
      <c r="R4155" t="s">
        <v>46</v>
      </c>
      <c r="S4155" t="s">
        <v>39</v>
      </c>
      <c r="AB4155" t="s">
        <v>742</v>
      </c>
      <c r="AC4155" t="s">
        <v>87</v>
      </c>
    </row>
    <row r="4156" spans="1:29" x14ac:dyDescent="0.35">
      <c r="A4156" s="7">
        <v>42928</v>
      </c>
      <c r="B4156" t="s">
        <v>30</v>
      </c>
      <c r="C4156">
        <v>401</v>
      </c>
      <c r="D4156">
        <v>5</v>
      </c>
      <c r="E4156">
        <v>1</v>
      </c>
      <c r="F4156" t="s">
        <v>1020</v>
      </c>
      <c r="G4156" t="s">
        <v>32</v>
      </c>
      <c r="H4156" t="s">
        <v>33</v>
      </c>
      <c r="I4156" t="s">
        <v>58</v>
      </c>
      <c r="J4156" t="s">
        <v>44</v>
      </c>
      <c r="K4156" t="s">
        <v>36</v>
      </c>
      <c r="L4156" t="s">
        <v>37</v>
      </c>
      <c r="M4156">
        <v>0</v>
      </c>
      <c r="N4156">
        <v>0</v>
      </c>
      <c r="O4156">
        <v>39195</v>
      </c>
      <c r="Q4156">
        <f>45-14</f>
        <v>31</v>
      </c>
      <c r="R4156" t="s">
        <v>38</v>
      </c>
      <c r="AB4156" t="s">
        <v>742</v>
      </c>
      <c r="AC4156" t="s">
        <v>87</v>
      </c>
    </row>
    <row r="4157" spans="1:29" x14ac:dyDescent="0.35">
      <c r="A4157" s="7">
        <v>42928</v>
      </c>
      <c r="B4157" t="s">
        <v>30</v>
      </c>
      <c r="C4157">
        <v>401</v>
      </c>
      <c r="D4157">
        <v>7</v>
      </c>
      <c r="E4157">
        <v>1</v>
      </c>
      <c r="F4157" t="s">
        <v>1020</v>
      </c>
      <c r="G4157" t="s">
        <v>32</v>
      </c>
      <c r="H4157" t="s">
        <v>33</v>
      </c>
      <c r="I4157" t="s">
        <v>59</v>
      </c>
      <c r="AB4157" t="s">
        <v>742</v>
      </c>
      <c r="AC4157" t="s">
        <v>87</v>
      </c>
    </row>
    <row r="4158" spans="1:29" x14ac:dyDescent="0.35">
      <c r="A4158" s="7">
        <v>42928</v>
      </c>
      <c r="B4158" t="s">
        <v>30</v>
      </c>
      <c r="C4158">
        <v>401</v>
      </c>
      <c r="D4158">
        <v>7</v>
      </c>
      <c r="E4158">
        <v>2</v>
      </c>
      <c r="F4158" t="s">
        <v>1020</v>
      </c>
      <c r="G4158" t="s">
        <v>32</v>
      </c>
      <c r="H4158" t="s">
        <v>33</v>
      </c>
      <c r="I4158" t="s">
        <v>59</v>
      </c>
      <c r="AB4158" t="s">
        <v>742</v>
      </c>
      <c r="AC4158" t="s">
        <v>87</v>
      </c>
    </row>
    <row r="4159" spans="1:29" x14ac:dyDescent="0.35">
      <c r="A4159" s="7">
        <v>42928</v>
      </c>
      <c r="B4159" t="s">
        <v>30</v>
      </c>
      <c r="C4159">
        <v>401</v>
      </c>
      <c r="D4159">
        <v>8</v>
      </c>
      <c r="E4159">
        <v>1</v>
      </c>
      <c r="F4159" t="s">
        <v>1020</v>
      </c>
      <c r="G4159" t="s">
        <v>32</v>
      </c>
      <c r="H4159" t="s">
        <v>33</v>
      </c>
      <c r="I4159" t="s">
        <v>59</v>
      </c>
      <c r="AB4159" t="s">
        <v>742</v>
      </c>
      <c r="AC4159" t="s">
        <v>87</v>
      </c>
    </row>
    <row r="4160" spans="1:29" x14ac:dyDescent="0.35">
      <c r="A4160" s="7">
        <v>42928</v>
      </c>
      <c r="B4160" t="s">
        <v>30</v>
      </c>
      <c r="C4160">
        <v>401</v>
      </c>
      <c r="D4160">
        <v>8</v>
      </c>
      <c r="E4160">
        <v>2</v>
      </c>
      <c r="F4160" t="s">
        <v>1020</v>
      </c>
      <c r="G4160" t="s">
        <v>32</v>
      </c>
      <c r="H4160" t="s">
        <v>33</v>
      </c>
      <c r="I4160" t="s">
        <v>59</v>
      </c>
      <c r="AB4160" t="s">
        <v>742</v>
      </c>
      <c r="AC4160" t="s">
        <v>87</v>
      </c>
    </row>
    <row r="4161" spans="1:30" x14ac:dyDescent="0.35">
      <c r="A4161" s="7">
        <v>42928</v>
      </c>
      <c r="B4161" t="s">
        <v>30</v>
      </c>
      <c r="C4161">
        <v>501</v>
      </c>
      <c r="D4161">
        <v>2</v>
      </c>
      <c r="E4161">
        <v>1</v>
      </c>
      <c r="F4161" t="s">
        <v>1020</v>
      </c>
      <c r="G4161" t="s">
        <v>32</v>
      </c>
      <c r="H4161" t="s">
        <v>33</v>
      </c>
      <c r="I4161" t="s">
        <v>59</v>
      </c>
      <c r="AB4161" t="s">
        <v>742</v>
      </c>
      <c r="AC4161" t="s">
        <v>87</v>
      </c>
    </row>
    <row r="4162" spans="1:30" x14ac:dyDescent="0.35">
      <c r="A4162" s="7">
        <v>42928</v>
      </c>
      <c r="B4162" t="s">
        <v>30</v>
      </c>
      <c r="C4162">
        <v>501</v>
      </c>
      <c r="D4162">
        <v>3</v>
      </c>
      <c r="E4162">
        <v>1</v>
      </c>
      <c r="F4162" t="s">
        <v>1020</v>
      </c>
      <c r="G4162" t="s">
        <v>32</v>
      </c>
      <c r="H4162" t="s">
        <v>33</v>
      </c>
      <c r="I4162" t="s">
        <v>1029</v>
      </c>
      <c r="J4162" t="s">
        <v>66</v>
      </c>
      <c r="AB4162" t="s">
        <v>742</v>
      </c>
      <c r="AC4162" t="s">
        <v>87</v>
      </c>
    </row>
    <row r="4163" spans="1:30" x14ac:dyDescent="0.35">
      <c r="A4163" s="7">
        <v>42928</v>
      </c>
      <c r="B4163" t="s">
        <v>30</v>
      </c>
      <c r="C4163">
        <v>501</v>
      </c>
      <c r="D4163">
        <v>3</v>
      </c>
      <c r="E4163">
        <v>2</v>
      </c>
      <c r="F4163" t="s">
        <v>1020</v>
      </c>
      <c r="G4163" t="s">
        <v>32</v>
      </c>
      <c r="H4163" t="s">
        <v>33</v>
      </c>
      <c r="I4163" t="s">
        <v>59</v>
      </c>
      <c r="AB4163" t="s">
        <v>742</v>
      </c>
      <c r="AC4163" t="s">
        <v>87</v>
      </c>
    </row>
    <row r="4164" spans="1:30" x14ac:dyDescent="0.35">
      <c r="A4164" s="7">
        <v>42928</v>
      </c>
      <c r="B4164" t="s">
        <v>30</v>
      </c>
      <c r="C4164">
        <v>501</v>
      </c>
      <c r="D4164">
        <v>4</v>
      </c>
      <c r="E4164">
        <v>1</v>
      </c>
      <c r="F4164" t="s">
        <v>1020</v>
      </c>
      <c r="G4164" t="s">
        <v>32</v>
      </c>
      <c r="H4164" t="s">
        <v>33</v>
      </c>
      <c r="I4164" t="s">
        <v>59</v>
      </c>
      <c r="AB4164" t="s">
        <v>742</v>
      </c>
      <c r="AC4164" t="s">
        <v>87</v>
      </c>
    </row>
    <row r="4165" spans="1:30" x14ac:dyDescent="0.35">
      <c r="A4165" s="7">
        <v>42928</v>
      </c>
      <c r="B4165" t="s">
        <v>30</v>
      </c>
      <c r="C4165">
        <v>501</v>
      </c>
      <c r="D4165">
        <v>4</v>
      </c>
      <c r="E4165">
        <v>2</v>
      </c>
      <c r="F4165" t="s">
        <v>1020</v>
      </c>
      <c r="G4165" t="s">
        <v>32</v>
      </c>
      <c r="H4165" t="s">
        <v>33</v>
      </c>
      <c r="I4165" t="s">
        <v>59</v>
      </c>
      <c r="AB4165" t="s">
        <v>742</v>
      </c>
      <c r="AC4165" t="s">
        <v>87</v>
      </c>
    </row>
    <row r="4166" spans="1:30" x14ac:dyDescent="0.35">
      <c r="A4166" s="7">
        <v>42928</v>
      </c>
      <c r="B4166" t="s">
        <v>30</v>
      </c>
      <c r="C4166">
        <v>501</v>
      </c>
      <c r="D4166">
        <v>5</v>
      </c>
      <c r="E4166">
        <v>1</v>
      </c>
      <c r="F4166" t="s">
        <v>1020</v>
      </c>
      <c r="G4166" t="s">
        <v>32</v>
      </c>
      <c r="H4166" t="s">
        <v>33</v>
      </c>
      <c r="I4166" t="s">
        <v>59</v>
      </c>
      <c r="AB4166" t="s">
        <v>742</v>
      </c>
      <c r="AC4166" t="s">
        <v>87</v>
      </c>
    </row>
    <row r="4167" spans="1:30" x14ac:dyDescent="0.35">
      <c r="A4167" s="7">
        <v>42928</v>
      </c>
      <c r="B4167" t="s">
        <v>30</v>
      </c>
      <c r="C4167">
        <v>501</v>
      </c>
      <c r="D4167">
        <v>6</v>
      </c>
      <c r="E4167">
        <v>1</v>
      </c>
      <c r="F4167" t="s">
        <v>1020</v>
      </c>
      <c r="G4167" t="s">
        <v>32</v>
      </c>
      <c r="H4167" t="s">
        <v>33</v>
      </c>
      <c r="I4167" t="s">
        <v>59</v>
      </c>
      <c r="AB4167" t="s">
        <v>742</v>
      </c>
      <c r="AC4167" t="s">
        <v>87</v>
      </c>
    </row>
    <row r="4168" spans="1:30" x14ac:dyDescent="0.35">
      <c r="A4168" s="7">
        <v>42928</v>
      </c>
      <c r="B4168" t="s">
        <v>30</v>
      </c>
      <c r="C4168">
        <v>501</v>
      </c>
      <c r="D4168">
        <v>6</v>
      </c>
      <c r="E4168">
        <v>2</v>
      </c>
      <c r="F4168" t="s">
        <v>1020</v>
      </c>
      <c r="G4168" t="s">
        <v>32</v>
      </c>
      <c r="H4168" t="s">
        <v>33</v>
      </c>
      <c r="I4168" t="s">
        <v>34</v>
      </c>
      <c r="J4168" t="s">
        <v>1030</v>
      </c>
      <c r="AB4168" t="s">
        <v>742</v>
      </c>
      <c r="AC4168" t="s">
        <v>87</v>
      </c>
    </row>
    <row r="4169" spans="1:30" x14ac:dyDescent="0.35">
      <c r="A4169" s="7">
        <v>42928</v>
      </c>
      <c r="B4169" t="s">
        <v>30</v>
      </c>
      <c r="C4169">
        <v>501</v>
      </c>
      <c r="D4169">
        <v>7</v>
      </c>
      <c r="E4169">
        <v>1</v>
      </c>
      <c r="F4169" t="s">
        <v>1020</v>
      </c>
      <c r="G4169" t="s">
        <v>32</v>
      </c>
      <c r="H4169" t="s">
        <v>33</v>
      </c>
      <c r="I4169" t="s">
        <v>59</v>
      </c>
      <c r="AB4169" t="s">
        <v>742</v>
      </c>
      <c r="AC4169" t="s">
        <v>87</v>
      </c>
    </row>
    <row r="4170" spans="1:30" x14ac:dyDescent="0.35">
      <c r="A4170" s="7">
        <v>42928</v>
      </c>
      <c r="B4170" t="s">
        <v>30</v>
      </c>
      <c r="C4170">
        <v>501</v>
      </c>
      <c r="D4170">
        <v>7</v>
      </c>
      <c r="E4170">
        <v>2</v>
      </c>
      <c r="F4170" t="s">
        <v>1020</v>
      </c>
      <c r="G4170" t="s">
        <v>32</v>
      </c>
      <c r="H4170" t="s">
        <v>33</v>
      </c>
      <c r="I4170" t="s">
        <v>59</v>
      </c>
      <c r="AB4170" t="s">
        <v>742</v>
      </c>
      <c r="AC4170" t="s">
        <v>87</v>
      </c>
    </row>
    <row r="4171" spans="1:30" x14ac:dyDescent="0.35">
      <c r="A4171" s="7">
        <v>42928</v>
      </c>
      <c r="B4171" t="s">
        <v>30</v>
      </c>
      <c r="C4171">
        <v>501</v>
      </c>
      <c r="D4171">
        <v>8</v>
      </c>
      <c r="E4171">
        <v>1</v>
      </c>
      <c r="F4171" t="s">
        <v>1020</v>
      </c>
      <c r="G4171" t="s">
        <v>32</v>
      </c>
      <c r="H4171" t="s">
        <v>33</v>
      </c>
      <c r="I4171" t="s">
        <v>59</v>
      </c>
      <c r="AB4171" t="s">
        <v>742</v>
      </c>
      <c r="AC4171" t="s">
        <v>87</v>
      </c>
    </row>
    <row r="4172" spans="1:30" x14ac:dyDescent="0.35">
      <c r="A4172" s="7">
        <v>42928</v>
      </c>
      <c r="B4172" t="s">
        <v>30</v>
      </c>
      <c r="C4172">
        <v>501</v>
      </c>
      <c r="D4172">
        <v>8</v>
      </c>
      <c r="E4172">
        <v>2</v>
      </c>
      <c r="F4172" t="s">
        <v>1020</v>
      </c>
      <c r="G4172" t="s">
        <v>32</v>
      </c>
      <c r="H4172" t="s">
        <v>33</v>
      </c>
      <c r="I4172" t="s">
        <v>59</v>
      </c>
      <c r="AB4172" t="s">
        <v>742</v>
      </c>
      <c r="AC4172" t="s">
        <v>87</v>
      </c>
    </row>
    <row r="4173" spans="1:30" x14ac:dyDescent="0.35">
      <c r="A4173" s="7">
        <v>42928</v>
      </c>
      <c r="B4173" t="s">
        <v>30</v>
      </c>
      <c r="C4173">
        <v>501</v>
      </c>
      <c r="D4173">
        <v>9</v>
      </c>
      <c r="E4173">
        <v>1</v>
      </c>
      <c r="F4173" t="s">
        <v>1020</v>
      </c>
      <c r="G4173" t="s">
        <v>32</v>
      </c>
      <c r="H4173" t="s">
        <v>33</v>
      </c>
      <c r="I4173" t="s">
        <v>43</v>
      </c>
      <c r="J4173" t="s">
        <v>44</v>
      </c>
      <c r="K4173" t="s">
        <v>36</v>
      </c>
      <c r="L4173" t="s">
        <v>45</v>
      </c>
      <c r="M4173">
        <v>0</v>
      </c>
      <c r="N4173">
        <v>0</v>
      </c>
      <c r="O4173">
        <v>38982</v>
      </c>
      <c r="P4173">
        <v>38981</v>
      </c>
      <c r="Q4173">
        <f>36-16</f>
        <v>20</v>
      </c>
      <c r="R4173" t="s">
        <v>1021</v>
      </c>
      <c r="S4173" t="s">
        <v>102</v>
      </c>
      <c r="AB4173" t="s">
        <v>742</v>
      </c>
      <c r="AC4173" t="s">
        <v>87</v>
      </c>
    </row>
    <row r="4174" spans="1:30" x14ac:dyDescent="0.35">
      <c r="A4174" s="7">
        <v>42928</v>
      </c>
      <c r="B4174" t="s">
        <v>30</v>
      </c>
      <c r="C4174">
        <v>501</v>
      </c>
      <c r="D4174">
        <v>10</v>
      </c>
      <c r="E4174">
        <v>1</v>
      </c>
      <c r="F4174" t="s">
        <v>1020</v>
      </c>
      <c r="G4174" t="s">
        <v>32</v>
      </c>
      <c r="H4174" t="s">
        <v>33</v>
      </c>
      <c r="I4174" t="s">
        <v>59</v>
      </c>
      <c r="AB4174" t="s">
        <v>742</v>
      </c>
      <c r="AC4174" t="s">
        <v>87</v>
      </c>
    </row>
    <row r="4175" spans="1:30" x14ac:dyDescent="0.35">
      <c r="A4175" s="7">
        <v>42928</v>
      </c>
      <c r="B4175" t="s">
        <v>30</v>
      </c>
      <c r="C4175">
        <v>501</v>
      </c>
      <c r="D4175">
        <v>10</v>
      </c>
      <c r="E4175">
        <v>2</v>
      </c>
      <c r="F4175" t="s">
        <v>1020</v>
      </c>
      <c r="G4175" t="s">
        <v>32</v>
      </c>
      <c r="H4175" t="s">
        <v>33</v>
      </c>
      <c r="I4175" t="s">
        <v>59</v>
      </c>
      <c r="AB4175" t="s">
        <v>742</v>
      </c>
      <c r="AC4175" t="s">
        <v>87</v>
      </c>
    </row>
    <row r="4176" spans="1:30" x14ac:dyDescent="0.35">
      <c r="A4176" s="7">
        <v>42928</v>
      </c>
      <c r="B4176" t="s">
        <v>30</v>
      </c>
      <c r="C4176">
        <v>503</v>
      </c>
      <c r="D4176">
        <v>1</v>
      </c>
      <c r="E4176">
        <v>1</v>
      </c>
      <c r="F4176" t="s">
        <v>1020</v>
      </c>
      <c r="G4176" t="s">
        <v>32</v>
      </c>
      <c r="H4176" t="s">
        <v>33</v>
      </c>
      <c r="I4176" t="s">
        <v>43</v>
      </c>
      <c r="J4176" t="s">
        <v>44</v>
      </c>
      <c r="K4176" t="s">
        <v>113</v>
      </c>
      <c r="L4176" t="s">
        <v>37</v>
      </c>
      <c r="M4176">
        <v>0</v>
      </c>
      <c r="N4176">
        <v>0</v>
      </c>
      <c r="O4176">
        <v>39316</v>
      </c>
      <c r="P4176">
        <v>39317</v>
      </c>
      <c r="Q4176">
        <f>32-15</f>
        <v>17</v>
      </c>
      <c r="R4176" t="s">
        <v>38</v>
      </c>
      <c r="AB4176" t="s">
        <v>742</v>
      </c>
      <c r="AC4176" t="s">
        <v>87</v>
      </c>
      <c r="AD4176" t="s">
        <v>1023</v>
      </c>
    </row>
    <row r="4177" spans="1:29" x14ac:dyDescent="0.35">
      <c r="A4177" s="7">
        <v>42928</v>
      </c>
      <c r="B4177" t="s">
        <v>30</v>
      </c>
      <c r="C4177">
        <v>503</v>
      </c>
      <c r="D4177">
        <v>1</v>
      </c>
      <c r="E4177">
        <v>2</v>
      </c>
      <c r="F4177" t="s">
        <v>1020</v>
      </c>
      <c r="G4177" t="s">
        <v>32</v>
      </c>
      <c r="H4177" t="s">
        <v>33</v>
      </c>
      <c r="I4177" t="s">
        <v>59</v>
      </c>
      <c r="AB4177" t="s">
        <v>742</v>
      </c>
      <c r="AC4177" t="s">
        <v>87</v>
      </c>
    </row>
    <row r="4178" spans="1:29" x14ac:dyDescent="0.35">
      <c r="A4178" s="7">
        <v>42928</v>
      </c>
      <c r="B4178" t="s">
        <v>30</v>
      </c>
      <c r="C4178">
        <v>503</v>
      </c>
      <c r="D4178">
        <v>2</v>
      </c>
      <c r="E4178">
        <v>1</v>
      </c>
      <c r="F4178" t="s">
        <v>1020</v>
      </c>
      <c r="G4178" t="s">
        <v>32</v>
      </c>
      <c r="H4178" t="s">
        <v>33</v>
      </c>
      <c r="I4178" t="s">
        <v>72</v>
      </c>
      <c r="J4178" t="s">
        <v>56</v>
      </c>
      <c r="AB4178" t="s">
        <v>742</v>
      </c>
      <c r="AC4178" t="s">
        <v>87</v>
      </c>
    </row>
    <row r="4179" spans="1:29" x14ac:dyDescent="0.35">
      <c r="A4179" s="7">
        <v>42928</v>
      </c>
      <c r="B4179" t="s">
        <v>30</v>
      </c>
      <c r="C4179">
        <v>503</v>
      </c>
      <c r="D4179">
        <v>3</v>
      </c>
      <c r="E4179">
        <v>1</v>
      </c>
      <c r="F4179" t="s">
        <v>1020</v>
      </c>
      <c r="G4179" t="s">
        <v>32</v>
      </c>
      <c r="H4179" t="s">
        <v>33</v>
      </c>
      <c r="I4179" t="s">
        <v>94</v>
      </c>
      <c r="J4179" t="s">
        <v>35</v>
      </c>
      <c r="K4179" t="s">
        <v>36</v>
      </c>
      <c r="L4179" t="s">
        <v>45</v>
      </c>
      <c r="M4179">
        <v>0</v>
      </c>
      <c r="N4179">
        <v>1</v>
      </c>
      <c r="O4179">
        <v>39320</v>
      </c>
      <c r="Q4179">
        <f>38-15</f>
        <v>23</v>
      </c>
      <c r="R4179" t="s">
        <v>77</v>
      </c>
      <c r="S4179" t="s">
        <v>39</v>
      </c>
      <c r="AB4179" t="s">
        <v>742</v>
      </c>
      <c r="AC4179" t="s">
        <v>87</v>
      </c>
    </row>
    <row r="4180" spans="1:29" x14ac:dyDescent="0.35">
      <c r="A4180" s="7">
        <v>42928</v>
      </c>
      <c r="B4180" t="s">
        <v>30</v>
      </c>
      <c r="C4180">
        <v>503</v>
      </c>
      <c r="D4180">
        <v>3</v>
      </c>
      <c r="E4180">
        <v>2</v>
      </c>
      <c r="F4180" t="s">
        <v>1020</v>
      </c>
      <c r="G4180" t="s">
        <v>32</v>
      </c>
      <c r="H4180" t="s">
        <v>33</v>
      </c>
      <c r="I4180" t="s">
        <v>59</v>
      </c>
      <c r="AB4180" t="s">
        <v>742</v>
      </c>
      <c r="AC4180" t="s">
        <v>87</v>
      </c>
    </row>
    <row r="4181" spans="1:29" x14ac:dyDescent="0.35">
      <c r="A4181" s="7">
        <v>42928</v>
      </c>
      <c r="B4181" t="s">
        <v>30</v>
      </c>
      <c r="C4181">
        <v>503</v>
      </c>
      <c r="D4181">
        <v>5</v>
      </c>
      <c r="E4181">
        <v>1</v>
      </c>
      <c r="F4181" t="s">
        <v>1020</v>
      </c>
      <c r="G4181" t="s">
        <v>32</v>
      </c>
      <c r="H4181" t="s">
        <v>33</v>
      </c>
      <c r="I4181" t="s">
        <v>59</v>
      </c>
      <c r="AB4181" t="s">
        <v>742</v>
      </c>
      <c r="AC4181" t="s">
        <v>87</v>
      </c>
    </row>
    <row r="4182" spans="1:29" x14ac:dyDescent="0.35">
      <c r="A4182" s="7">
        <v>42928</v>
      </c>
      <c r="B4182" t="s">
        <v>30</v>
      </c>
      <c r="C4182">
        <v>503</v>
      </c>
      <c r="D4182">
        <v>5</v>
      </c>
      <c r="E4182">
        <v>2</v>
      </c>
      <c r="F4182" t="s">
        <v>1020</v>
      </c>
      <c r="G4182" t="s">
        <v>32</v>
      </c>
      <c r="H4182" t="s">
        <v>33</v>
      </c>
      <c r="I4182" t="s">
        <v>59</v>
      </c>
      <c r="AB4182" t="s">
        <v>742</v>
      </c>
      <c r="AC4182" t="s">
        <v>87</v>
      </c>
    </row>
    <row r="4183" spans="1:29" x14ac:dyDescent="0.35">
      <c r="A4183" s="7">
        <v>42928</v>
      </c>
      <c r="B4183" t="s">
        <v>30</v>
      </c>
      <c r="C4183">
        <v>503</v>
      </c>
      <c r="D4183">
        <v>6</v>
      </c>
      <c r="E4183">
        <v>1</v>
      </c>
      <c r="F4183" t="s">
        <v>1020</v>
      </c>
      <c r="G4183" t="s">
        <v>32</v>
      </c>
      <c r="H4183" t="s">
        <v>33</v>
      </c>
      <c r="I4183" t="s">
        <v>1029</v>
      </c>
      <c r="J4183" t="s">
        <v>66</v>
      </c>
      <c r="AB4183" t="s">
        <v>742</v>
      </c>
      <c r="AC4183" t="s">
        <v>87</v>
      </c>
    </row>
    <row r="4184" spans="1:29" x14ac:dyDescent="0.35">
      <c r="A4184" s="7">
        <v>42928</v>
      </c>
      <c r="B4184" t="s">
        <v>30</v>
      </c>
      <c r="C4184">
        <v>503</v>
      </c>
      <c r="D4184">
        <v>7</v>
      </c>
      <c r="E4184">
        <v>1</v>
      </c>
      <c r="F4184" t="s">
        <v>1020</v>
      </c>
      <c r="G4184" t="s">
        <v>32</v>
      </c>
      <c r="H4184" t="s">
        <v>33</v>
      </c>
      <c r="I4184" t="s">
        <v>59</v>
      </c>
      <c r="AB4184" t="s">
        <v>742</v>
      </c>
      <c r="AC4184" t="s">
        <v>87</v>
      </c>
    </row>
    <row r="4185" spans="1:29" x14ac:dyDescent="0.35">
      <c r="A4185" s="7">
        <v>42928</v>
      </c>
      <c r="B4185" t="s">
        <v>30</v>
      </c>
      <c r="C4185">
        <v>503</v>
      </c>
      <c r="D4185">
        <v>7</v>
      </c>
      <c r="E4185">
        <v>2</v>
      </c>
      <c r="F4185" t="s">
        <v>1020</v>
      </c>
      <c r="G4185" t="s">
        <v>32</v>
      </c>
      <c r="H4185" t="s">
        <v>33</v>
      </c>
      <c r="I4185" t="s">
        <v>59</v>
      </c>
      <c r="AB4185" t="s">
        <v>742</v>
      </c>
      <c r="AC4185" t="s">
        <v>87</v>
      </c>
    </row>
    <row r="4186" spans="1:29" x14ac:dyDescent="0.35">
      <c r="A4186" s="7">
        <v>42928</v>
      </c>
      <c r="B4186" t="s">
        <v>30</v>
      </c>
      <c r="C4186">
        <v>503</v>
      </c>
      <c r="D4186">
        <v>8</v>
      </c>
      <c r="E4186">
        <v>1</v>
      </c>
      <c r="F4186" t="s">
        <v>1020</v>
      </c>
      <c r="G4186" t="s">
        <v>32</v>
      </c>
      <c r="H4186" t="s">
        <v>33</v>
      </c>
      <c r="I4186" t="s">
        <v>59</v>
      </c>
      <c r="AB4186" t="s">
        <v>742</v>
      </c>
      <c r="AC4186" t="s">
        <v>87</v>
      </c>
    </row>
    <row r="4187" spans="1:29" x14ac:dyDescent="0.35">
      <c r="A4187" s="7">
        <v>42928</v>
      </c>
      <c r="B4187" t="s">
        <v>30</v>
      </c>
      <c r="C4187">
        <v>503</v>
      </c>
      <c r="D4187">
        <v>8</v>
      </c>
      <c r="E4187">
        <v>2</v>
      </c>
      <c r="F4187" t="s">
        <v>1020</v>
      </c>
      <c r="G4187" t="s">
        <v>32</v>
      </c>
      <c r="H4187" t="s">
        <v>33</v>
      </c>
      <c r="I4187" t="s">
        <v>59</v>
      </c>
      <c r="AB4187" t="s">
        <v>742</v>
      </c>
      <c r="AC4187" t="s">
        <v>87</v>
      </c>
    </row>
    <row r="4188" spans="1:29" x14ac:dyDescent="0.35">
      <c r="A4188" s="7">
        <v>42928</v>
      </c>
      <c r="B4188" t="s">
        <v>30</v>
      </c>
      <c r="C4188">
        <v>503</v>
      </c>
      <c r="D4188">
        <v>9</v>
      </c>
      <c r="E4188">
        <v>1</v>
      </c>
      <c r="F4188" t="s">
        <v>1020</v>
      </c>
      <c r="G4188" t="s">
        <v>32</v>
      </c>
      <c r="H4188" t="s">
        <v>33</v>
      </c>
      <c r="I4188" t="s">
        <v>43</v>
      </c>
      <c r="J4188" t="s">
        <v>44</v>
      </c>
      <c r="K4188" t="s">
        <v>36</v>
      </c>
      <c r="L4188" t="s">
        <v>45</v>
      </c>
      <c r="M4188">
        <v>0</v>
      </c>
      <c r="N4188">
        <v>0</v>
      </c>
      <c r="O4188">
        <v>50984</v>
      </c>
      <c r="P4188">
        <v>50983</v>
      </c>
      <c r="Q4188">
        <f>34-14</f>
        <v>20</v>
      </c>
      <c r="R4188" t="s">
        <v>1021</v>
      </c>
      <c r="S4188" t="s">
        <v>102</v>
      </c>
      <c r="AB4188" t="s">
        <v>742</v>
      </c>
      <c r="AC4188" t="s">
        <v>87</v>
      </c>
    </row>
    <row r="4189" spans="1:29" x14ac:dyDescent="0.35">
      <c r="A4189" s="7">
        <v>42928</v>
      </c>
      <c r="B4189" t="s">
        <v>30</v>
      </c>
      <c r="C4189">
        <v>503</v>
      </c>
      <c r="D4189">
        <v>9</v>
      </c>
      <c r="E4189">
        <v>2</v>
      </c>
      <c r="F4189" t="s">
        <v>1020</v>
      </c>
      <c r="G4189" t="s">
        <v>32</v>
      </c>
      <c r="H4189" t="s">
        <v>33</v>
      </c>
      <c r="I4189" t="s">
        <v>43</v>
      </c>
      <c r="J4189" t="s">
        <v>44</v>
      </c>
      <c r="K4189" t="s">
        <v>113</v>
      </c>
      <c r="L4189" t="s">
        <v>45</v>
      </c>
      <c r="M4189">
        <v>0</v>
      </c>
      <c r="N4189">
        <v>0</v>
      </c>
      <c r="O4189">
        <v>39314</v>
      </c>
      <c r="P4189">
        <v>39315</v>
      </c>
      <c r="Q4189">
        <f>34-15</f>
        <v>19</v>
      </c>
      <c r="R4189" t="s">
        <v>46</v>
      </c>
      <c r="S4189" t="s">
        <v>39</v>
      </c>
      <c r="AB4189" t="s">
        <v>742</v>
      </c>
      <c r="AC4189" t="s">
        <v>87</v>
      </c>
    </row>
    <row r="4190" spans="1:29" x14ac:dyDescent="0.35">
      <c r="A4190" s="7">
        <v>42928</v>
      </c>
      <c r="B4190" t="s">
        <v>30</v>
      </c>
      <c r="C4190">
        <v>503</v>
      </c>
      <c r="D4190">
        <v>10</v>
      </c>
      <c r="E4190">
        <v>1</v>
      </c>
      <c r="F4190" t="s">
        <v>1020</v>
      </c>
      <c r="G4190" t="s">
        <v>32</v>
      </c>
      <c r="H4190" t="s">
        <v>33</v>
      </c>
      <c r="I4190" t="s">
        <v>59</v>
      </c>
      <c r="AB4190" t="s">
        <v>742</v>
      </c>
      <c r="AC4190" t="s">
        <v>87</v>
      </c>
    </row>
    <row r="4191" spans="1:29" x14ac:dyDescent="0.35">
      <c r="A4191" s="7">
        <v>42928</v>
      </c>
      <c r="B4191" t="s">
        <v>30</v>
      </c>
      <c r="C4191">
        <v>503</v>
      </c>
      <c r="D4191">
        <v>10</v>
      </c>
      <c r="E4191">
        <v>2</v>
      </c>
      <c r="F4191" t="s">
        <v>1020</v>
      </c>
      <c r="G4191" t="s">
        <v>32</v>
      </c>
      <c r="H4191" t="s">
        <v>33</v>
      </c>
      <c r="I4191" t="s">
        <v>59</v>
      </c>
      <c r="AB4191" t="s">
        <v>742</v>
      </c>
      <c r="AC4191" t="s">
        <v>87</v>
      </c>
    </row>
    <row r="4192" spans="1:29" x14ac:dyDescent="0.35">
      <c r="A4192" s="7">
        <v>42928</v>
      </c>
      <c r="B4192" t="s">
        <v>30</v>
      </c>
      <c r="C4192">
        <v>701</v>
      </c>
      <c r="D4192">
        <v>1</v>
      </c>
      <c r="E4192">
        <v>1</v>
      </c>
      <c r="F4192" t="s">
        <v>315</v>
      </c>
      <c r="G4192" t="s">
        <v>32</v>
      </c>
      <c r="H4192" t="s">
        <v>33</v>
      </c>
      <c r="I4192" t="s">
        <v>59</v>
      </c>
      <c r="AB4192" t="s">
        <v>1031</v>
      </c>
      <c r="AC4192" t="s">
        <v>87</v>
      </c>
    </row>
    <row r="4193" spans="1:30" x14ac:dyDescent="0.35">
      <c r="A4193" s="7">
        <v>42928</v>
      </c>
      <c r="B4193" t="s">
        <v>30</v>
      </c>
      <c r="C4193">
        <v>701</v>
      </c>
      <c r="D4193">
        <v>2</v>
      </c>
      <c r="E4193">
        <v>1</v>
      </c>
      <c r="F4193" t="s">
        <v>315</v>
      </c>
      <c r="G4193" t="s">
        <v>32</v>
      </c>
      <c r="H4193" t="s">
        <v>33</v>
      </c>
      <c r="I4193" t="s">
        <v>59</v>
      </c>
      <c r="AB4193" t="s">
        <v>1031</v>
      </c>
      <c r="AC4193" t="s">
        <v>87</v>
      </c>
    </row>
    <row r="4194" spans="1:30" x14ac:dyDescent="0.35">
      <c r="A4194" s="7">
        <v>42928</v>
      </c>
      <c r="B4194" t="s">
        <v>30</v>
      </c>
      <c r="C4194">
        <v>701</v>
      </c>
      <c r="D4194">
        <v>8</v>
      </c>
      <c r="E4194">
        <v>1</v>
      </c>
      <c r="F4194" t="s">
        <v>315</v>
      </c>
      <c r="G4194" t="s">
        <v>32</v>
      </c>
      <c r="H4194" t="s">
        <v>33</v>
      </c>
      <c r="I4194" t="s">
        <v>59</v>
      </c>
      <c r="AB4194" t="s">
        <v>1031</v>
      </c>
      <c r="AC4194" t="s">
        <v>87</v>
      </c>
    </row>
    <row r="4195" spans="1:30" x14ac:dyDescent="0.35">
      <c r="A4195" s="7">
        <v>42928</v>
      </c>
      <c r="B4195" t="s">
        <v>30</v>
      </c>
      <c r="C4195">
        <v>701</v>
      </c>
      <c r="D4195">
        <v>9</v>
      </c>
      <c r="E4195">
        <v>1</v>
      </c>
      <c r="F4195" t="s">
        <v>315</v>
      </c>
      <c r="G4195" t="s">
        <v>32</v>
      </c>
      <c r="H4195" t="s">
        <v>33</v>
      </c>
      <c r="I4195" t="s">
        <v>43</v>
      </c>
      <c r="J4195" t="s">
        <v>44</v>
      </c>
      <c r="K4195" t="s">
        <v>36</v>
      </c>
      <c r="L4195" t="s">
        <v>45</v>
      </c>
      <c r="M4195">
        <v>0</v>
      </c>
      <c r="N4195">
        <v>0</v>
      </c>
      <c r="O4195">
        <v>39771</v>
      </c>
      <c r="P4195">
        <v>39770</v>
      </c>
      <c r="Q4195">
        <f>31.5-13.5</f>
        <v>18</v>
      </c>
      <c r="R4195" t="s">
        <v>79</v>
      </c>
      <c r="S4195" t="s">
        <v>39</v>
      </c>
      <c r="AB4195" t="s">
        <v>1031</v>
      </c>
      <c r="AC4195" t="s">
        <v>87</v>
      </c>
    </row>
    <row r="4196" spans="1:30" x14ac:dyDescent="0.35">
      <c r="A4196" s="7">
        <v>42928</v>
      </c>
      <c r="B4196" t="s">
        <v>30</v>
      </c>
      <c r="C4196">
        <v>701</v>
      </c>
      <c r="D4196">
        <v>10</v>
      </c>
      <c r="E4196">
        <v>1</v>
      </c>
      <c r="F4196" t="s">
        <v>315</v>
      </c>
      <c r="G4196" t="s">
        <v>32</v>
      </c>
      <c r="H4196" t="s">
        <v>33</v>
      </c>
      <c r="I4196" t="s">
        <v>65</v>
      </c>
      <c r="J4196" t="s">
        <v>44</v>
      </c>
      <c r="K4196" t="s">
        <v>36</v>
      </c>
      <c r="L4196" t="s">
        <v>37</v>
      </c>
      <c r="M4196">
        <v>0</v>
      </c>
      <c r="N4196">
        <v>0</v>
      </c>
      <c r="O4196">
        <v>39108</v>
      </c>
      <c r="Q4196">
        <f>203-48</f>
        <v>155</v>
      </c>
      <c r="R4196" t="s">
        <v>38</v>
      </c>
      <c r="AB4196" t="s">
        <v>1031</v>
      </c>
      <c r="AC4196" t="s">
        <v>87</v>
      </c>
    </row>
    <row r="4197" spans="1:30" x14ac:dyDescent="0.35">
      <c r="A4197" s="7">
        <v>42928</v>
      </c>
      <c r="B4197" t="s">
        <v>30</v>
      </c>
      <c r="C4197">
        <v>703</v>
      </c>
      <c r="D4197">
        <v>1</v>
      </c>
      <c r="E4197">
        <v>1</v>
      </c>
      <c r="F4197" t="s">
        <v>315</v>
      </c>
      <c r="G4197" t="s">
        <v>32</v>
      </c>
      <c r="H4197" t="s">
        <v>33</v>
      </c>
      <c r="I4197" t="s">
        <v>94</v>
      </c>
      <c r="J4197" t="s">
        <v>44</v>
      </c>
      <c r="K4197" t="s">
        <v>36</v>
      </c>
      <c r="L4197" t="s">
        <v>37</v>
      </c>
      <c r="M4197">
        <v>0</v>
      </c>
      <c r="N4197">
        <v>0</v>
      </c>
      <c r="P4197">
        <v>39772</v>
      </c>
      <c r="Q4197">
        <f>32-13.5</f>
        <v>18.5</v>
      </c>
      <c r="R4197" t="s">
        <v>38</v>
      </c>
      <c r="AB4197" t="s">
        <v>1031</v>
      </c>
      <c r="AC4197" t="s">
        <v>87</v>
      </c>
    </row>
    <row r="4198" spans="1:30" x14ac:dyDescent="0.35">
      <c r="A4198" s="7">
        <v>42928</v>
      </c>
      <c r="B4198" t="s">
        <v>30</v>
      </c>
      <c r="C4198">
        <v>703</v>
      </c>
      <c r="D4198">
        <v>2</v>
      </c>
      <c r="E4198">
        <v>1</v>
      </c>
      <c r="F4198" t="s">
        <v>315</v>
      </c>
      <c r="G4198" t="s">
        <v>32</v>
      </c>
      <c r="H4198" t="s">
        <v>33</v>
      </c>
      <c r="I4198" t="s">
        <v>94</v>
      </c>
      <c r="J4198" t="s">
        <v>35</v>
      </c>
      <c r="K4198" t="s">
        <v>36</v>
      </c>
      <c r="L4198" t="s">
        <v>37</v>
      </c>
      <c r="M4198">
        <v>0</v>
      </c>
      <c r="N4198">
        <v>1</v>
      </c>
      <c r="O4198">
        <v>39760</v>
      </c>
      <c r="Q4198">
        <f>33-13</f>
        <v>20</v>
      </c>
      <c r="R4198" t="s">
        <v>38</v>
      </c>
      <c r="AB4198" t="s">
        <v>1031</v>
      </c>
      <c r="AC4198" t="s">
        <v>87</v>
      </c>
    </row>
    <row r="4199" spans="1:30" x14ac:dyDescent="0.35">
      <c r="A4199" s="7">
        <v>42928</v>
      </c>
      <c r="B4199" t="s">
        <v>30</v>
      </c>
      <c r="C4199">
        <v>703</v>
      </c>
      <c r="D4199">
        <v>4</v>
      </c>
      <c r="E4199">
        <v>1</v>
      </c>
      <c r="F4199" t="s">
        <v>315</v>
      </c>
      <c r="G4199" t="s">
        <v>32</v>
      </c>
      <c r="H4199" t="s">
        <v>33</v>
      </c>
      <c r="I4199" t="s">
        <v>94</v>
      </c>
      <c r="J4199" t="s">
        <v>35</v>
      </c>
      <c r="K4199" t="s">
        <v>36</v>
      </c>
      <c r="L4199" t="s">
        <v>45</v>
      </c>
      <c r="M4199">
        <v>0</v>
      </c>
      <c r="N4199">
        <v>1</v>
      </c>
      <c r="P4199">
        <v>39759</v>
      </c>
      <c r="R4199" t="s">
        <v>1021</v>
      </c>
      <c r="S4199" t="s">
        <v>102</v>
      </c>
      <c r="AB4199" t="s">
        <v>1031</v>
      </c>
      <c r="AC4199" t="s">
        <v>87</v>
      </c>
      <c r="AD4199" t="s">
        <v>1032</v>
      </c>
    </row>
    <row r="4200" spans="1:30" x14ac:dyDescent="0.35">
      <c r="A4200" s="7">
        <v>42928</v>
      </c>
      <c r="B4200" t="s">
        <v>30</v>
      </c>
      <c r="C4200">
        <v>703</v>
      </c>
      <c r="D4200">
        <v>4</v>
      </c>
      <c r="E4200">
        <v>2</v>
      </c>
      <c r="F4200" t="s">
        <v>315</v>
      </c>
      <c r="G4200" t="s">
        <v>32</v>
      </c>
      <c r="H4200" t="s">
        <v>33</v>
      </c>
      <c r="I4200" t="s">
        <v>59</v>
      </c>
      <c r="AB4200" t="s">
        <v>1031</v>
      </c>
      <c r="AC4200" t="s">
        <v>87</v>
      </c>
    </row>
    <row r="4201" spans="1:30" x14ac:dyDescent="0.35">
      <c r="A4201" s="7">
        <v>42928</v>
      </c>
      <c r="B4201" t="s">
        <v>30</v>
      </c>
      <c r="C4201">
        <v>703</v>
      </c>
      <c r="D4201">
        <v>5</v>
      </c>
      <c r="E4201">
        <v>1</v>
      </c>
      <c r="F4201" t="s">
        <v>315</v>
      </c>
      <c r="G4201" t="s">
        <v>32</v>
      </c>
      <c r="H4201" t="s">
        <v>33</v>
      </c>
      <c r="I4201" t="s">
        <v>59</v>
      </c>
      <c r="AB4201" t="s">
        <v>1031</v>
      </c>
      <c r="AC4201" t="s">
        <v>87</v>
      </c>
    </row>
    <row r="4202" spans="1:30" x14ac:dyDescent="0.35">
      <c r="A4202" s="7">
        <v>42928</v>
      </c>
      <c r="B4202" t="s">
        <v>30</v>
      </c>
      <c r="C4202">
        <v>703</v>
      </c>
      <c r="D4202">
        <v>9</v>
      </c>
      <c r="E4202">
        <v>1</v>
      </c>
      <c r="F4202" t="s">
        <v>315</v>
      </c>
      <c r="G4202" t="s">
        <v>32</v>
      </c>
      <c r="H4202" t="s">
        <v>33</v>
      </c>
      <c r="I4202" t="s">
        <v>43</v>
      </c>
      <c r="J4202" t="s">
        <v>44</v>
      </c>
      <c r="K4202" t="s">
        <v>36</v>
      </c>
      <c r="L4202" t="s">
        <v>37</v>
      </c>
      <c r="M4202">
        <v>0</v>
      </c>
      <c r="N4202">
        <v>0</v>
      </c>
      <c r="O4202">
        <v>39775</v>
      </c>
      <c r="P4202">
        <v>39774</v>
      </c>
      <c r="Q4202">
        <f>31-13</f>
        <v>18</v>
      </c>
      <c r="R4202" t="s">
        <v>38</v>
      </c>
      <c r="AB4202" t="s">
        <v>1031</v>
      </c>
      <c r="AC4202" t="s">
        <v>87</v>
      </c>
    </row>
    <row r="4203" spans="1:30" x14ac:dyDescent="0.35">
      <c r="A4203" s="7">
        <v>42928</v>
      </c>
      <c r="B4203" t="s">
        <v>30</v>
      </c>
      <c r="C4203">
        <v>703</v>
      </c>
      <c r="D4203">
        <v>9</v>
      </c>
      <c r="E4203">
        <v>2</v>
      </c>
      <c r="F4203" t="s">
        <v>315</v>
      </c>
      <c r="G4203" t="s">
        <v>32</v>
      </c>
      <c r="H4203" t="s">
        <v>33</v>
      </c>
      <c r="I4203" t="s">
        <v>43</v>
      </c>
      <c r="J4203" t="s">
        <v>44</v>
      </c>
      <c r="K4203" t="s">
        <v>88</v>
      </c>
      <c r="L4203" t="s">
        <v>45</v>
      </c>
      <c r="M4203">
        <v>0</v>
      </c>
      <c r="N4203">
        <v>0</v>
      </c>
      <c r="O4203">
        <v>38952</v>
      </c>
      <c r="P4203">
        <v>38951</v>
      </c>
      <c r="Q4203">
        <f>27-13.5</f>
        <v>13.5</v>
      </c>
      <c r="R4203" t="s">
        <v>46</v>
      </c>
      <c r="AB4203" t="s">
        <v>1031</v>
      </c>
      <c r="AC4203" t="s">
        <v>87</v>
      </c>
    </row>
    <row r="4204" spans="1:30" x14ac:dyDescent="0.35">
      <c r="A4204" s="7">
        <v>42928</v>
      </c>
      <c r="B4204" t="s">
        <v>30</v>
      </c>
      <c r="C4204">
        <v>703</v>
      </c>
      <c r="D4204">
        <v>10</v>
      </c>
      <c r="E4204">
        <v>1</v>
      </c>
      <c r="F4204" t="s">
        <v>315</v>
      </c>
      <c r="G4204" t="s">
        <v>32</v>
      </c>
      <c r="H4204" t="s">
        <v>33</v>
      </c>
      <c r="I4204" t="s">
        <v>59</v>
      </c>
      <c r="AB4204" t="s">
        <v>1031</v>
      </c>
      <c r="AC4204" t="s">
        <v>87</v>
      </c>
    </row>
    <row r="4205" spans="1:30" x14ac:dyDescent="0.35">
      <c r="A4205" s="7">
        <v>42928</v>
      </c>
      <c r="B4205" t="s">
        <v>30</v>
      </c>
      <c r="C4205">
        <v>703</v>
      </c>
      <c r="D4205">
        <v>10</v>
      </c>
      <c r="E4205">
        <v>2</v>
      </c>
      <c r="F4205" t="s">
        <v>315</v>
      </c>
      <c r="G4205" t="s">
        <v>32</v>
      </c>
      <c r="H4205" t="s">
        <v>33</v>
      </c>
      <c r="I4205" t="s">
        <v>43</v>
      </c>
      <c r="J4205" t="s">
        <v>66</v>
      </c>
      <c r="O4205">
        <v>39777</v>
      </c>
      <c r="P4205">
        <v>39776</v>
      </c>
      <c r="AB4205" t="s">
        <v>1031</v>
      </c>
      <c r="AC4205" t="s">
        <v>87</v>
      </c>
      <c r="AD4205" t="s">
        <v>1033</v>
      </c>
    </row>
    <row r="4206" spans="1:30" x14ac:dyDescent="0.35">
      <c r="A4206" s="7">
        <v>42928</v>
      </c>
      <c r="B4206" t="s">
        <v>30</v>
      </c>
      <c r="C4206">
        <v>801</v>
      </c>
      <c r="D4206">
        <v>3</v>
      </c>
      <c r="E4206">
        <v>1</v>
      </c>
      <c r="F4206" t="s">
        <v>315</v>
      </c>
      <c r="G4206" t="s">
        <v>32</v>
      </c>
      <c r="H4206" t="s">
        <v>33</v>
      </c>
      <c r="I4206" t="s">
        <v>59</v>
      </c>
      <c r="AB4206" t="s">
        <v>1031</v>
      </c>
      <c r="AC4206" t="s">
        <v>87</v>
      </c>
    </row>
    <row r="4207" spans="1:30" x14ac:dyDescent="0.35">
      <c r="A4207" s="7">
        <v>42928</v>
      </c>
      <c r="B4207" t="s">
        <v>30</v>
      </c>
      <c r="C4207">
        <v>801</v>
      </c>
      <c r="D4207">
        <v>3</v>
      </c>
      <c r="E4207">
        <v>2</v>
      </c>
      <c r="F4207" t="s">
        <v>315</v>
      </c>
      <c r="G4207" t="s">
        <v>32</v>
      </c>
      <c r="H4207" t="s">
        <v>33</v>
      </c>
      <c r="I4207" t="s">
        <v>59</v>
      </c>
      <c r="AB4207" t="s">
        <v>1031</v>
      </c>
      <c r="AC4207" t="s">
        <v>87</v>
      </c>
    </row>
    <row r="4208" spans="1:30" x14ac:dyDescent="0.35">
      <c r="A4208" s="7">
        <v>42928</v>
      </c>
      <c r="B4208" t="s">
        <v>30</v>
      </c>
      <c r="C4208">
        <v>801</v>
      </c>
      <c r="D4208">
        <v>4</v>
      </c>
      <c r="E4208">
        <v>1</v>
      </c>
      <c r="F4208" t="s">
        <v>315</v>
      </c>
      <c r="G4208" t="s">
        <v>32</v>
      </c>
      <c r="H4208" t="s">
        <v>33</v>
      </c>
      <c r="I4208" t="s">
        <v>59</v>
      </c>
      <c r="AB4208" t="s">
        <v>1031</v>
      </c>
      <c r="AC4208" t="s">
        <v>87</v>
      </c>
    </row>
    <row r="4209" spans="1:29" x14ac:dyDescent="0.35">
      <c r="A4209" s="7">
        <v>42928</v>
      </c>
      <c r="B4209" t="s">
        <v>30</v>
      </c>
      <c r="C4209">
        <v>801</v>
      </c>
      <c r="D4209">
        <v>4</v>
      </c>
      <c r="E4209">
        <v>2</v>
      </c>
      <c r="F4209" t="s">
        <v>315</v>
      </c>
      <c r="G4209" t="s">
        <v>32</v>
      </c>
      <c r="H4209" t="s">
        <v>33</v>
      </c>
      <c r="I4209" t="s">
        <v>43</v>
      </c>
      <c r="J4209" t="s">
        <v>35</v>
      </c>
      <c r="K4209" t="s">
        <v>113</v>
      </c>
      <c r="L4209" t="s">
        <v>45</v>
      </c>
      <c r="M4209">
        <v>0</v>
      </c>
      <c r="N4209">
        <v>1</v>
      </c>
      <c r="O4209">
        <v>39758</v>
      </c>
      <c r="P4209">
        <v>39757</v>
      </c>
      <c r="Q4209">
        <f>32-14.5</f>
        <v>17.5</v>
      </c>
      <c r="R4209" t="s">
        <v>79</v>
      </c>
      <c r="S4209" t="s">
        <v>39</v>
      </c>
      <c r="AB4209" t="s">
        <v>1031</v>
      </c>
      <c r="AC4209" t="s">
        <v>87</v>
      </c>
    </row>
    <row r="4210" spans="1:29" x14ac:dyDescent="0.35">
      <c r="A4210" s="7">
        <v>42928</v>
      </c>
      <c r="B4210" t="s">
        <v>30</v>
      </c>
      <c r="C4210">
        <v>801</v>
      </c>
      <c r="D4210">
        <v>5</v>
      </c>
      <c r="E4210">
        <v>1</v>
      </c>
      <c r="F4210" t="s">
        <v>315</v>
      </c>
      <c r="G4210" t="s">
        <v>32</v>
      </c>
      <c r="H4210" t="s">
        <v>33</v>
      </c>
      <c r="I4210" t="s">
        <v>43</v>
      </c>
      <c r="J4210" t="s">
        <v>44</v>
      </c>
      <c r="K4210" t="s">
        <v>36</v>
      </c>
      <c r="L4210" t="s">
        <v>37</v>
      </c>
      <c r="M4210">
        <v>0</v>
      </c>
      <c r="N4210">
        <v>0</v>
      </c>
      <c r="O4210">
        <v>39129</v>
      </c>
      <c r="P4210">
        <v>39769</v>
      </c>
      <c r="Q4210">
        <f>37.5-14.5</f>
        <v>23</v>
      </c>
      <c r="R4210" t="s">
        <v>38</v>
      </c>
      <c r="AB4210" t="s">
        <v>1031</v>
      </c>
      <c r="AC4210" t="s">
        <v>87</v>
      </c>
    </row>
    <row r="4211" spans="1:29" x14ac:dyDescent="0.35">
      <c r="A4211" s="7">
        <v>42928</v>
      </c>
      <c r="B4211" t="s">
        <v>30</v>
      </c>
      <c r="C4211">
        <v>801</v>
      </c>
      <c r="D4211">
        <v>5</v>
      </c>
      <c r="E4211">
        <v>2</v>
      </c>
      <c r="F4211" t="s">
        <v>315</v>
      </c>
      <c r="G4211" t="s">
        <v>32</v>
      </c>
      <c r="H4211" t="s">
        <v>33</v>
      </c>
      <c r="I4211" t="s">
        <v>59</v>
      </c>
      <c r="AB4211" t="s">
        <v>1031</v>
      </c>
      <c r="AC4211" t="s">
        <v>87</v>
      </c>
    </row>
    <row r="4212" spans="1:29" x14ac:dyDescent="0.35">
      <c r="A4212" s="7">
        <v>42928</v>
      </c>
      <c r="B4212" t="s">
        <v>30</v>
      </c>
      <c r="C4212">
        <v>801</v>
      </c>
      <c r="D4212">
        <v>6</v>
      </c>
      <c r="E4212">
        <v>1</v>
      </c>
      <c r="F4212" t="s">
        <v>315</v>
      </c>
      <c r="G4212" t="s">
        <v>32</v>
      </c>
      <c r="H4212" t="s">
        <v>33</v>
      </c>
      <c r="I4212" t="s">
        <v>59</v>
      </c>
      <c r="AB4212" t="s">
        <v>1031</v>
      </c>
      <c r="AC4212" t="s">
        <v>87</v>
      </c>
    </row>
    <row r="4213" spans="1:29" x14ac:dyDescent="0.35">
      <c r="A4213" s="7">
        <v>42928</v>
      </c>
      <c r="B4213" t="s">
        <v>30</v>
      </c>
      <c r="C4213">
        <v>801</v>
      </c>
      <c r="D4213">
        <v>6</v>
      </c>
      <c r="E4213">
        <v>2</v>
      </c>
      <c r="F4213" t="s">
        <v>315</v>
      </c>
      <c r="G4213" t="s">
        <v>32</v>
      </c>
      <c r="H4213" t="s">
        <v>33</v>
      </c>
      <c r="I4213" t="s">
        <v>72</v>
      </c>
      <c r="J4213" t="s">
        <v>56</v>
      </c>
      <c r="AB4213" t="s">
        <v>1031</v>
      </c>
      <c r="AC4213" t="s">
        <v>87</v>
      </c>
    </row>
    <row r="4214" spans="1:29" x14ac:dyDescent="0.35">
      <c r="A4214" s="7">
        <v>42928</v>
      </c>
      <c r="B4214" t="s">
        <v>30</v>
      </c>
      <c r="C4214">
        <v>801</v>
      </c>
      <c r="D4214">
        <v>8</v>
      </c>
      <c r="E4214">
        <v>1</v>
      </c>
      <c r="F4214" t="s">
        <v>315</v>
      </c>
      <c r="G4214" t="s">
        <v>32</v>
      </c>
      <c r="H4214" t="s">
        <v>33</v>
      </c>
      <c r="I4214" t="s">
        <v>59</v>
      </c>
      <c r="AB4214" t="s">
        <v>1031</v>
      </c>
      <c r="AC4214" t="s">
        <v>87</v>
      </c>
    </row>
    <row r="4215" spans="1:29" x14ac:dyDescent="0.35">
      <c r="A4215" s="7">
        <v>42928</v>
      </c>
      <c r="B4215" t="s">
        <v>30</v>
      </c>
      <c r="C4215">
        <v>801</v>
      </c>
      <c r="D4215">
        <v>9</v>
      </c>
      <c r="E4215">
        <v>1</v>
      </c>
      <c r="F4215" t="s">
        <v>315</v>
      </c>
      <c r="G4215" t="s">
        <v>32</v>
      </c>
      <c r="H4215" t="s">
        <v>33</v>
      </c>
      <c r="I4215" t="s">
        <v>58</v>
      </c>
      <c r="J4215" t="s">
        <v>35</v>
      </c>
      <c r="K4215" t="s">
        <v>36</v>
      </c>
      <c r="L4215" t="s">
        <v>45</v>
      </c>
      <c r="M4215">
        <v>0</v>
      </c>
      <c r="N4215">
        <v>1</v>
      </c>
      <c r="O4215">
        <v>39756</v>
      </c>
      <c r="Q4215">
        <f>27-5</f>
        <v>22</v>
      </c>
      <c r="R4215" t="s">
        <v>1021</v>
      </c>
      <c r="S4215" t="s">
        <v>102</v>
      </c>
      <c r="AB4215" t="s">
        <v>1031</v>
      </c>
      <c r="AC4215" t="s">
        <v>87</v>
      </c>
    </row>
    <row r="4216" spans="1:29" x14ac:dyDescent="0.35">
      <c r="A4216" s="7">
        <v>42928</v>
      </c>
      <c r="B4216" t="s">
        <v>30</v>
      </c>
      <c r="C4216">
        <v>803</v>
      </c>
      <c r="D4216">
        <v>1</v>
      </c>
      <c r="E4216">
        <v>1</v>
      </c>
      <c r="F4216" t="s">
        <v>315</v>
      </c>
      <c r="G4216" t="s">
        <v>32</v>
      </c>
      <c r="H4216" t="s">
        <v>33</v>
      </c>
      <c r="I4216" t="s">
        <v>43</v>
      </c>
      <c r="J4216" t="s">
        <v>35</v>
      </c>
      <c r="K4216" t="s">
        <v>36</v>
      </c>
      <c r="L4216" t="s">
        <v>37</v>
      </c>
      <c r="M4216">
        <v>0</v>
      </c>
      <c r="N4216">
        <v>1</v>
      </c>
      <c r="O4216">
        <v>39755</v>
      </c>
      <c r="P4216">
        <v>39754</v>
      </c>
      <c r="Q4216">
        <f>29.5-14.5</f>
        <v>15</v>
      </c>
      <c r="R4216" t="s">
        <v>38</v>
      </c>
      <c r="AB4216" t="s">
        <v>1031</v>
      </c>
      <c r="AC4216" t="s">
        <v>87</v>
      </c>
    </row>
    <row r="4217" spans="1:29" x14ac:dyDescent="0.35">
      <c r="A4217" s="7">
        <v>42928</v>
      </c>
      <c r="B4217" t="s">
        <v>30</v>
      </c>
      <c r="C4217">
        <v>803</v>
      </c>
      <c r="D4217">
        <v>2</v>
      </c>
      <c r="E4217">
        <v>1</v>
      </c>
      <c r="F4217" t="s">
        <v>315</v>
      </c>
      <c r="G4217" t="s">
        <v>32</v>
      </c>
      <c r="H4217" t="s">
        <v>33</v>
      </c>
      <c r="I4217" t="s">
        <v>43</v>
      </c>
      <c r="J4217" t="s">
        <v>44</v>
      </c>
      <c r="K4217" t="s">
        <v>113</v>
      </c>
      <c r="L4217" t="s">
        <v>37</v>
      </c>
      <c r="M4217">
        <v>0</v>
      </c>
      <c r="N4217">
        <v>0</v>
      </c>
      <c r="O4217">
        <v>39766</v>
      </c>
      <c r="P4217">
        <v>39765</v>
      </c>
      <c r="Q4217">
        <f>32-15.5</f>
        <v>16.5</v>
      </c>
      <c r="R4217" t="s">
        <v>38</v>
      </c>
      <c r="AB4217" t="s">
        <v>1031</v>
      </c>
      <c r="AC4217" t="s">
        <v>87</v>
      </c>
    </row>
    <row r="4218" spans="1:29" x14ac:dyDescent="0.35">
      <c r="A4218" s="7">
        <v>42928</v>
      </c>
      <c r="B4218" t="s">
        <v>30</v>
      </c>
      <c r="C4218">
        <v>803</v>
      </c>
      <c r="D4218">
        <v>6</v>
      </c>
      <c r="E4218">
        <v>1</v>
      </c>
      <c r="F4218" t="s">
        <v>315</v>
      </c>
      <c r="G4218" t="s">
        <v>32</v>
      </c>
      <c r="H4218" t="s">
        <v>33</v>
      </c>
      <c r="I4218" t="s">
        <v>43</v>
      </c>
      <c r="J4218" t="s">
        <v>44</v>
      </c>
      <c r="K4218" t="s">
        <v>36</v>
      </c>
      <c r="L4218" t="s">
        <v>37</v>
      </c>
      <c r="M4218">
        <v>0</v>
      </c>
      <c r="N4218">
        <v>0</v>
      </c>
      <c r="O4218">
        <v>39768</v>
      </c>
      <c r="P4218">
        <v>39767</v>
      </c>
      <c r="Q4218">
        <f>34-15.5</f>
        <v>18.5</v>
      </c>
      <c r="R4218" t="s">
        <v>38</v>
      </c>
      <c r="AB4218" t="s">
        <v>1031</v>
      </c>
      <c r="AC4218" t="s">
        <v>87</v>
      </c>
    </row>
    <row r="4219" spans="1:29" x14ac:dyDescent="0.35">
      <c r="A4219" s="7">
        <v>42928</v>
      </c>
      <c r="B4219" t="s">
        <v>30</v>
      </c>
      <c r="C4219">
        <v>803</v>
      </c>
      <c r="D4219">
        <v>8</v>
      </c>
      <c r="E4219">
        <v>1</v>
      </c>
      <c r="F4219" t="s">
        <v>315</v>
      </c>
      <c r="G4219" t="s">
        <v>32</v>
      </c>
      <c r="H4219" t="s">
        <v>33</v>
      </c>
      <c r="I4219" t="s">
        <v>94</v>
      </c>
      <c r="J4219" t="s">
        <v>44</v>
      </c>
      <c r="K4219" t="s">
        <v>36</v>
      </c>
      <c r="L4219" t="s">
        <v>45</v>
      </c>
      <c r="M4219">
        <v>0</v>
      </c>
      <c r="N4219">
        <v>0</v>
      </c>
      <c r="P4219">
        <v>50615</v>
      </c>
      <c r="Q4219">
        <f>39-14</f>
        <v>25</v>
      </c>
      <c r="R4219" t="s">
        <v>1021</v>
      </c>
      <c r="S4219" t="s">
        <v>102</v>
      </c>
      <c r="AB4219" t="s">
        <v>1031</v>
      </c>
      <c r="AC4219" t="s">
        <v>87</v>
      </c>
    </row>
    <row r="4220" spans="1:29" x14ac:dyDescent="0.35">
      <c r="A4220" s="7">
        <v>42928</v>
      </c>
      <c r="B4220" t="s">
        <v>30</v>
      </c>
      <c r="C4220">
        <v>901</v>
      </c>
      <c r="D4220">
        <v>1</v>
      </c>
      <c r="E4220">
        <v>1</v>
      </c>
      <c r="F4220" t="s">
        <v>315</v>
      </c>
      <c r="G4220" t="s">
        <v>32</v>
      </c>
      <c r="H4220" t="s">
        <v>33</v>
      </c>
      <c r="I4220" t="s">
        <v>84</v>
      </c>
      <c r="AB4220" t="s">
        <v>1031</v>
      </c>
      <c r="AC4220" t="s">
        <v>87</v>
      </c>
    </row>
    <row r="4221" spans="1:29" x14ac:dyDescent="0.35">
      <c r="A4221" s="7">
        <v>42928</v>
      </c>
      <c r="B4221" t="s">
        <v>30</v>
      </c>
      <c r="C4221">
        <v>901</v>
      </c>
      <c r="D4221">
        <v>2</v>
      </c>
      <c r="E4221">
        <v>1</v>
      </c>
      <c r="F4221" t="s">
        <v>315</v>
      </c>
      <c r="G4221" t="s">
        <v>32</v>
      </c>
      <c r="H4221" t="s">
        <v>33</v>
      </c>
      <c r="I4221" t="s">
        <v>43</v>
      </c>
      <c r="J4221" t="s">
        <v>44</v>
      </c>
      <c r="K4221" t="s">
        <v>36</v>
      </c>
      <c r="L4221" t="s">
        <v>45</v>
      </c>
      <c r="M4221">
        <v>0</v>
      </c>
      <c r="N4221">
        <v>0</v>
      </c>
      <c r="O4221">
        <v>39764</v>
      </c>
      <c r="P4221">
        <v>39763</v>
      </c>
      <c r="Q4221">
        <f>41-14</f>
        <v>27</v>
      </c>
      <c r="R4221" t="s">
        <v>77</v>
      </c>
      <c r="S4221" t="s">
        <v>39</v>
      </c>
      <c r="AB4221" t="s">
        <v>1031</v>
      </c>
      <c r="AC4221" t="s">
        <v>87</v>
      </c>
    </row>
    <row r="4222" spans="1:29" x14ac:dyDescent="0.35">
      <c r="A4222" s="7">
        <v>42928</v>
      </c>
      <c r="B4222" t="s">
        <v>30</v>
      </c>
      <c r="C4222">
        <v>901</v>
      </c>
      <c r="D4222">
        <v>2</v>
      </c>
      <c r="E4222">
        <v>2</v>
      </c>
      <c r="F4222" t="s">
        <v>315</v>
      </c>
      <c r="G4222" t="s">
        <v>32</v>
      </c>
      <c r="H4222" t="s">
        <v>33</v>
      </c>
      <c r="I4222" t="s">
        <v>59</v>
      </c>
      <c r="AB4222" t="s">
        <v>1031</v>
      </c>
      <c r="AC4222" t="s">
        <v>87</v>
      </c>
    </row>
    <row r="4223" spans="1:29" x14ac:dyDescent="0.35">
      <c r="A4223" s="7">
        <v>42928</v>
      </c>
      <c r="B4223" t="s">
        <v>30</v>
      </c>
      <c r="C4223">
        <v>901</v>
      </c>
      <c r="D4223">
        <v>3</v>
      </c>
      <c r="E4223">
        <v>1</v>
      </c>
      <c r="F4223" t="s">
        <v>315</v>
      </c>
      <c r="G4223" t="s">
        <v>32</v>
      </c>
      <c r="H4223" t="s">
        <v>33</v>
      </c>
      <c r="I4223" t="s">
        <v>59</v>
      </c>
      <c r="AB4223" t="s">
        <v>1031</v>
      </c>
      <c r="AC4223" t="s">
        <v>87</v>
      </c>
    </row>
    <row r="4224" spans="1:29" x14ac:dyDescent="0.35">
      <c r="A4224" s="7">
        <v>42928</v>
      </c>
      <c r="B4224" t="s">
        <v>30</v>
      </c>
      <c r="C4224">
        <v>901</v>
      </c>
      <c r="D4224">
        <v>4</v>
      </c>
      <c r="E4224">
        <v>1</v>
      </c>
      <c r="F4224" t="s">
        <v>315</v>
      </c>
      <c r="G4224" t="s">
        <v>32</v>
      </c>
      <c r="H4224" t="s">
        <v>33</v>
      </c>
      <c r="I4224" t="s">
        <v>59</v>
      </c>
      <c r="AB4224" t="s">
        <v>1031</v>
      </c>
      <c r="AC4224" t="s">
        <v>87</v>
      </c>
    </row>
    <row r="4225" spans="1:30" x14ac:dyDescent="0.35">
      <c r="A4225" s="7">
        <v>42928</v>
      </c>
      <c r="B4225" t="s">
        <v>30</v>
      </c>
      <c r="C4225">
        <v>901</v>
      </c>
      <c r="D4225">
        <v>5</v>
      </c>
      <c r="E4225">
        <v>1</v>
      </c>
      <c r="F4225" t="s">
        <v>315</v>
      </c>
      <c r="G4225" t="s">
        <v>32</v>
      </c>
      <c r="H4225" t="s">
        <v>33</v>
      </c>
      <c r="I4225" t="s">
        <v>43</v>
      </c>
      <c r="J4225" t="s">
        <v>44</v>
      </c>
      <c r="K4225" t="s">
        <v>36</v>
      </c>
      <c r="L4225" t="s">
        <v>45</v>
      </c>
      <c r="M4225">
        <v>0</v>
      </c>
      <c r="N4225">
        <v>0</v>
      </c>
      <c r="O4225">
        <v>39145</v>
      </c>
      <c r="P4225">
        <v>39144</v>
      </c>
      <c r="Q4225">
        <f>42-16</f>
        <v>26</v>
      </c>
      <c r="R4225" t="s">
        <v>77</v>
      </c>
      <c r="AB4225" t="s">
        <v>1031</v>
      </c>
      <c r="AC4225" t="s">
        <v>87</v>
      </c>
      <c r="AD4225" t="s">
        <v>710</v>
      </c>
    </row>
    <row r="4226" spans="1:30" x14ac:dyDescent="0.35">
      <c r="A4226" s="7">
        <v>42928</v>
      </c>
      <c r="B4226" t="s">
        <v>30</v>
      </c>
      <c r="C4226">
        <v>901</v>
      </c>
      <c r="D4226">
        <v>5</v>
      </c>
      <c r="E4226">
        <v>2</v>
      </c>
      <c r="F4226" t="s">
        <v>315</v>
      </c>
      <c r="G4226" t="s">
        <v>32</v>
      </c>
      <c r="H4226" t="s">
        <v>33</v>
      </c>
      <c r="I4226" t="s">
        <v>84</v>
      </c>
      <c r="AB4226" t="s">
        <v>1031</v>
      </c>
      <c r="AC4226" t="s">
        <v>87</v>
      </c>
    </row>
    <row r="4227" spans="1:30" x14ac:dyDescent="0.35">
      <c r="A4227" s="7">
        <v>42928</v>
      </c>
      <c r="B4227" t="s">
        <v>30</v>
      </c>
      <c r="C4227">
        <v>901</v>
      </c>
      <c r="D4227">
        <v>7</v>
      </c>
      <c r="E4227">
        <v>1</v>
      </c>
      <c r="F4227" t="s">
        <v>315</v>
      </c>
      <c r="G4227" t="s">
        <v>32</v>
      </c>
      <c r="H4227" t="s">
        <v>33</v>
      </c>
      <c r="I4227" t="s">
        <v>43</v>
      </c>
      <c r="J4227" t="s">
        <v>44</v>
      </c>
      <c r="K4227" t="s">
        <v>36</v>
      </c>
      <c r="L4227" t="s">
        <v>37</v>
      </c>
      <c r="M4227">
        <v>1</v>
      </c>
      <c r="N4227">
        <v>0</v>
      </c>
      <c r="O4227">
        <v>39126</v>
      </c>
      <c r="P4227">
        <v>39753</v>
      </c>
      <c r="Q4227">
        <f>35-15</f>
        <v>20</v>
      </c>
      <c r="R4227" t="s">
        <v>38</v>
      </c>
      <c r="AB4227" t="s">
        <v>1031</v>
      </c>
      <c r="AC4227" t="s">
        <v>87</v>
      </c>
      <c r="AD4227" t="s">
        <v>1034</v>
      </c>
    </row>
    <row r="4228" spans="1:30" x14ac:dyDescent="0.35">
      <c r="A4228" s="7">
        <v>42928</v>
      </c>
      <c r="B4228" t="s">
        <v>30</v>
      </c>
      <c r="C4228">
        <v>901</v>
      </c>
      <c r="D4228">
        <v>8</v>
      </c>
      <c r="E4228">
        <v>1</v>
      </c>
      <c r="F4228" t="s">
        <v>315</v>
      </c>
      <c r="G4228" t="s">
        <v>32</v>
      </c>
      <c r="H4228" t="s">
        <v>33</v>
      </c>
      <c r="I4228" t="s">
        <v>43</v>
      </c>
      <c r="J4228" t="s">
        <v>44</v>
      </c>
      <c r="K4228" t="s">
        <v>113</v>
      </c>
      <c r="L4228" t="s">
        <v>37</v>
      </c>
      <c r="M4228">
        <v>0</v>
      </c>
      <c r="N4228">
        <v>0</v>
      </c>
      <c r="O4228">
        <v>39762</v>
      </c>
      <c r="P4228">
        <v>39761</v>
      </c>
      <c r="Q4228">
        <f>39-20</f>
        <v>19</v>
      </c>
      <c r="R4228" t="s">
        <v>38</v>
      </c>
      <c r="AB4228" t="s">
        <v>1031</v>
      </c>
      <c r="AC4228" t="s">
        <v>87</v>
      </c>
    </row>
    <row r="4229" spans="1:30" x14ac:dyDescent="0.35">
      <c r="A4229" s="7">
        <v>42929</v>
      </c>
      <c r="B4229" t="s">
        <v>30</v>
      </c>
      <c r="C4229">
        <v>303</v>
      </c>
      <c r="D4229">
        <v>1</v>
      </c>
      <c r="E4229">
        <v>1</v>
      </c>
      <c r="F4229" t="s">
        <v>1020</v>
      </c>
      <c r="G4229" t="s">
        <v>32</v>
      </c>
      <c r="H4229" t="s">
        <v>33</v>
      </c>
      <c r="I4229" t="s">
        <v>59</v>
      </c>
      <c r="AB4229" t="s">
        <v>1031</v>
      </c>
      <c r="AC4229" t="s">
        <v>87</v>
      </c>
    </row>
    <row r="4230" spans="1:30" x14ac:dyDescent="0.35">
      <c r="A4230" s="7">
        <v>42929</v>
      </c>
      <c r="B4230" t="s">
        <v>30</v>
      </c>
      <c r="C4230">
        <v>303</v>
      </c>
      <c r="D4230">
        <v>2</v>
      </c>
      <c r="E4230">
        <v>1</v>
      </c>
      <c r="F4230" t="s">
        <v>1020</v>
      </c>
      <c r="G4230" t="s">
        <v>32</v>
      </c>
      <c r="H4230" t="s">
        <v>33</v>
      </c>
      <c r="I4230" t="s">
        <v>59</v>
      </c>
      <c r="AB4230" t="s">
        <v>1031</v>
      </c>
      <c r="AC4230" t="s">
        <v>87</v>
      </c>
    </row>
    <row r="4231" spans="1:30" x14ac:dyDescent="0.35">
      <c r="A4231" s="7">
        <v>42929</v>
      </c>
      <c r="B4231" t="s">
        <v>30</v>
      </c>
      <c r="C4231">
        <v>303</v>
      </c>
      <c r="D4231">
        <v>2</v>
      </c>
      <c r="E4231">
        <v>2</v>
      </c>
      <c r="F4231" t="s">
        <v>1020</v>
      </c>
      <c r="G4231" t="s">
        <v>32</v>
      </c>
      <c r="H4231" t="s">
        <v>33</v>
      </c>
      <c r="I4231" t="s">
        <v>59</v>
      </c>
      <c r="AB4231" t="s">
        <v>1031</v>
      </c>
      <c r="AC4231" t="s">
        <v>87</v>
      </c>
    </row>
    <row r="4232" spans="1:30" x14ac:dyDescent="0.35">
      <c r="A4232" s="7">
        <v>42929</v>
      </c>
      <c r="B4232" t="s">
        <v>30</v>
      </c>
      <c r="C4232">
        <v>303</v>
      </c>
      <c r="D4232">
        <v>3</v>
      </c>
      <c r="E4232">
        <v>1</v>
      </c>
      <c r="F4232" t="s">
        <v>1020</v>
      </c>
      <c r="G4232" t="s">
        <v>32</v>
      </c>
      <c r="H4232" t="s">
        <v>33</v>
      </c>
      <c r="I4232" t="s">
        <v>59</v>
      </c>
      <c r="AB4232" t="s">
        <v>1031</v>
      </c>
      <c r="AC4232" t="s">
        <v>87</v>
      </c>
    </row>
    <row r="4233" spans="1:30" x14ac:dyDescent="0.35">
      <c r="A4233" s="7">
        <v>42929</v>
      </c>
      <c r="B4233" t="s">
        <v>30</v>
      </c>
      <c r="C4233">
        <v>303</v>
      </c>
      <c r="D4233">
        <v>3</v>
      </c>
      <c r="E4233">
        <v>2</v>
      </c>
      <c r="F4233" t="s">
        <v>1020</v>
      </c>
      <c r="G4233" t="s">
        <v>32</v>
      </c>
      <c r="H4233" t="s">
        <v>33</v>
      </c>
      <c r="I4233" t="s">
        <v>59</v>
      </c>
      <c r="AB4233" t="s">
        <v>1031</v>
      </c>
      <c r="AC4233" t="s">
        <v>87</v>
      </c>
    </row>
    <row r="4234" spans="1:30" x14ac:dyDescent="0.35">
      <c r="A4234" s="7">
        <v>42929</v>
      </c>
      <c r="B4234" t="s">
        <v>30</v>
      </c>
      <c r="C4234">
        <v>303</v>
      </c>
      <c r="D4234">
        <v>4</v>
      </c>
      <c r="E4234">
        <v>1</v>
      </c>
      <c r="F4234" t="s">
        <v>1020</v>
      </c>
      <c r="G4234" t="s">
        <v>32</v>
      </c>
      <c r="H4234" t="s">
        <v>33</v>
      </c>
      <c r="I4234" t="s">
        <v>59</v>
      </c>
      <c r="AB4234" t="s">
        <v>1031</v>
      </c>
      <c r="AC4234" t="s">
        <v>87</v>
      </c>
    </row>
    <row r="4235" spans="1:30" x14ac:dyDescent="0.35">
      <c r="A4235" s="7">
        <v>42929</v>
      </c>
      <c r="B4235" t="s">
        <v>30</v>
      </c>
      <c r="C4235">
        <v>303</v>
      </c>
      <c r="D4235">
        <v>4</v>
      </c>
      <c r="E4235">
        <v>2</v>
      </c>
      <c r="F4235" t="s">
        <v>1020</v>
      </c>
      <c r="G4235" t="s">
        <v>32</v>
      </c>
      <c r="H4235" t="s">
        <v>33</v>
      </c>
      <c r="I4235" t="s">
        <v>59</v>
      </c>
      <c r="AB4235" t="s">
        <v>1031</v>
      </c>
      <c r="AC4235" t="s">
        <v>87</v>
      </c>
    </row>
    <row r="4236" spans="1:30" x14ac:dyDescent="0.35">
      <c r="A4236" s="7">
        <v>42929</v>
      </c>
      <c r="B4236" t="s">
        <v>30</v>
      </c>
      <c r="C4236">
        <v>303</v>
      </c>
      <c r="D4236">
        <v>5</v>
      </c>
      <c r="E4236">
        <v>1</v>
      </c>
      <c r="F4236" t="s">
        <v>1020</v>
      </c>
      <c r="G4236" t="s">
        <v>32</v>
      </c>
      <c r="H4236" t="s">
        <v>33</v>
      </c>
      <c r="I4236" t="s">
        <v>59</v>
      </c>
      <c r="AB4236" t="s">
        <v>1031</v>
      </c>
      <c r="AC4236" t="s">
        <v>87</v>
      </c>
    </row>
    <row r="4237" spans="1:30" x14ac:dyDescent="0.35">
      <c r="A4237" s="7">
        <v>42929</v>
      </c>
      <c r="B4237" t="s">
        <v>30</v>
      </c>
      <c r="C4237">
        <v>303</v>
      </c>
      <c r="D4237">
        <v>5</v>
      </c>
      <c r="E4237">
        <v>2</v>
      </c>
      <c r="F4237" t="s">
        <v>1020</v>
      </c>
      <c r="G4237" t="s">
        <v>32</v>
      </c>
      <c r="H4237" t="s">
        <v>33</v>
      </c>
      <c r="I4237" t="s">
        <v>59</v>
      </c>
      <c r="AB4237" t="s">
        <v>1031</v>
      </c>
      <c r="AC4237" t="s">
        <v>87</v>
      </c>
    </row>
    <row r="4238" spans="1:30" x14ac:dyDescent="0.35">
      <c r="A4238" s="7">
        <v>42929</v>
      </c>
      <c r="B4238" t="s">
        <v>30</v>
      </c>
      <c r="C4238">
        <v>303</v>
      </c>
      <c r="D4238">
        <v>6</v>
      </c>
      <c r="E4238">
        <v>1</v>
      </c>
      <c r="F4238" t="s">
        <v>1020</v>
      </c>
      <c r="G4238" t="s">
        <v>32</v>
      </c>
      <c r="H4238" t="s">
        <v>33</v>
      </c>
      <c r="I4238" t="s">
        <v>59</v>
      </c>
      <c r="AB4238" t="s">
        <v>1031</v>
      </c>
      <c r="AC4238" t="s">
        <v>87</v>
      </c>
    </row>
    <row r="4239" spans="1:30" x14ac:dyDescent="0.35">
      <c r="A4239" s="7">
        <v>42929</v>
      </c>
      <c r="B4239" t="s">
        <v>30</v>
      </c>
      <c r="C4239">
        <v>303</v>
      </c>
      <c r="D4239">
        <v>6</v>
      </c>
      <c r="E4239">
        <v>2</v>
      </c>
      <c r="F4239" t="s">
        <v>1020</v>
      </c>
      <c r="G4239" t="s">
        <v>32</v>
      </c>
      <c r="H4239" t="s">
        <v>33</v>
      </c>
      <c r="I4239" t="s">
        <v>43</v>
      </c>
      <c r="J4239" t="s">
        <v>44</v>
      </c>
      <c r="K4239" t="s">
        <v>113</v>
      </c>
      <c r="L4239" t="s">
        <v>37</v>
      </c>
      <c r="M4239">
        <v>0</v>
      </c>
      <c r="N4239">
        <v>0</v>
      </c>
      <c r="O4239">
        <v>39318</v>
      </c>
      <c r="P4239">
        <v>39319</v>
      </c>
      <c r="Q4239">
        <f>30-14</f>
        <v>16</v>
      </c>
      <c r="R4239" t="s">
        <v>38</v>
      </c>
      <c r="AB4239" t="s">
        <v>1031</v>
      </c>
      <c r="AC4239" t="s">
        <v>87</v>
      </c>
    </row>
    <row r="4240" spans="1:30" x14ac:dyDescent="0.35">
      <c r="A4240" s="7">
        <v>42929</v>
      </c>
      <c r="B4240" t="s">
        <v>30</v>
      </c>
      <c r="C4240">
        <v>303</v>
      </c>
      <c r="D4240">
        <v>7</v>
      </c>
      <c r="E4240">
        <v>1</v>
      </c>
      <c r="F4240" t="s">
        <v>1020</v>
      </c>
      <c r="G4240" t="s">
        <v>32</v>
      </c>
      <c r="H4240" t="s">
        <v>33</v>
      </c>
      <c r="I4240" t="s">
        <v>59</v>
      </c>
      <c r="AB4240" t="s">
        <v>1031</v>
      </c>
      <c r="AC4240" t="s">
        <v>87</v>
      </c>
    </row>
    <row r="4241" spans="1:29" x14ac:dyDescent="0.35">
      <c r="A4241" s="7">
        <v>42929</v>
      </c>
      <c r="B4241" t="s">
        <v>30</v>
      </c>
      <c r="C4241">
        <v>303</v>
      </c>
      <c r="D4241">
        <v>7</v>
      </c>
      <c r="E4241">
        <v>2</v>
      </c>
      <c r="F4241" t="s">
        <v>1020</v>
      </c>
      <c r="G4241" t="s">
        <v>32</v>
      </c>
      <c r="H4241" t="s">
        <v>33</v>
      </c>
      <c r="I4241" t="s">
        <v>59</v>
      </c>
      <c r="AB4241" t="s">
        <v>1031</v>
      </c>
      <c r="AC4241" t="s">
        <v>87</v>
      </c>
    </row>
    <row r="4242" spans="1:29" x14ac:dyDescent="0.35">
      <c r="A4242" s="7">
        <v>42929</v>
      </c>
      <c r="B4242" t="s">
        <v>30</v>
      </c>
      <c r="C4242">
        <v>303</v>
      </c>
      <c r="D4242">
        <v>8</v>
      </c>
      <c r="E4242">
        <v>1</v>
      </c>
      <c r="F4242" t="s">
        <v>1020</v>
      </c>
      <c r="G4242" t="s">
        <v>32</v>
      </c>
      <c r="H4242" t="s">
        <v>33</v>
      </c>
      <c r="I4242" t="s">
        <v>59</v>
      </c>
      <c r="AB4242" t="s">
        <v>1031</v>
      </c>
      <c r="AC4242" t="s">
        <v>87</v>
      </c>
    </row>
    <row r="4243" spans="1:29" x14ac:dyDescent="0.35">
      <c r="A4243" s="7">
        <v>42929</v>
      </c>
      <c r="B4243" t="s">
        <v>30</v>
      </c>
      <c r="C4243">
        <v>303</v>
      </c>
      <c r="D4243">
        <v>8</v>
      </c>
      <c r="E4243">
        <v>2</v>
      </c>
      <c r="F4243" t="s">
        <v>1020</v>
      </c>
      <c r="G4243" t="s">
        <v>32</v>
      </c>
      <c r="H4243" t="s">
        <v>33</v>
      </c>
      <c r="I4243" t="s">
        <v>59</v>
      </c>
      <c r="AB4243" t="s">
        <v>1031</v>
      </c>
      <c r="AC4243" t="s">
        <v>87</v>
      </c>
    </row>
    <row r="4244" spans="1:29" x14ac:dyDescent="0.35">
      <c r="A4244" s="7">
        <v>42929</v>
      </c>
      <c r="B4244" t="s">
        <v>30</v>
      </c>
      <c r="C4244">
        <v>303</v>
      </c>
      <c r="D4244">
        <v>9</v>
      </c>
      <c r="E4244">
        <v>1</v>
      </c>
      <c r="F4244" t="s">
        <v>1020</v>
      </c>
      <c r="G4244" t="s">
        <v>32</v>
      </c>
      <c r="H4244" t="s">
        <v>33</v>
      </c>
      <c r="I4244" t="s">
        <v>43</v>
      </c>
      <c r="J4244" t="s">
        <v>44</v>
      </c>
      <c r="K4244" t="s">
        <v>113</v>
      </c>
      <c r="L4244" t="s">
        <v>37</v>
      </c>
      <c r="M4244">
        <v>0</v>
      </c>
      <c r="N4244">
        <v>0</v>
      </c>
      <c r="O4244">
        <v>39191</v>
      </c>
      <c r="P4244">
        <v>39190</v>
      </c>
      <c r="Q4244">
        <f>31-14</f>
        <v>17</v>
      </c>
      <c r="R4244" t="s">
        <v>38</v>
      </c>
      <c r="AB4244" t="s">
        <v>1031</v>
      </c>
      <c r="AC4244" t="s">
        <v>87</v>
      </c>
    </row>
    <row r="4245" spans="1:29" x14ac:dyDescent="0.35">
      <c r="A4245" s="7">
        <v>42929</v>
      </c>
      <c r="B4245" t="s">
        <v>30</v>
      </c>
      <c r="C4245">
        <v>303</v>
      </c>
      <c r="D4245">
        <v>9</v>
      </c>
      <c r="E4245">
        <v>2</v>
      </c>
      <c r="F4245" t="s">
        <v>1020</v>
      </c>
      <c r="G4245" t="s">
        <v>32</v>
      </c>
      <c r="H4245" t="s">
        <v>33</v>
      </c>
      <c r="I4245" t="s">
        <v>59</v>
      </c>
      <c r="AB4245" t="s">
        <v>1031</v>
      </c>
      <c r="AC4245" t="s">
        <v>87</v>
      </c>
    </row>
    <row r="4246" spans="1:29" x14ac:dyDescent="0.35">
      <c r="A4246" s="7">
        <v>42929</v>
      </c>
      <c r="B4246" t="s">
        <v>30</v>
      </c>
      <c r="C4246">
        <v>303</v>
      </c>
      <c r="D4246">
        <v>10</v>
      </c>
      <c r="E4246">
        <v>1</v>
      </c>
      <c r="F4246" t="s">
        <v>1020</v>
      </c>
      <c r="G4246" t="s">
        <v>32</v>
      </c>
      <c r="H4246" t="s">
        <v>33</v>
      </c>
      <c r="I4246" t="s">
        <v>59</v>
      </c>
      <c r="AB4246" t="s">
        <v>1031</v>
      </c>
      <c r="AC4246" t="s">
        <v>87</v>
      </c>
    </row>
    <row r="4247" spans="1:29" x14ac:dyDescent="0.35">
      <c r="A4247" s="7">
        <v>42929</v>
      </c>
      <c r="B4247" t="s">
        <v>30</v>
      </c>
      <c r="C4247">
        <v>303</v>
      </c>
      <c r="D4247">
        <v>10</v>
      </c>
      <c r="E4247">
        <v>2</v>
      </c>
      <c r="F4247" t="s">
        <v>1020</v>
      </c>
      <c r="G4247" t="s">
        <v>32</v>
      </c>
      <c r="H4247" t="s">
        <v>33</v>
      </c>
      <c r="I4247" t="s">
        <v>59</v>
      </c>
      <c r="AB4247" t="s">
        <v>1031</v>
      </c>
      <c r="AC4247" t="s">
        <v>87</v>
      </c>
    </row>
    <row r="4248" spans="1:29" x14ac:dyDescent="0.35">
      <c r="A4248" s="7">
        <v>42929</v>
      </c>
      <c r="B4248" t="s">
        <v>30</v>
      </c>
      <c r="C4248">
        <v>401</v>
      </c>
      <c r="D4248">
        <v>1</v>
      </c>
      <c r="E4248">
        <v>1</v>
      </c>
      <c r="F4248" t="s">
        <v>1020</v>
      </c>
      <c r="G4248" t="s">
        <v>32</v>
      </c>
      <c r="H4248" t="s">
        <v>33</v>
      </c>
      <c r="I4248" t="s">
        <v>84</v>
      </c>
      <c r="AB4248" t="s">
        <v>1031</v>
      </c>
      <c r="AC4248" t="s">
        <v>87</v>
      </c>
    </row>
    <row r="4249" spans="1:29" x14ac:dyDescent="0.35">
      <c r="A4249" s="7">
        <v>42929</v>
      </c>
      <c r="B4249" t="s">
        <v>30</v>
      </c>
      <c r="C4249">
        <v>401</v>
      </c>
      <c r="D4249">
        <v>1</v>
      </c>
      <c r="E4249">
        <v>2</v>
      </c>
      <c r="F4249" t="s">
        <v>1020</v>
      </c>
      <c r="G4249" t="s">
        <v>32</v>
      </c>
      <c r="H4249" t="s">
        <v>33</v>
      </c>
      <c r="I4249" t="s">
        <v>84</v>
      </c>
      <c r="AB4249" t="s">
        <v>1031</v>
      </c>
      <c r="AC4249" t="s">
        <v>87</v>
      </c>
    </row>
    <row r="4250" spans="1:29" x14ac:dyDescent="0.35">
      <c r="A4250" s="7">
        <v>42929</v>
      </c>
      <c r="B4250" t="s">
        <v>30</v>
      </c>
      <c r="C4250">
        <v>401</v>
      </c>
      <c r="D4250">
        <v>2</v>
      </c>
      <c r="E4250">
        <v>1</v>
      </c>
      <c r="F4250" t="s">
        <v>1020</v>
      </c>
      <c r="G4250" t="s">
        <v>32</v>
      </c>
      <c r="H4250" t="s">
        <v>33</v>
      </c>
      <c r="I4250" t="s">
        <v>84</v>
      </c>
      <c r="AB4250" t="s">
        <v>1031</v>
      </c>
      <c r="AC4250" t="s">
        <v>87</v>
      </c>
    </row>
    <row r="4251" spans="1:29" x14ac:dyDescent="0.35">
      <c r="A4251" s="7">
        <v>42929</v>
      </c>
      <c r="B4251" t="s">
        <v>30</v>
      </c>
      <c r="C4251">
        <v>401</v>
      </c>
      <c r="D4251">
        <v>3</v>
      </c>
      <c r="E4251">
        <v>1</v>
      </c>
      <c r="F4251" t="s">
        <v>1020</v>
      </c>
      <c r="G4251" t="s">
        <v>32</v>
      </c>
      <c r="H4251" t="s">
        <v>33</v>
      </c>
      <c r="I4251" t="s">
        <v>84</v>
      </c>
      <c r="AB4251" t="s">
        <v>1031</v>
      </c>
      <c r="AC4251" t="s">
        <v>87</v>
      </c>
    </row>
    <row r="4252" spans="1:29" x14ac:dyDescent="0.35">
      <c r="A4252" s="7">
        <v>42929</v>
      </c>
      <c r="B4252" t="s">
        <v>30</v>
      </c>
      <c r="C4252">
        <v>401</v>
      </c>
      <c r="D4252">
        <v>3</v>
      </c>
      <c r="E4252">
        <v>2</v>
      </c>
      <c r="F4252" t="s">
        <v>1020</v>
      </c>
      <c r="G4252" t="s">
        <v>32</v>
      </c>
      <c r="H4252" t="s">
        <v>33</v>
      </c>
      <c r="I4252" t="s">
        <v>59</v>
      </c>
      <c r="AB4252" t="s">
        <v>1031</v>
      </c>
      <c r="AC4252" t="s">
        <v>87</v>
      </c>
    </row>
    <row r="4253" spans="1:29" x14ac:dyDescent="0.35">
      <c r="A4253" s="7">
        <v>42929</v>
      </c>
      <c r="B4253" t="s">
        <v>30</v>
      </c>
      <c r="C4253">
        <v>401</v>
      </c>
      <c r="D4253">
        <v>4</v>
      </c>
      <c r="E4253">
        <v>1</v>
      </c>
      <c r="F4253" t="s">
        <v>1020</v>
      </c>
      <c r="G4253" t="s">
        <v>32</v>
      </c>
      <c r="H4253" t="s">
        <v>33</v>
      </c>
      <c r="I4253" t="s">
        <v>84</v>
      </c>
      <c r="AB4253" t="s">
        <v>1031</v>
      </c>
      <c r="AC4253" t="s">
        <v>87</v>
      </c>
    </row>
    <row r="4254" spans="1:29" x14ac:dyDescent="0.35">
      <c r="A4254" s="7">
        <v>42929</v>
      </c>
      <c r="B4254" t="s">
        <v>30</v>
      </c>
      <c r="C4254">
        <v>401</v>
      </c>
      <c r="D4254">
        <v>4</v>
      </c>
      <c r="E4254">
        <v>2</v>
      </c>
      <c r="F4254" t="s">
        <v>1020</v>
      </c>
      <c r="G4254" t="s">
        <v>32</v>
      </c>
      <c r="H4254" t="s">
        <v>33</v>
      </c>
      <c r="I4254" t="s">
        <v>84</v>
      </c>
      <c r="AB4254" t="s">
        <v>1031</v>
      </c>
      <c r="AC4254" t="s">
        <v>87</v>
      </c>
    </row>
    <row r="4255" spans="1:29" x14ac:dyDescent="0.35">
      <c r="A4255" s="7">
        <v>42929</v>
      </c>
      <c r="B4255" t="s">
        <v>30</v>
      </c>
      <c r="C4255">
        <v>401</v>
      </c>
      <c r="D4255">
        <v>5</v>
      </c>
      <c r="E4255">
        <v>1</v>
      </c>
      <c r="F4255" t="s">
        <v>1020</v>
      </c>
      <c r="G4255" t="s">
        <v>32</v>
      </c>
      <c r="H4255" t="s">
        <v>33</v>
      </c>
      <c r="I4255" t="s">
        <v>59</v>
      </c>
      <c r="AB4255" t="s">
        <v>1031</v>
      </c>
      <c r="AC4255" t="s">
        <v>87</v>
      </c>
    </row>
    <row r="4256" spans="1:29" x14ac:dyDescent="0.35">
      <c r="A4256" s="7">
        <v>42929</v>
      </c>
      <c r="B4256" t="s">
        <v>30</v>
      </c>
      <c r="C4256">
        <v>401</v>
      </c>
      <c r="D4256">
        <v>5</v>
      </c>
      <c r="E4256">
        <v>2</v>
      </c>
      <c r="F4256" t="s">
        <v>1020</v>
      </c>
      <c r="G4256" t="s">
        <v>32</v>
      </c>
      <c r="H4256" t="s">
        <v>33</v>
      </c>
      <c r="I4256" t="s">
        <v>84</v>
      </c>
      <c r="AB4256" t="s">
        <v>1031</v>
      </c>
      <c r="AC4256" t="s">
        <v>87</v>
      </c>
    </row>
    <row r="4257" spans="1:29" x14ac:dyDescent="0.35">
      <c r="A4257" s="7">
        <v>42929</v>
      </c>
      <c r="B4257" t="s">
        <v>30</v>
      </c>
      <c r="C4257">
        <v>401</v>
      </c>
      <c r="D4257">
        <v>6</v>
      </c>
      <c r="E4257">
        <v>1</v>
      </c>
      <c r="F4257" t="s">
        <v>1020</v>
      </c>
      <c r="G4257" t="s">
        <v>32</v>
      </c>
      <c r="H4257" t="s">
        <v>33</v>
      </c>
      <c r="I4257" t="s">
        <v>84</v>
      </c>
      <c r="AB4257" t="s">
        <v>1031</v>
      </c>
      <c r="AC4257" t="s">
        <v>87</v>
      </c>
    </row>
    <row r="4258" spans="1:29" x14ac:dyDescent="0.35">
      <c r="A4258" s="7">
        <v>42929</v>
      </c>
      <c r="B4258" t="s">
        <v>30</v>
      </c>
      <c r="C4258">
        <v>401</v>
      </c>
      <c r="D4258">
        <v>6</v>
      </c>
      <c r="E4258">
        <v>2</v>
      </c>
      <c r="F4258" t="s">
        <v>1020</v>
      </c>
      <c r="G4258" t="s">
        <v>32</v>
      </c>
      <c r="H4258" t="s">
        <v>33</v>
      </c>
      <c r="I4258" t="s">
        <v>84</v>
      </c>
      <c r="AB4258" t="s">
        <v>1031</v>
      </c>
      <c r="AC4258" t="s">
        <v>87</v>
      </c>
    </row>
    <row r="4259" spans="1:29" x14ac:dyDescent="0.35">
      <c r="A4259" s="7">
        <v>42929</v>
      </c>
      <c r="B4259" t="s">
        <v>30</v>
      </c>
      <c r="C4259">
        <v>401</v>
      </c>
      <c r="D4259">
        <v>7</v>
      </c>
      <c r="E4259">
        <v>1</v>
      </c>
      <c r="F4259" t="s">
        <v>1020</v>
      </c>
      <c r="G4259" t="s">
        <v>32</v>
      </c>
      <c r="H4259" t="s">
        <v>33</v>
      </c>
      <c r="I4259" t="s">
        <v>84</v>
      </c>
      <c r="AB4259" t="s">
        <v>1031</v>
      </c>
      <c r="AC4259" t="s">
        <v>87</v>
      </c>
    </row>
    <row r="4260" spans="1:29" x14ac:dyDescent="0.35">
      <c r="A4260" s="7">
        <v>42929</v>
      </c>
      <c r="B4260" t="s">
        <v>30</v>
      </c>
      <c r="C4260">
        <v>401</v>
      </c>
      <c r="D4260">
        <v>7</v>
      </c>
      <c r="E4260">
        <v>2</v>
      </c>
      <c r="F4260" t="s">
        <v>1020</v>
      </c>
      <c r="G4260" t="s">
        <v>32</v>
      </c>
      <c r="H4260" t="s">
        <v>33</v>
      </c>
      <c r="I4260" t="s">
        <v>84</v>
      </c>
      <c r="AB4260" t="s">
        <v>1031</v>
      </c>
      <c r="AC4260" t="s">
        <v>87</v>
      </c>
    </row>
    <row r="4261" spans="1:29" x14ac:dyDescent="0.35">
      <c r="A4261" s="7">
        <v>42929</v>
      </c>
      <c r="B4261" t="s">
        <v>30</v>
      </c>
      <c r="C4261">
        <v>401</v>
      </c>
      <c r="D4261">
        <v>8</v>
      </c>
      <c r="E4261">
        <v>1</v>
      </c>
      <c r="F4261" t="s">
        <v>1020</v>
      </c>
      <c r="G4261" t="s">
        <v>32</v>
      </c>
      <c r="H4261" t="s">
        <v>33</v>
      </c>
      <c r="I4261" t="s">
        <v>84</v>
      </c>
      <c r="AB4261" t="s">
        <v>1031</v>
      </c>
      <c r="AC4261" t="s">
        <v>87</v>
      </c>
    </row>
    <row r="4262" spans="1:29" x14ac:dyDescent="0.35">
      <c r="A4262" s="7">
        <v>42929</v>
      </c>
      <c r="B4262" t="s">
        <v>30</v>
      </c>
      <c r="C4262">
        <v>401</v>
      </c>
      <c r="D4262">
        <v>9</v>
      </c>
      <c r="E4262">
        <v>1</v>
      </c>
      <c r="F4262" t="s">
        <v>1020</v>
      </c>
      <c r="G4262" t="s">
        <v>32</v>
      </c>
      <c r="H4262" t="s">
        <v>33</v>
      </c>
      <c r="I4262" t="s">
        <v>84</v>
      </c>
      <c r="AB4262" t="s">
        <v>1031</v>
      </c>
      <c r="AC4262" t="s">
        <v>87</v>
      </c>
    </row>
    <row r="4263" spans="1:29" x14ac:dyDescent="0.35">
      <c r="A4263" s="7">
        <v>42929</v>
      </c>
      <c r="B4263" t="s">
        <v>30</v>
      </c>
      <c r="C4263">
        <v>401</v>
      </c>
      <c r="D4263">
        <v>9</v>
      </c>
      <c r="E4263">
        <v>2</v>
      </c>
      <c r="F4263" t="s">
        <v>1020</v>
      </c>
      <c r="G4263" t="s">
        <v>32</v>
      </c>
      <c r="H4263" t="s">
        <v>33</v>
      </c>
      <c r="I4263" t="s">
        <v>84</v>
      </c>
      <c r="AB4263" t="s">
        <v>1031</v>
      </c>
      <c r="AC4263" t="s">
        <v>87</v>
      </c>
    </row>
    <row r="4264" spans="1:29" x14ac:dyDescent="0.35">
      <c r="A4264" s="7">
        <v>42929</v>
      </c>
      <c r="B4264" t="s">
        <v>30</v>
      </c>
      <c r="C4264">
        <v>401</v>
      </c>
      <c r="D4264">
        <v>10</v>
      </c>
      <c r="E4264">
        <v>1</v>
      </c>
      <c r="F4264" t="s">
        <v>1020</v>
      </c>
      <c r="G4264" t="s">
        <v>32</v>
      </c>
      <c r="H4264" t="s">
        <v>33</v>
      </c>
      <c r="I4264" t="s">
        <v>84</v>
      </c>
      <c r="AB4264" t="s">
        <v>1031</v>
      </c>
      <c r="AC4264" t="s">
        <v>87</v>
      </c>
    </row>
    <row r="4265" spans="1:29" x14ac:dyDescent="0.35">
      <c r="A4265" s="7">
        <v>42929</v>
      </c>
      <c r="B4265" t="s">
        <v>30</v>
      </c>
      <c r="C4265">
        <v>401</v>
      </c>
      <c r="D4265">
        <v>10</v>
      </c>
      <c r="E4265">
        <v>2</v>
      </c>
      <c r="F4265" t="s">
        <v>1020</v>
      </c>
      <c r="G4265" t="s">
        <v>32</v>
      </c>
      <c r="H4265" t="s">
        <v>33</v>
      </c>
      <c r="I4265" t="s">
        <v>84</v>
      </c>
      <c r="AB4265" t="s">
        <v>1031</v>
      </c>
      <c r="AC4265" t="s">
        <v>87</v>
      </c>
    </row>
    <row r="4266" spans="1:29" x14ac:dyDescent="0.35">
      <c r="A4266" s="7">
        <v>42929</v>
      </c>
      <c r="B4266" t="s">
        <v>30</v>
      </c>
      <c r="C4266">
        <v>501</v>
      </c>
      <c r="D4266">
        <v>1</v>
      </c>
      <c r="E4266">
        <v>1</v>
      </c>
      <c r="F4266" t="s">
        <v>1020</v>
      </c>
      <c r="G4266" t="s">
        <v>32</v>
      </c>
      <c r="H4266" t="s">
        <v>33</v>
      </c>
      <c r="I4266" t="s">
        <v>59</v>
      </c>
      <c r="AB4266" t="s">
        <v>1031</v>
      </c>
      <c r="AC4266" t="s">
        <v>87</v>
      </c>
    </row>
    <row r="4267" spans="1:29" x14ac:dyDescent="0.35">
      <c r="A4267" s="7">
        <v>42929</v>
      </c>
      <c r="B4267" t="s">
        <v>30</v>
      </c>
      <c r="C4267">
        <v>501</v>
      </c>
      <c r="D4267">
        <v>1</v>
      </c>
      <c r="E4267">
        <v>2</v>
      </c>
      <c r="F4267" t="s">
        <v>1020</v>
      </c>
      <c r="G4267" t="s">
        <v>32</v>
      </c>
      <c r="H4267" t="s">
        <v>33</v>
      </c>
      <c r="I4267" t="s">
        <v>59</v>
      </c>
      <c r="AB4267" t="s">
        <v>1031</v>
      </c>
      <c r="AC4267" t="s">
        <v>87</v>
      </c>
    </row>
    <row r="4268" spans="1:29" x14ac:dyDescent="0.35">
      <c r="A4268" s="7">
        <v>42929</v>
      </c>
      <c r="B4268" t="s">
        <v>30</v>
      </c>
      <c r="C4268">
        <v>501</v>
      </c>
      <c r="D4268">
        <v>2</v>
      </c>
      <c r="E4268">
        <v>1</v>
      </c>
      <c r="F4268" t="s">
        <v>1020</v>
      </c>
      <c r="G4268" t="s">
        <v>32</v>
      </c>
      <c r="H4268" t="s">
        <v>33</v>
      </c>
      <c r="I4268" t="s">
        <v>43</v>
      </c>
      <c r="J4268" t="s">
        <v>44</v>
      </c>
      <c r="K4268" t="s">
        <v>36</v>
      </c>
      <c r="L4268" t="s">
        <v>37</v>
      </c>
      <c r="M4268">
        <v>0</v>
      </c>
      <c r="N4268">
        <v>0</v>
      </c>
      <c r="O4268">
        <v>39312</v>
      </c>
      <c r="P4268">
        <v>39313</v>
      </c>
      <c r="Q4268">
        <f>33-14</f>
        <v>19</v>
      </c>
      <c r="R4268" t="s">
        <v>38</v>
      </c>
      <c r="AB4268" t="s">
        <v>1031</v>
      </c>
      <c r="AC4268" t="s">
        <v>87</v>
      </c>
    </row>
    <row r="4269" spans="1:29" x14ac:dyDescent="0.35">
      <c r="A4269" s="7">
        <v>42929</v>
      </c>
      <c r="B4269" t="s">
        <v>30</v>
      </c>
      <c r="C4269">
        <v>501</v>
      </c>
      <c r="D4269">
        <v>2</v>
      </c>
      <c r="E4269">
        <v>2</v>
      </c>
      <c r="F4269" t="s">
        <v>1020</v>
      </c>
      <c r="G4269" t="s">
        <v>32</v>
      </c>
      <c r="H4269" t="s">
        <v>33</v>
      </c>
      <c r="I4269" t="s">
        <v>59</v>
      </c>
      <c r="AB4269" t="s">
        <v>1031</v>
      </c>
      <c r="AC4269" t="s">
        <v>87</v>
      </c>
    </row>
    <row r="4270" spans="1:29" x14ac:dyDescent="0.35">
      <c r="A4270" s="7">
        <v>42929</v>
      </c>
      <c r="B4270" t="s">
        <v>30</v>
      </c>
      <c r="C4270">
        <v>501</v>
      </c>
      <c r="D4270">
        <v>3</v>
      </c>
      <c r="E4270">
        <v>1</v>
      </c>
      <c r="F4270" t="s">
        <v>1020</v>
      </c>
      <c r="G4270" t="s">
        <v>32</v>
      </c>
      <c r="H4270" t="s">
        <v>33</v>
      </c>
      <c r="I4270" t="s">
        <v>1029</v>
      </c>
      <c r="J4270" t="s">
        <v>66</v>
      </c>
      <c r="AB4270" t="s">
        <v>1031</v>
      </c>
      <c r="AC4270" t="s">
        <v>87</v>
      </c>
    </row>
    <row r="4271" spans="1:29" x14ac:dyDescent="0.35">
      <c r="A4271" s="7">
        <v>42929</v>
      </c>
      <c r="B4271" t="s">
        <v>30</v>
      </c>
      <c r="C4271">
        <v>501</v>
      </c>
      <c r="D4271">
        <v>3</v>
      </c>
      <c r="E4271">
        <v>2</v>
      </c>
      <c r="F4271" t="s">
        <v>1020</v>
      </c>
      <c r="G4271" t="s">
        <v>32</v>
      </c>
      <c r="H4271" t="s">
        <v>33</v>
      </c>
      <c r="I4271" t="s">
        <v>59</v>
      </c>
      <c r="AB4271" t="s">
        <v>1031</v>
      </c>
      <c r="AC4271" t="s">
        <v>87</v>
      </c>
    </row>
    <row r="4272" spans="1:29" x14ac:dyDescent="0.35">
      <c r="A4272" s="7">
        <v>42929</v>
      </c>
      <c r="B4272" t="s">
        <v>30</v>
      </c>
      <c r="C4272">
        <v>501</v>
      </c>
      <c r="D4272">
        <v>4</v>
      </c>
      <c r="E4272">
        <v>1</v>
      </c>
      <c r="F4272" t="s">
        <v>1020</v>
      </c>
      <c r="G4272" t="s">
        <v>32</v>
      </c>
      <c r="H4272" t="s">
        <v>33</v>
      </c>
      <c r="I4272" t="s">
        <v>59</v>
      </c>
      <c r="AB4272" t="s">
        <v>1031</v>
      </c>
      <c r="AC4272" t="s">
        <v>87</v>
      </c>
    </row>
    <row r="4273" spans="1:29" x14ac:dyDescent="0.35">
      <c r="A4273" s="7">
        <v>42929</v>
      </c>
      <c r="B4273" t="s">
        <v>30</v>
      </c>
      <c r="C4273">
        <v>501</v>
      </c>
      <c r="D4273">
        <v>4</v>
      </c>
      <c r="E4273">
        <v>2</v>
      </c>
      <c r="F4273" t="s">
        <v>1020</v>
      </c>
      <c r="G4273" t="s">
        <v>32</v>
      </c>
      <c r="H4273" t="s">
        <v>33</v>
      </c>
      <c r="I4273" t="s">
        <v>59</v>
      </c>
      <c r="AB4273" t="s">
        <v>1031</v>
      </c>
      <c r="AC4273" t="s">
        <v>87</v>
      </c>
    </row>
    <row r="4274" spans="1:29" x14ac:dyDescent="0.35">
      <c r="A4274" s="7">
        <v>42929</v>
      </c>
      <c r="B4274" t="s">
        <v>30</v>
      </c>
      <c r="C4274">
        <v>501</v>
      </c>
      <c r="D4274">
        <v>5</v>
      </c>
      <c r="E4274">
        <v>1</v>
      </c>
      <c r="F4274" t="s">
        <v>1020</v>
      </c>
      <c r="G4274" t="s">
        <v>32</v>
      </c>
      <c r="H4274" t="s">
        <v>33</v>
      </c>
      <c r="I4274" t="s">
        <v>59</v>
      </c>
      <c r="AB4274" t="s">
        <v>1031</v>
      </c>
      <c r="AC4274" t="s">
        <v>87</v>
      </c>
    </row>
    <row r="4275" spans="1:29" x14ac:dyDescent="0.35">
      <c r="A4275" s="7">
        <v>42929</v>
      </c>
      <c r="B4275" t="s">
        <v>30</v>
      </c>
      <c r="C4275">
        <v>501</v>
      </c>
      <c r="D4275">
        <v>5</v>
      </c>
      <c r="E4275">
        <v>2</v>
      </c>
      <c r="F4275" t="s">
        <v>1020</v>
      </c>
      <c r="G4275" t="s">
        <v>32</v>
      </c>
      <c r="H4275" t="s">
        <v>33</v>
      </c>
      <c r="I4275" t="s">
        <v>59</v>
      </c>
      <c r="AB4275" t="s">
        <v>1031</v>
      </c>
      <c r="AC4275" t="s">
        <v>87</v>
      </c>
    </row>
    <row r="4276" spans="1:29" x14ac:dyDescent="0.35">
      <c r="A4276" s="7">
        <v>42929</v>
      </c>
      <c r="B4276" t="s">
        <v>30</v>
      </c>
      <c r="C4276">
        <v>501</v>
      </c>
      <c r="D4276">
        <v>6</v>
      </c>
      <c r="E4276">
        <v>1</v>
      </c>
      <c r="F4276" t="s">
        <v>1020</v>
      </c>
      <c r="G4276" t="s">
        <v>32</v>
      </c>
      <c r="H4276" t="s">
        <v>33</v>
      </c>
      <c r="I4276" t="s">
        <v>59</v>
      </c>
      <c r="AB4276" t="s">
        <v>1031</v>
      </c>
      <c r="AC4276" t="s">
        <v>87</v>
      </c>
    </row>
    <row r="4277" spans="1:29" x14ac:dyDescent="0.35">
      <c r="A4277" s="7">
        <v>42929</v>
      </c>
      <c r="B4277" t="s">
        <v>30</v>
      </c>
      <c r="C4277">
        <v>501</v>
      </c>
      <c r="D4277">
        <v>6</v>
      </c>
      <c r="E4277">
        <v>2</v>
      </c>
      <c r="F4277" t="s">
        <v>1020</v>
      </c>
      <c r="G4277" t="s">
        <v>32</v>
      </c>
      <c r="H4277" t="s">
        <v>33</v>
      </c>
      <c r="I4277" t="s">
        <v>59</v>
      </c>
      <c r="AB4277" t="s">
        <v>1031</v>
      </c>
      <c r="AC4277" t="s">
        <v>87</v>
      </c>
    </row>
    <row r="4278" spans="1:29" x14ac:dyDescent="0.35">
      <c r="A4278" s="7">
        <v>42929</v>
      </c>
      <c r="B4278" t="s">
        <v>30</v>
      </c>
      <c r="C4278">
        <v>501</v>
      </c>
      <c r="D4278">
        <v>7</v>
      </c>
      <c r="E4278">
        <v>1</v>
      </c>
      <c r="F4278" t="s">
        <v>1020</v>
      </c>
      <c r="G4278" t="s">
        <v>32</v>
      </c>
      <c r="H4278" t="s">
        <v>33</v>
      </c>
      <c r="I4278" t="s">
        <v>84</v>
      </c>
      <c r="AB4278" t="s">
        <v>1031</v>
      </c>
      <c r="AC4278" t="s">
        <v>87</v>
      </c>
    </row>
    <row r="4279" spans="1:29" x14ac:dyDescent="0.35">
      <c r="A4279" s="7">
        <v>42929</v>
      </c>
      <c r="B4279" t="s">
        <v>30</v>
      </c>
      <c r="C4279">
        <v>501</v>
      </c>
      <c r="D4279">
        <v>7</v>
      </c>
      <c r="E4279">
        <v>2</v>
      </c>
      <c r="F4279" t="s">
        <v>1020</v>
      </c>
      <c r="G4279" t="s">
        <v>32</v>
      </c>
      <c r="H4279" t="s">
        <v>33</v>
      </c>
      <c r="I4279" t="s">
        <v>84</v>
      </c>
      <c r="AB4279" t="s">
        <v>1031</v>
      </c>
      <c r="AC4279" t="s">
        <v>87</v>
      </c>
    </row>
    <row r="4280" spans="1:29" x14ac:dyDescent="0.35">
      <c r="A4280" s="7">
        <v>42929</v>
      </c>
      <c r="B4280" t="s">
        <v>30</v>
      </c>
      <c r="C4280">
        <v>501</v>
      </c>
      <c r="D4280">
        <v>8</v>
      </c>
      <c r="E4280">
        <v>1</v>
      </c>
      <c r="F4280" t="s">
        <v>1020</v>
      </c>
      <c r="G4280" t="s">
        <v>32</v>
      </c>
      <c r="H4280" t="s">
        <v>33</v>
      </c>
      <c r="I4280" t="s">
        <v>59</v>
      </c>
      <c r="AB4280" t="s">
        <v>1031</v>
      </c>
      <c r="AC4280" t="s">
        <v>87</v>
      </c>
    </row>
    <row r="4281" spans="1:29" x14ac:dyDescent="0.35">
      <c r="A4281" s="7">
        <v>42929</v>
      </c>
      <c r="B4281" t="s">
        <v>30</v>
      </c>
      <c r="C4281">
        <v>501</v>
      </c>
      <c r="D4281">
        <v>8</v>
      </c>
      <c r="E4281">
        <v>2</v>
      </c>
      <c r="F4281" t="s">
        <v>1020</v>
      </c>
      <c r="G4281" t="s">
        <v>32</v>
      </c>
      <c r="H4281" t="s">
        <v>33</v>
      </c>
      <c r="I4281" t="s">
        <v>59</v>
      </c>
      <c r="AB4281" t="s">
        <v>1031</v>
      </c>
      <c r="AC4281" t="s">
        <v>87</v>
      </c>
    </row>
    <row r="4282" spans="1:29" x14ac:dyDescent="0.35">
      <c r="A4282" s="7">
        <v>42929</v>
      </c>
      <c r="B4282" t="s">
        <v>30</v>
      </c>
      <c r="C4282">
        <v>501</v>
      </c>
      <c r="D4282">
        <v>9</v>
      </c>
      <c r="E4282">
        <v>1</v>
      </c>
      <c r="F4282" t="s">
        <v>1020</v>
      </c>
      <c r="G4282" t="s">
        <v>32</v>
      </c>
      <c r="H4282" t="s">
        <v>33</v>
      </c>
      <c r="I4282" t="s">
        <v>84</v>
      </c>
      <c r="AB4282" t="s">
        <v>1031</v>
      </c>
      <c r="AC4282" t="s">
        <v>87</v>
      </c>
    </row>
    <row r="4283" spans="1:29" x14ac:dyDescent="0.35">
      <c r="A4283" s="7">
        <v>42929</v>
      </c>
      <c r="B4283" t="s">
        <v>30</v>
      </c>
      <c r="C4283">
        <v>501</v>
      </c>
      <c r="D4283">
        <v>9</v>
      </c>
      <c r="E4283">
        <v>2</v>
      </c>
      <c r="F4283" t="s">
        <v>1020</v>
      </c>
      <c r="G4283" t="s">
        <v>32</v>
      </c>
      <c r="H4283" t="s">
        <v>33</v>
      </c>
      <c r="I4283" t="s">
        <v>59</v>
      </c>
      <c r="AB4283" t="s">
        <v>1031</v>
      </c>
      <c r="AC4283" t="s">
        <v>87</v>
      </c>
    </row>
    <row r="4284" spans="1:29" x14ac:dyDescent="0.35">
      <c r="A4284" s="7">
        <v>42929</v>
      </c>
      <c r="B4284" t="s">
        <v>30</v>
      </c>
      <c r="C4284">
        <v>501</v>
      </c>
      <c r="D4284">
        <v>10</v>
      </c>
      <c r="E4284">
        <v>1</v>
      </c>
      <c r="F4284" t="s">
        <v>1020</v>
      </c>
      <c r="G4284" t="s">
        <v>32</v>
      </c>
      <c r="H4284" t="s">
        <v>33</v>
      </c>
      <c r="I4284" t="s">
        <v>59</v>
      </c>
      <c r="AB4284" t="s">
        <v>1031</v>
      </c>
      <c r="AC4284" t="s">
        <v>87</v>
      </c>
    </row>
    <row r="4285" spans="1:29" x14ac:dyDescent="0.35">
      <c r="A4285" s="7">
        <v>42929</v>
      </c>
      <c r="B4285" t="s">
        <v>30</v>
      </c>
      <c r="C4285">
        <v>501</v>
      </c>
      <c r="D4285">
        <v>10</v>
      </c>
      <c r="E4285">
        <v>2</v>
      </c>
      <c r="F4285" t="s">
        <v>1020</v>
      </c>
      <c r="G4285" t="s">
        <v>32</v>
      </c>
      <c r="H4285" t="s">
        <v>33</v>
      </c>
      <c r="I4285" t="s">
        <v>59</v>
      </c>
      <c r="AB4285" t="s">
        <v>1031</v>
      </c>
      <c r="AC4285" t="s">
        <v>87</v>
      </c>
    </row>
    <row r="4286" spans="1:29" x14ac:dyDescent="0.35">
      <c r="A4286" s="7">
        <v>42929</v>
      </c>
      <c r="B4286" t="s">
        <v>30</v>
      </c>
      <c r="C4286">
        <v>503</v>
      </c>
      <c r="D4286">
        <v>1</v>
      </c>
      <c r="E4286">
        <v>1</v>
      </c>
      <c r="F4286" t="s">
        <v>1020</v>
      </c>
      <c r="G4286" t="s">
        <v>32</v>
      </c>
      <c r="H4286" t="s">
        <v>33</v>
      </c>
      <c r="I4286" t="s">
        <v>59</v>
      </c>
      <c r="AB4286" t="s">
        <v>1031</v>
      </c>
      <c r="AC4286" t="s">
        <v>87</v>
      </c>
    </row>
    <row r="4287" spans="1:29" x14ac:dyDescent="0.35">
      <c r="A4287" s="7">
        <v>42929</v>
      </c>
      <c r="B4287" t="s">
        <v>30</v>
      </c>
      <c r="C4287">
        <v>503</v>
      </c>
      <c r="D4287">
        <v>1</v>
      </c>
      <c r="E4287">
        <v>2</v>
      </c>
      <c r="F4287" t="s">
        <v>1020</v>
      </c>
      <c r="G4287" t="s">
        <v>32</v>
      </c>
      <c r="H4287" t="s">
        <v>33</v>
      </c>
      <c r="I4287" t="s">
        <v>59</v>
      </c>
      <c r="AB4287" t="s">
        <v>1031</v>
      </c>
      <c r="AC4287" t="s">
        <v>87</v>
      </c>
    </row>
    <row r="4288" spans="1:29" x14ac:dyDescent="0.35">
      <c r="A4288" s="7">
        <v>42929</v>
      </c>
      <c r="B4288" t="s">
        <v>30</v>
      </c>
      <c r="C4288">
        <v>503</v>
      </c>
      <c r="D4288">
        <v>2</v>
      </c>
      <c r="E4288">
        <v>1</v>
      </c>
      <c r="F4288" t="s">
        <v>1020</v>
      </c>
      <c r="G4288" t="s">
        <v>32</v>
      </c>
      <c r="H4288" t="s">
        <v>33</v>
      </c>
      <c r="I4288" t="s">
        <v>59</v>
      </c>
      <c r="AB4288" t="s">
        <v>1031</v>
      </c>
      <c r="AC4288" t="s">
        <v>87</v>
      </c>
    </row>
    <row r="4289" spans="1:29" x14ac:dyDescent="0.35">
      <c r="A4289" s="7">
        <v>42929</v>
      </c>
      <c r="B4289" t="s">
        <v>30</v>
      </c>
      <c r="C4289">
        <v>503</v>
      </c>
      <c r="D4289">
        <v>2</v>
      </c>
      <c r="E4289">
        <v>2</v>
      </c>
      <c r="F4289" t="s">
        <v>1020</v>
      </c>
      <c r="G4289" t="s">
        <v>32</v>
      </c>
      <c r="H4289" t="s">
        <v>33</v>
      </c>
      <c r="I4289" t="s">
        <v>59</v>
      </c>
      <c r="AB4289" t="s">
        <v>1031</v>
      </c>
      <c r="AC4289" t="s">
        <v>87</v>
      </c>
    </row>
    <row r="4290" spans="1:29" x14ac:dyDescent="0.35">
      <c r="A4290" s="7">
        <v>42929</v>
      </c>
      <c r="B4290" t="s">
        <v>30</v>
      </c>
      <c r="C4290">
        <v>503</v>
      </c>
      <c r="D4290">
        <v>3</v>
      </c>
      <c r="E4290">
        <v>1</v>
      </c>
      <c r="F4290" t="s">
        <v>1020</v>
      </c>
      <c r="G4290" t="s">
        <v>32</v>
      </c>
      <c r="H4290" t="s">
        <v>33</v>
      </c>
      <c r="I4290" t="s">
        <v>43</v>
      </c>
      <c r="J4290" t="s">
        <v>44</v>
      </c>
      <c r="K4290" t="s">
        <v>36</v>
      </c>
      <c r="L4290" t="s">
        <v>45</v>
      </c>
      <c r="M4290">
        <v>0</v>
      </c>
      <c r="N4290">
        <v>0</v>
      </c>
      <c r="O4290">
        <v>50984</v>
      </c>
      <c r="P4290">
        <v>50983</v>
      </c>
      <c r="Q4290">
        <f>32-14</f>
        <v>18</v>
      </c>
      <c r="R4290" t="s">
        <v>1021</v>
      </c>
      <c r="S4290" t="s">
        <v>102</v>
      </c>
      <c r="AB4290" t="s">
        <v>1031</v>
      </c>
      <c r="AC4290" t="s">
        <v>87</v>
      </c>
    </row>
    <row r="4291" spans="1:29" x14ac:dyDescent="0.35">
      <c r="A4291" s="7">
        <v>42929</v>
      </c>
      <c r="B4291" t="s">
        <v>30</v>
      </c>
      <c r="C4291">
        <v>503</v>
      </c>
      <c r="D4291">
        <v>3</v>
      </c>
      <c r="E4291">
        <v>2</v>
      </c>
      <c r="F4291" t="s">
        <v>1020</v>
      </c>
      <c r="G4291" t="s">
        <v>32</v>
      </c>
      <c r="H4291" t="s">
        <v>33</v>
      </c>
      <c r="I4291" t="s">
        <v>59</v>
      </c>
      <c r="AB4291" t="s">
        <v>1031</v>
      </c>
      <c r="AC4291" t="s">
        <v>87</v>
      </c>
    </row>
    <row r="4292" spans="1:29" x14ac:dyDescent="0.35">
      <c r="A4292" s="7">
        <v>42929</v>
      </c>
      <c r="B4292" t="s">
        <v>30</v>
      </c>
      <c r="C4292">
        <v>503</v>
      </c>
      <c r="D4292">
        <v>4</v>
      </c>
      <c r="E4292">
        <v>1</v>
      </c>
      <c r="F4292" t="s">
        <v>1020</v>
      </c>
      <c r="G4292" t="s">
        <v>32</v>
      </c>
      <c r="H4292" t="s">
        <v>33</v>
      </c>
      <c r="I4292" t="s">
        <v>59</v>
      </c>
      <c r="AB4292" t="s">
        <v>1031</v>
      </c>
      <c r="AC4292" t="s">
        <v>87</v>
      </c>
    </row>
    <row r="4293" spans="1:29" x14ac:dyDescent="0.35">
      <c r="A4293" s="7">
        <v>42929</v>
      </c>
      <c r="B4293" t="s">
        <v>30</v>
      </c>
      <c r="C4293">
        <v>503</v>
      </c>
      <c r="D4293">
        <v>4</v>
      </c>
      <c r="E4293">
        <v>2</v>
      </c>
      <c r="F4293" t="s">
        <v>1020</v>
      </c>
      <c r="G4293" t="s">
        <v>32</v>
      </c>
      <c r="H4293" t="s">
        <v>33</v>
      </c>
      <c r="I4293" t="s">
        <v>72</v>
      </c>
      <c r="J4293" t="s">
        <v>56</v>
      </c>
      <c r="AB4293" t="s">
        <v>1031</v>
      </c>
      <c r="AC4293" t="s">
        <v>87</v>
      </c>
    </row>
    <row r="4294" spans="1:29" x14ac:dyDescent="0.35">
      <c r="A4294" s="7">
        <v>42929</v>
      </c>
      <c r="B4294" t="s">
        <v>30</v>
      </c>
      <c r="C4294">
        <v>503</v>
      </c>
      <c r="D4294">
        <v>5</v>
      </c>
      <c r="E4294">
        <v>1</v>
      </c>
      <c r="F4294" t="s">
        <v>1020</v>
      </c>
      <c r="G4294" t="s">
        <v>32</v>
      </c>
      <c r="H4294" t="s">
        <v>33</v>
      </c>
      <c r="I4294" t="s">
        <v>59</v>
      </c>
      <c r="AB4294" t="s">
        <v>1031</v>
      </c>
      <c r="AC4294" t="s">
        <v>87</v>
      </c>
    </row>
    <row r="4295" spans="1:29" x14ac:dyDescent="0.35">
      <c r="A4295" s="7">
        <v>42929</v>
      </c>
      <c r="B4295" t="s">
        <v>30</v>
      </c>
      <c r="C4295">
        <v>503</v>
      </c>
      <c r="D4295">
        <v>5</v>
      </c>
      <c r="E4295">
        <v>2</v>
      </c>
      <c r="F4295" t="s">
        <v>1020</v>
      </c>
      <c r="G4295" t="s">
        <v>32</v>
      </c>
      <c r="H4295" t="s">
        <v>33</v>
      </c>
      <c r="I4295" t="s">
        <v>59</v>
      </c>
      <c r="AB4295" t="s">
        <v>1031</v>
      </c>
      <c r="AC4295" t="s">
        <v>87</v>
      </c>
    </row>
    <row r="4296" spans="1:29" x14ac:dyDescent="0.35">
      <c r="A4296" s="7">
        <v>42929</v>
      </c>
      <c r="B4296" t="s">
        <v>30</v>
      </c>
      <c r="C4296">
        <v>503</v>
      </c>
      <c r="D4296">
        <v>6</v>
      </c>
      <c r="E4296">
        <v>1</v>
      </c>
      <c r="F4296" t="s">
        <v>1020</v>
      </c>
      <c r="G4296" t="s">
        <v>32</v>
      </c>
      <c r="H4296" t="s">
        <v>33</v>
      </c>
      <c r="I4296" t="s">
        <v>59</v>
      </c>
      <c r="AB4296" t="s">
        <v>1031</v>
      </c>
      <c r="AC4296" t="s">
        <v>87</v>
      </c>
    </row>
    <row r="4297" spans="1:29" x14ac:dyDescent="0.35">
      <c r="A4297" s="7">
        <v>42929</v>
      </c>
      <c r="B4297" t="s">
        <v>30</v>
      </c>
      <c r="C4297">
        <v>503</v>
      </c>
      <c r="D4297">
        <v>6</v>
      </c>
      <c r="E4297">
        <v>2</v>
      </c>
      <c r="F4297" t="s">
        <v>1020</v>
      </c>
      <c r="G4297" t="s">
        <v>32</v>
      </c>
      <c r="H4297" t="s">
        <v>33</v>
      </c>
      <c r="I4297" t="s">
        <v>59</v>
      </c>
      <c r="AB4297" t="s">
        <v>1031</v>
      </c>
      <c r="AC4297" t="s">
        <v>87</v>
      </c>
    </row>
    <row r="4298" spans="1:29" x14ac:dyDescent="0.35">
      <c r="A4298" s="7">
        <v>42929</v>
      </c>
      <c r="B4298" t="s">
        <v>30</v>
      </c>
      <c r="C4298">
        <v>503</v>
      </c>
      <c r="D4298">
        <v>7</v>
      </c>
      <c r="E4298">
        <v>1</v>
      </c>
      <c r="F4298" t="s">
        <v>1020</v>
      </c>
      <c r="G4298" t="s">
        <v>32</v>
      </c>
      <c r="H4298" t="s">
        <v>33</v>
      </c>
      <c r="I4298" t="s">
        <v>59</v>
      </c>
      <c r="AB4298" t="s">
        <v>1031</v>
      </c>
      <c r="AC4298" t="s">
        <v>87</v>
      </c>
    </row>
    <row r="4299" spans="1:29" x14ac:dyDescent="0.35">
      <c r="A4299" s="7">
        <v>42929</v>
      </c>
      <c r="B4299" t="s">
        <v>30</v>
      </c>
      <c r="C4299">
        <v>503</v>
      </c>
      <c r="D4299">
        <v>7</v>
      </c>
      <c r="E4299">
        <v>2</v>
      </c>
      <c r="F4299" t="s">
        <v>1020</v>
      </c>
      <c r="G4299" t="s">
        <v>32</v>
      </c>
      <c r="H4299" t="s">
        <v>33</v>
      </c>
      <c r="I4299" t="s">
        <v>59</v>
      </c>
      <c r="AB4299" t="s">
        <v>1031</v>
      </c>
      <c r="AC4299" t="s">
        <v>87</v>
      </c>
    </row>
    <row r="4300" spans="1:29" x14ac:dyDescent="0.35">
      <c r="A4300" s="7">
        <v>42929</v>
      </c>
      <c r="B4300" t="s">
        <v>30</v>
      </c>
      <c r="C4300">
        <v>503</v>
      </c>
      <c r="D4300">
        <v>8</v>
      </c>
      <c r="E4300">
        <v>1</v>
      </c>
      <c r="F4300" t="s">
        <v>1020</v>
      </c>
      <c r="G4300" t="s">
        <v>32</v>
      </c>
      <c r="H4300" t="s">
        <v>33</v>
      </c>
      <c r="I4300" t="s">
        <v>59</v>
      </c>
      <c r="AB4300" t="s">
        <v>1031</v>
      </c>
      <c r="AC4300" t="s">
        <v>87</v>
      </c>
    </row>
    <row r="4301" spans="1:29" x14ac:dyDescent="0.35">
      <c r="A4301" s="7">
        <v>42929</v>
      </c>
      <c r="B4301" t="s">
        <v>30</v>
      </c>
      <c r="C4301">
        <v>503</v>
      </c>
      <c r="D4301">
        <v>8</v>
      </c>
      <c r="E4301">
        <v>2</v>
      </c>
      <c r="F4301" t="s">
        <v>1020</v>
      </c>
      <c r="G4301" t="s">
        <v>32</v>
      </c>
      <c r="H4301" t="s">
        <v>33</v>
      </c>
      <c r="I4301" t="s">
        <v>59</v>
      </c>
      <c r="AB4301" t="s">
        <v>1031</v>
      </c>
      <c r="AC4301" t="s">
        <v>87</v>
      </c>
    </row>
    <row r="4302" spans="1:29" x14ac:dyDescent="0.35">
      <c r="A4302" s="7">
        <v>42929</v>
      </c>
      <c r="B4302" t="s">
        <v>30</v>
      </c>
      <c r="C4302">
        <v>503</v>
      </c>
      <c r="D4302">
        <v>9</v>
      </c>
      <c r="E4302">
        <v>1</v>
      </c>
      <c r="F4302" t="s">
        <v>1020</v>
      </c>
      <c r="G4302" t="s">
        <v>32</v>
      </c>
      <c r="H4302" t="s">
        <v>33</v>
      </c>
      <c r="I4302" t="s">
        <v>59</v>
      </c>
      <c r="AB4302" t="s">
        <v>1031</v>
      </c>
      <c r="AC4302" t="s">
        <v>87</v>
      </c>
    </row>
    <row r="4303" spans="1:29" x14ac:dyDescent="0.35">
      <c r="A4303" s="7">
        <v>42929</v>
      </c>
      <c r="B4303" t="s">
        <v>30</v>
      </c>
      <c r="C4303">
        <v>503</v>
      </c>
      <c r="D4303">
        <v>9</v>
      </c>
      <c r="E4303">
        <v>2</v>
      </c>
      <c r="F4303" t="s">
        <v>1020</v>
      </c>
      <c r="G4303" t="s">
        <v>32</v>
      </c>
      <c r="H4303" t="s">
        <v>33</v>
      </c>
      <c r="I4303" t="s">
        <v>43</v>
      </c>
      <c r="J4303" t="s">
        <v>44</v>
      </c>
      <c r="K4303" t="s">
        <v>113</v>
      </c>
      <c r="L4303" t="s">
        <v>45</v>
      </c>
      <c r="M4303">
        <v>0</v>
      </c>
      <c r="N4303">
        <v>0</v>
      </c>
      <c r="O4303">
        <v>39314</v>
      </c>
      <c r="P4303">
        <v>39315</v>
      </c>
      <c r="Q4303">
        <f>33-14</f>
        <v>19</v>
      </c>
      <c r="R4303" t="s">
        <v>46</v>
      </c>
      <c r="S4303" t="s">
        <v>39</v>
      </c>
      <c r="AB4303" t="s">
        <v>1031</v>
      </c>
      <c r="AC4303" t="s">
        <v>87</v>
      </c>
    </row>
    <row r="4304" spans="1:29" x14ac:dyDescent="0.35">
      <c r="A4304" s="7">
        <v>42929</v>
      </c>
      <c r="B4304" t="s">
        <v>30</v>
      </c>
      <c r="C4304">
        <v>503</v>
      </c>
      <c r="D4304">
        <v>10</v>
      </c>
      <c r="E4304">
        <v>1</v>
      </c>
      <c r="F4304" t="s">
        <v>1020</v>
      </c>
      <c r="G4304" t="s">
        <v>32</v>
      </c>
      <c r="H4304" t="s">
        <v>33</v>
      </c>
      <c r="I4304" t="s">
        <v>59</v>
      </c>
      <c r="AB4304" t="s">
        <v>1031</v>
      </c>
      <c r="AC4304" t="s">
        <v>87</v>
      </c>
    </row>
    <row r="4305" spans="1:29" x14ac:dyDescent="0.35">
      <c r="A4305" s="7">
        <v>42929</v>
      </c>
      <c r="B4305" t="s">
        <v>30</v>
      </c>
      <c r="C4305">
        <v>503</v>
      </c>
      <c r="D4305">
        <v>10</v>
      </c>
      <c r="E4305">
        <v>2</v>
      </c>
      <c r="F4305" t="s">
        <v>1020</v>
      </c>
      <c r="G4305" t="s">
        <v>32</v>
      </c>
      <c r="H4305" t="s">
        <v>33</v>
      </c>
      <c r="I4305" t="s">
        <v>59</v>
      </c>
      <c r="AB4305" t="s">
        <v>1031</v>
      </c>
      <c r="AC4305" t="s">
        <v>87</v>
      </c>
    </row>
    <row r="4306" spans="1:29" x14ac:dyDescent="0.35">
      <c r="A4306" s="7">
        <v>42929</v>
      </c>
      <c r="B4306" t="s">
        <v>30</v>
      </c>
      <c r="C4306">
        <v>701</v>
      </c>
      <c r="D4306">
        <v>2</v>
      </c>
      <c r="E4306">
        <v>1</v>
      </c>
      <c r="F4306" t="s">
        <v>315</v>
      </c>
      <c r="G4306" t="s">
        <v>32</v>
      </c>
      <c r="H4306" t="s">
        <v>33</v>
      </c>
      <c r="I4306" t="s">
        <v>59</v>
      </c>
      <c r="AB4306" t="s">
        <v>86</v>
      </c>
      <c r="AC4306" t="s">
        <v>41</v>
      </c>
    </row>
    <row r="4307" spans="1:29" x14ac:dyDescent="0.35">
      <c r="A4307" s="7">
        <v>42929</v>
      </c>
      <c r="B4307" t="s">
        <v>30</v>
      </c>
      <c r="C4307">
        <v>701</v>
      </c>
      <c r="D4307">
        <v>4</v>
      </c>
      <c r="E4307">
        <v>1</v>
      </c>
      <c r="F4307" t="s">
        <v>315</v>
      </c>
      <c r="G4307" t="s">
        <v>32</v>
      </c>
      <c r="H4307" t="s">
        <v>33</v>
      </c>
      <c r="I4307" t="s">
        <v>94</v>
      </c>
      <c r="J4307" t="s">
        <v>44</v>
      </c>
      <c r="K4307" t="s">
        <v>36</v>
      </c>
      <c r="L4307" t="s">
        <v>45</v>
      </c>
      <c r="M4307">
        <v>0</v>
      </c>
      <c r="N4307">
        <v>0</v>
      </c>
      <c r="P4307">
        <v>39759</v>
      </c>
      <c r="Q4307">
        <f>37.5-14</f>
        <v>23.5</v>
      </c>
      <c r="R4307" t="s">
        <v>1028</v>
      </c>
      <c r="S4307" t="s">
        <v>102</v>
      </c>
      <c r="AB4307" t="s">
        <v>86</v>
      </c>
      <c r="AC4307" t="s">
        <v>41</v>
      </c>
    </row>
    <row r="4308" spans="1:29" x14ac:dyDescent="0.35">
      <c r="A4308" s="7">
        <v>42929</v>
      </c>
      <c r="B4308" t="s">
        <v>30</v>
      </c>
      <c r="C4308">
        <v>701</v>
      </c>
      <c r="D4308">
        <v>5</v>
      </c>
      <c r="E4308">
        <v>1</v>
      </c>
      <c r="F4308" t="s">
        <v>315</v>
      </c>
      <c r="G4308" t="s">
        <v>32</v>
      </c>
      <c r="H4308" t="s">
        <v>33</v>
      </c>
      <c r="I4308" t="s">
        <v>59</v>
      </c>
      <c r="AB4308" t="s">
        <v>86</v>
      </c>
      <c r="AC4308" t="s">
        <v>41</v>
      </c>
    </row>
    <row r="4309" spans="1:29" x14ac:dyDescent="0.35">
      <c r="A4309" s="7">
        <v>42929</v>
      </c>
      <c r="B4309" t="s">
        <v>30</v>
      </c>
      <c r="C4309">
        <v>701</v>
      </c>
      <c r="D4309">
        <v>6</v>
      </c>
      <c r="E4309">
        <v>1</v>
      </c>
      <c r="F4309" t="s">
        <v>315</v>
      </c>
      <c r="G4309" t="s">
        <v>32</v>
      </c>
      <c r="H4309" t="s">
        <v>33</v>
      </c>
      <c r="I4309" t="s">
        <v>43</v>
      </c>
      <c r="J4309" t="s">
        <v>44</v>
      </c>
      <c r="K4309" t="s">
        <v>36</v>
      </c>
      <c r="L4309" t="s">
        <v>45</v>
      </c>
      <c r="M4309">
        <v>0</v>
      </c>
      <c r="N4309">
        <v>0</v>
      </c>
      <c r="O4309">
        <v>39771</v>
      </c>
      <c r="P4309">
        <v>39770</v>
      </c>
      <c r="Q4309">
        <f>31-14</f>
        <v>17</v>
      </c>
      <c r="R4309" t="s">
        <v>79</v>
      </c>
      <c r="S4309" t="s">
        <v>39</v>
      </c>
      <c r="AB4309" t="s">
        <v>86</v>
      </c>
      <c r="AC4309" t="s">
        <v>41</v>
      </c>
    </row>
    <row r="4310" spans="1:29" x14ac:dyDescent="0.35">
      <c r="A4310" s="7">
        <v>42929</v>
      </c>
      <c r="B4310" t="s">
        <v>30</v>
      </c>
      <c r="C4310">
        <v>701</v>
      </c>
      <c r="D4310">
        <v>6</v>
      </c>
      <c r="E4310">
        <v>2</v>
      </c>
      <c r="F4310" t="s">
        <v>315</v>
      </c>
      <c r="G4310" t="s">
        <v>32</v>
      </c>
      <c r="H4310" t="s">
        <v>33</v>
      </c>
      <c r="I4310" t="s">
        <v>94</v>
      </c>
      <c r="J4310" t="s">
        <v>44</v>
      </c>
      <c r="K4310" t="s">
        <v>36</v>
      </c>
      <c r="L4310" t="s">
        <v>37</v>
      </c>
      <c r="M4310">
        <v>0</v>
      </c>
      <c r="N4310">
        <v>0</v>
      </c>
      <c r="P4310">
        <v>39772</v>
      </c>
      <c r="Q4310">
        <f>33.5-15</f>
        <v>18.5</v>
      </c>
      <c r="R4310" t="s">
        <v>38</v>
      </c>
      <c r="AB4310" t="s">
        <v>86</v>
      </c>
      <c r="AC4310" t="s">
        <v>41</v>
      </c>
    </row>
    <row r="4311" spans="1:29" x14ac:dyDescent="0.35">
      <c r="A4311" s="7">
        <v>42929</v>
      </c>
      <c r="B4311" t="s">
        <v>30</v>
      </c>
      <c r="C4311">
        <v>701</v>
      </c>
      <c r="D4311">
        <v>7</v>
      </c>
      <c r="E4311">
        <v>1</v>
      </c>
      <c r="F4311" t="s">
        <v>315</v>
      </c>
      <c r="G4311" t="s">
        <v>32</v>
      </c>
      <c r="H4311" t="s">
        <v>33</v>
      </c>
      <c r="I4311" t="s">
        <v>94</v>
      </c>
      <c r="J4311" t="s">
        <v>44</v>
      </c>
      <c r="K4311" t="s">
        <v>36</v>
      </c>
      <c r="L4311" t="s">
        <v>45</v>
      </c>
      <c r="M4311">
        <v>0</v>
      </c>
      <c r="N4311">
        <v>0</v>
      </c>
      <c r="O4311">
        <v>2946</v>
      </c>
      <c r="Q4311">
        <f>37-15</f>
        <v>22</v>
      </c>
      <c r="R4311" t="s">
        <v>1021</v>
      </c>
      <c r="S4311" t="s">
        <v>102</v>
      </c>
      <c r="AB4311" t="s">
        <v>86</v>
      </c>
      <c r="AC4311" t="s">
        <v>41</v>
      </c>
    </row>
    <row r="4312" spans="1:29" x14ac:dyDescent="0.35">
      <c r="A4312" s="7">
        <v>42929</v>
      </c>
      <c r="B4312" t="s">
        <v>30</v>
      </c>
      <c r="C4312">
        <v>701</v>
      </c>
      <c r="D4312">
        <v>7</v>
      </c>
      <c r="E4312">
        <v>2</v>
      </c>
      <c r="F4312" t="s">
        <v>315</v>
      </c>
      <c r="G4312" t="s">
        <v>32</v>
      </c>
      <c r="H4312" t="s">
        <v>33</v>
      </c>
      <c r="I4312" t="s">
        <v>94</v>
      </c>
      <c r="J4312" t="s">
        <v>44</v>
      </c>
      <c r="K4312" t="s">
        <v>36</v>
      </c>
      <c r="L4312" t="s">
        <v>45</v>
      </c>
      <c r="M4312">
        <v>0</v>
      </c>
      <c r="N4312">
        <v>0</v>
      </c>
      <c r="O4312">
        <v>39166</v>
      </c>
      <c r="Q4312">
        <f>39-16</f>
        <v>23</v>
      </c>
      <c r="R4312" t="s">
        <v>79</v>
      </c>
      <c r="S4312" t="s">
        <v>39</v>
      </c>
      <c r="AB4312" t="s">
        <v>86</v>
      </c>
      <c r="AC4312" t="s">
        <v>41</v>
      </c>
    </row>
    <row r="4313" spans="1:29" x14ac:dyDescent="0.35">
      <c r="A4313" s="7">
        <v>42929</v>
      </c>
      <c r="B4313" t="s">
        <v>30</v>
      </c>
      <c r="C4313">
        <v>701</v>
      </c>
      <c r="D4313">
        <v>8</v>
      </c>
      <c r="E4313">
        <v>1</v>
      </c>
      <c r="F4313" t="s">
        <v>315</v>
      </c>
      <c r="G4313" t="s">
        <v>32</v>
      </c>
      <c r="H4313" t="s">
        <v>33</v>
      </c>
      <c r="I4313" t="s">
        <v>59</v>
      </c>
      <c r="AB4313" t="s">
        <v>86</v>
      </c>
      <c r="AC4313" t="s">
        <v>41</v>
      </c>
    </row>
    <row r="4314" spans="1:29" x14ac:dyDescent="0.35">
      <c r="A4314" s="7">
        <v>42929</v>
      </c>
      <c r="B4314" t="s">
        <v>30</v>
      </c>
      <c r="C4314">
        <v>701</v>
      </c>
      <c r="D4314">
        <v>9</v>
      </c>
      <c r="E4314">
        <v>1</v>
      </c>
      <c r="F4314" t="s">
        <v>315</v>
      </c>
      <c r="G4314" t="s">
        <v>32</v>
      </c>
      <c r="H4314" t="s">
        <v>33</v>
      </c>
      <c r="I4314" t="s">
        <v>59</v>
      </c>
      <c r="AB4314" t="s">
        <v>86</v>
      </c>
      <c r="AC4314" t="s">
        <v>41</v>
      </c>
    </row>
    <row r="4315" spans="1:29" x14ac:dyDescent="0.35">
      <c r="A4315" s="7">
        <v>42929</v>
      </c>
      <c r="B4315" t="s">
        <v>30</v>
      </c>
      <c r="C4315">
        <v>701</v>
      </c>
      <c r="D4315">
        <v>9</v>
      </c>
      <c r="E4315">
        <v>2</v>
      </c>
      <c r="F4315" t="s">
        <v>315</v>
      </c>
      <c r="G4315" t="s">
        <v>32</v>
      </c>
      <c r="H4315" t="s">
        <v>33</v>
      </c>
      <c r="I4315" t="s">
        <v>59</v>
      </c>
      <c r="AB4315" t="s">
        <v>86</v>
      </c>
      <c r="AC4315" t="s">
        <v>41</v>
      </c>
    </row>
    <row r="4316" spans="1:29" x14ac:dyDescent="0.35">
      <c r="A4316" s="7">
        <v>42929</v>
      </c>
      <c r="B4316" t="s">
        <v>30</v>
      </c>
      <c r="C4316">
        <v>701</v>
      </c>
      <c r="D4316">
        <v>10</v>
      </c>
      <c r="E4316">
        <v>1</v>
      </c>
      <c r="F4316" t="s">
        <v>315</v>
      </c>
      <c r="G4316" t="s">
        <v>32</v>
      </c>
      <c r="H4316" t="s">
        <v>33</v>
      </c>
      <c r="I4316" t="s">
        <v>59</v>
      </c>
      <c r="AB4316" t="s">
        <v>86</v>
      </c>
      <c r="AC4316" t="s">
        <v>41</v>
      </c>
    </row>
    <row r="4317" spans="1:29" x14ac:dyDescent="0.35">
      <c r="A4317" s="7">
        <v>42929</v>
      </c>
      <c r="B4317" t="s">
        <v>30</v>
      </c>
      <c r="C4317">
        <v>703</v>
      </c>
      <c r="D4317">
        <v>3</v>
      </c>
      <c r="E4317">
        <v>1</v>
      </c>
      <c r="F4317" t="s">
        <v>315</v>
      </c>
      <c r="G4317" t="s">
        <v>32</v>
      </c>
      <c r="H4317" t="s">
        <v>33</v>
      </c>
      <c r="I4317" t="s">
        <v>94</v>
      </c>
      <c r="J4317" t="s">
        <v>44</v>
      </c>
      <c r="K4317" t="s">
        <v>36</v>
      </c>
      <c r="L4317" t="s">
        <v>37</v>
      </c>
      <c r="M4317">
        <v>0</v>
      </c>
      <c r="N4317">
        <v>0</v>
      </c>
      <c r="O4317">
        <v>39760</v>
      </c>
      <c r="Q4317">
        <f>33-12</f>
        <v>21</v>
      </c>
      <c r="R4317" t="s">
        <v>38</v>
      </c>
      <c r="AB4317" t="s">
        <v>86</v>
      </c>
      <c r="AC4317" t="s">
        <v>41</v>
      </c>
    </row>
    <row r="4318" spans="1:29" x14ac:dyDescent="0.35">
      <c r="A4318" s="7">
        <v>42929</v>
      </c>
      <c r="B4318" t="s">
        <v>30</v>
      </c>
      <c r="C4318">
        <v>703</v>
      </c>
      <c r="D4318">
        <v>6</v>
      </c>
      <c r="E4318">
        <v>1</v>
      </c>
      <c r="F4318" t="s">
        <v>315</v>
      </c>
      <c r="G4318" t="s">
        <v>32</v>
      </c>
      <c r="H4318" t="s">
        <v>33</v>
      </c>
      <c r="I4318" t="s">
        <v>94</v>
      </c>
      <c r="J4318" t="s">
        <v>35</v>
      </c>
      <c r="K4318" t="s">
        <v>36</v>
      </c>
      <c r="L4318" t="s">
        <v>45</v>
      </c>
      <c r="M4318">
        <v>0</v>
      </c>
      <c r="N4318">
        <v>1</v>
      </c>
      <c r="O4318">
        <v>39752</v>
      </c>
      <c r="Q4318">
        <f>35-13</f>
        <v>22</v>
      </c>
      <c r="R4318" t="s">
        <v>1021</v>
      </c>
      <c r="S4318" t="s">
        <v>102</v>
      </c>
      <c r="AB4318" t="s">
        <v>86</v>
      </c>
      <c r="AC4318" t="s">
        <v>41</v>
      </c>
    </row>
    <row r="4319" spans="1:29" x14ac:dyDescent="0.35">
      <c r="A4319" s="7">
        <v>42929</v>
      </c>
      <c r="B4319" t="s">
        <v>30</v>
      </c>
      <c r="C4319">
        <v>703</v>
      </c>
      <c r="D4319">
        <v>8</v>
      </c>
      <c r="E4319">
        <v>1</v>
      </c>
      <c r="F4319" t="s">
        <v>315</v>
      </c>
      <c r="G4319" t="s">
        <v>32</v>
      </c>
      <c r="H4319" t="s">
        <v>33</v>
      </c>
      <c r="I4319" t="s">
        <v>65</v>
      </c>
      <c r="J4319" t="s">
        <v>44</v>
      </c>
      <c r="K4319" t="s">
        <v>36</v>
      </c>
      <c r="L4319" t="s">
        <v>45</v>
      </c>
      <c r="M4319">
        <v>0</v>
      </c>
      <c r="N4319">
        <v>0</v>
      </c>
      <c r="O4319">
        <v>50390</v>
      </c>
      <c r="Q4319">
        <f>236-64</f>
        <v>172</v>
      </c>
      <c r="R4319" t="s">
        <v>1021</v>
      </c>
      <c r="S4319" t="s">
        <v>102</v>
      </c>
      <c r="AB4319" t="s">
        <v>86</v>
      </c>
      <c r="AC4319" t="s">
        <v>41</v>
      </c>
    </row>
    <row r="4320" spans="1:29" x14ac:dyDescent="0.35">
      <c r="A4320" s="7">
        <v>42929</v>
      </c>
      <c r="B4320" t="s">
        <v>30</v>
      </c>
      <c r="C4320">
        <v>703</v>
      </c>
      <c r="D4320">
        <v>9</v>
      </c>
      <c r="E4320">
        <v>1</v>
      </c>
      <c r="F4320" t="s">
        <v>315</v>
      </c>
      <c r="G4320" t="s">
        <v>32</v>
      </c>
      <c r="H4320" t="s">
        <v>33</v>
      </c>
      <c r="I4320" t="s">
        <v>43</v>
      </c>
      <c r="J4320" t="s">
        <v>44</v>
      </c>
      <c r="K4320" t="s">
        <v>88</v>
      </c>
      <c r="L4320" t="s">
        <v>45</v>
      </c>
      <c r="M4320">
        <v>0</v>
      </c>
      <c r="N4320">
        <v>0</v>
      </c>
      <c r="O4320">
        <v>38952</v>
      </c>
      <c r="P4320">
        <v>38951</v>
      </c>
      <c r="Q4320">
        <f>28-14.5</f>
        <v>13.5</v>
      </c>
      <c r="R4320" t="s">
        <v>46</v>
      </c>
      <c r="S4320" t="s">
        <v>39</v>
      </c>
      <c r="AB4320" t="s">
        <v>86</v>
      </c>
      <c r="AC4320" t="s">
        <v>41</v>
      </c>
    </row>
    <row r="4321" spans="1:29" x14ac:dyDescent="0.35">
      <c r="A4321" s="7">
        <v>42929</v>
      </c>
      <c r="B4321" t="s">
        <v>30</v>
      </c>
      <c r="C4321">
        <v>703</v>
      </c>
      <c r="D4321">
        <v>10</v>
      </c>
      <c r="E4321">
        <v>1</v>
      </c>
      <c r="F4321" t="s">
        <v>315</v>
      </c>
      <c r="G4321" t="s">
        <v>32</v>
      </c>
      <c r="H4321" t="s">
        <v>33</v>
      </c>
      <c r="I4321" t="s">
        <v>58</v>
      </c>
      <c r="J4321" t="s">
        <v>35</v>
      </c>
      <c r="K4321" t="s">
        <v>113</v>
      </c>
      <c r="L4321" t="s">
        <v>45</v>
      </c>
      <c r="M4321">
        <v>0</v>
      </c>
      <c r="N4321">
        <v>1</v>
      </c>
      <c r="O4321">
        <v>39751</v>
      </c>
      <c r="Q4321">
        <f>35-13.5</f>
        <v>21.5</v>
      </c>
      <c r="R4321" t="s">
        <v>46</v>
      </c>
      <c r="S4321" t="s">
        <v>39</v>
      </c>
      <c r="AB4321" t="s">
        <v>86</v>
      </c>
      <c r="AC4321" t="s">
        <v>41</v>
      </c>
    </row>
    <row r="4322" spans="1:29" x14ac:dyDescent="0.35">
      <c r="A4322" s="7">
        <v>42929</v>
      </c>
      <c r="B4322" t="s">
        <v>30</v>
      </c>
      <c r="C4322">
        <v>703</v>
      </c>
      <c r="D4322">
        <v>10</v>
      </c>
      <c r="E4322">
        <v>2</v>
      </c>
      <c r="F4322" t="s">
        <v>315</v>
      </c>
      <c r="G4322" t="s">
        <v>32</v>
      </c>
      <c r="H4322" t="s">
        <v>33</v>
      </c>
      <c r="I4322" t="s">
        <v>59</v>
      </c>
      <c r="AB4322" t="s">
        <v>86</v>
      </c>
      <c r="AC4322" t="s">
        <v>41</v>
      </c>
    </row>
    <row r="4323" spans="1:29" x14ac:dyDescent="0.35">
      <c r="A4323" s="7">
        <v>42929</v>
      </c>
      <c r="B4323" t="s">
        <v>30</v>
      </c>
      <c r="C4323">
        <v>801</v>
      </c>
      <c r="D4323">
        <v>2</v>
      </c>
      <c r="E4323">
        <v>1</v>
      </c>
      <c r="F4323" t="s">
        <v>315</v>
      </c>
      <c r="G4323" t="s">
        <v>32</v>
      </c>
      <c r="H4323" t="s">
        <v>33</v>
      </c>
      <c r="I4323" t="s">
        <v>72</v>
      </c>
      <c r="J4323" t="s">
        <v>56</v>
      </c>
      <c r="AB4323" t="s">
        <v>86</v>
      </c>
      <c r="AC4323" t="s">
        <v>41</v>
      </c>
    </row>
    <row r="4324" spans="1:29" x14ac:dyDescent="0.35">
      <c r="A4324" s="7">
        <v>42929</v>
      </c>
      <c r="B4324" t="s">
        <v>30</v>
      </c>
      <c r="C4324">
        <v>801</v>
      </c>
      <c r="D4324">
        <v>3</v>
      </c>
      <c r="E4324">
        <v>1</v>
      </c>
      <c r="F4324" t="s">
        <v>315</v>
      </c>
      <c r="G4324" t="s">
        <v>32</v>
      </c>
      <c r="H4324" t="s">
        <v>33</v>
      </c>
      <c r="I4324" t="s">
        <v>1029</v>
      </c>
      <c r="J4324" t="s">
        <v>66</v>
      </c>
      <c r="AB4324" t="s">
        <v>86</v>
      </c>
      <c r="AC4324" t="s">
        <v>41</v>
      </c>
    </row>
    <row r="4325" spans="1:29" x14ac:dyDescent="0.35">
      <c r="A4325" s="7">
        <v>42929</v>
      </c>
      <c r="B4325" t="s">
        <v>30</v>
      </c>
      <c r="C4325">
        <v>801</v>
      </c>
      <c r="D4325">
        <v>3</v>
      </c>
      <c r="E4325">
        <v>2</v>
      </c>
      <c r="F4325" t="s">
        <v>315</v>
      </c>
      <c r="G4325" t="s">
        <v>32</v>
      </c>
      <c r="H4325" t="s">
        <v>33</v>
      </c>
      <c r="I4325" t="s">
        <v>43</v>
      </c>
      <c r="J4325" t="s">
        <v>44</v>
      </c>
      <c r="K4325" t="s">
        <v>36</v>
      </c>
      <c r="L4325" t="s">
        <v>37</v>
      </c>
      <c r="M4325">
        <v>0</v>
      </c>
      <c r="N4325">
        <v>0</v>
      </c>
      <c r="O4325">
        <v>39129</v>
      </c>
      <c r="P4325">
        <v>39169</v>
      </c>
      <c r="Q4325">
        <f>43-20</f>
        <v>23</v>
      </c>
      <c r="R4325" t="s">
        <v>38</v>
      </c>
      <c r="AB4325" t="s">
        <v>86</v>
      </c>
      <c r="AC4325" t="s">
        <v>41</v>
      </c>
    </row>
    <row r="4326" spans="1:29" x14ac:dyDescent="0.35">
      <c r="A4326" s="7">
        <v>42929</v>
      </c>
      <c r="B4326" t="s">
        <v>30</v>
      </c>
      <c r="C4326">
        <v>801</v>
      </c>
      <c r="D4326">
        <v>4</v>
      </c>
      <c r="E4326">
        <v>1</v>
      </c>
      <c r="F4326" t="s">
        <v>315</v>
      </c>
      <c r="G4326" t="s">
        <v>32</v>
      </c>
      <c r="H4326" t="s">
        <v>33</v>
      </c>
      <c r="I4326" t="s">
        <v>59</v>
      </c>
      <c r="AB4326" t="s">
        <v>86</v>
      </c>
      <c r="AC4326" t="s">
        <v>41</v>
      </c>
    </row>
    <row r="4327" spans="1:29" x14ac:dyDescent="0.35">
      <c r="A4327" s="7">
        <v>42929</v>
      </c>
      <c r="B4327" t="s">
        <v>30</v>
      </c>
      <c r="C4327">
        <v>801</v>
      </c>
      <c r="D4327">
        <v>4</v>
      </c>
      <c r="E4327">
        <v>2</v>
      </c>
      <c r="F4327" t="s">
        <v>315</v>
      </c>
      <c r="G4327" t="s">
        <v>32</v>
      </c>
      <c r="H4327" t="s">
        <v>33</v>
      </c>
      <c r="I4327" t="s">
        <v>43</v>
      </c>
      <c r="J4327" t="s">
        <v>35</v>
      </c>
      <c r="K4327" t="s">
        <v>88</v>
      </c>
      <c r="L4327" t="s">
        <v>37</v>
      </c>
      <c r="M4327">
        <v>0</v>
      </c>
      <c r="N4327">
        <v>1</v>
      </c>
      <c r="O4327">
        <v>39779</v>
      </c>
      <c r="P4327">
        <v>39778</v>
      </c>
      <c r="Q4327">
        <f>27.5-15</f>
        <v>12.5</v>
      </c>
      <c r="R4327" t="s">
        <v>64</v>
      </c>
      <c r="AB4327" t="s">
        <v>86</v>
      </c>
      <c r="AC4327" t="s">
        <v>41</v>
      </c>
    </row>
    <row r="4328" spans="1:29" x14ac:dyDescent="0.35">
      <c r="A4328" s="7">
        <v>42929</v>
      </c>
      <c r="B4328" t="s">
        <v>30</v>
      </c>
      <c r="C4328">
        <v>801</v>
      </c>
      <c r="D4328">
        <v>5</v>
      </c>
      <c r="E4328">
        <v>1</v>
      </c>
      <c r="F4328" t="s">
        <v>315</v>
      </c>
      <c r="G4328" t="s">
        <v>32</v>
      </c>
      <c r="H4328" t="s">
        <v>33</v>
      </c>
      <c r="I4328" t="s">
        <v>59</v>
      </c>
      <c r="AB4328" t="s">
        <v>86</v>
      </c>
      <c r="AC4328" t="s">
        <v>41</v>
      </c>
    </row>
    <row r="4329" spans="1:29" x14ac:dyDescent="0.35">
      <c r="A4329" s="7">
        <v>42929</v>
      </c>
      <c r="B4329" t="s">
        <v>30</v>
      </c>
      <c r="C4329">
        <v>801</v>
      </c>
      <c r="D4329">
        <v>6</v>
      </c>
      <c r="E4329">
        <v>1</v>
      </c>
      <c r="F4329" t="s">
        <v>315</v>
      </c>
      <c r="G4329" t="s">
        <v>32</v>
      </c>
      <c r="H4329" t="s">
        <v>33</v>
      </c>
      <c r="I4329" t="s">
        <v>59</v>
      </c>
      <c r="AB4329" t="s">
        <v>86</v>
      </c>
      <c r="AC4329" t="s">
        <v>41</v>
      </c>
    </row>
    <row r="4330" spans="1:29" x14ac:dyDescent="0.35">
      <c r="A4330" s="7">
        <v>42929</v>
      </c>
      <c r="B4330" t="s">
        <v>30</v>
      </c>
      <c r="C4330">
        <v>801</v>
      </c>
      <c r="D4330">
        <v>6</v>
      </c>
      <c r="E4330">
        <v>2</v>
      </c>
      <c r="F4330" t="s">
        <v>315</v>
      </c>
      <c r="G4330" t="s">
        <v>32</v>
      </c>
      <c r="H4330" t="s">
        <v>33</v>
      </c>
      <c r="I4330" t="s">
        <v>58</v>
      </c>
      <c r="J4330" t="s">
        <v>35</v>
      </c>
      <c r="K4330" t="s">
        <v>36</v>
      </c>
      <c r="L4330" t="s">
        <v>37</v>
      </c>
      <c r="M4330">
        <v>0</v>
      </c>
      <c r="N4330">
        <v>1</v>
      </c>
      <c r="O4330">
        <v>39780</v>
      </c>
      <c r="Q4330">
        <f>42-15</f>
        <v>27</v>
      </c>
      <c r="R4330" t="s">
        <v>38</v>
      </c>
      <c r="Z4330" t="s">
        <v>102</v>
      </c>
      <c r="AB4330" t="s">
        <v>86</v>
      </c>
      <c r="AC4330" t="s">
        <v>41</v>
      </c>
    </row>
    <row r="4331" spans="1:29" x14ac:dyDescent="0.35">
      <c r="A4331" s="7">
        <v>42929</v>
      </c>
      <c r="B4331" t="s">
        <v>30</v>
      </c>
      <c r="C4331">
        <v>801</v>
      </c>
      <c r="D4331">
        <v>7</v>
      </c>
      <c r="E4331">
        <v>1</v>
      </c>
      <c r="F4331" t="s">
        <v>315</v>
      </c>
      <c r="G4331" t="s">
        <v>32</v>
      </c>
      <c r="H4331" t="s">
        <v>33</v>
      </c>
      <c r="I4331" t="s">
        <v>43</v>
      </c>
      <c r="J4331" t="s">
        <v>35</v>
      </c>
      <c r="K4331" t="s">
        <v>36</v>
      </c>
      <c r="L4331" t="s">
        <v>45</v>
      </c>
      <c r="M4331">
        <v>0</v>
      </c>
      <c r="N4331">
        <v>1</v>
      </c>
      <c r="O4331">
        <v>39782</v>
      </c>
      <c r="P4331">
        <v>39781</v>
      </c>
      <c r="Q4331">
        <f>42.5-21.5</f>
        <v>21</v>
      </c>
      <c r="R4331" t="s">
        <v>77</v>
      </c>
      <c r="S4331" t="s">
        <v>39</v>
      </c>
      <c r="AB4331" t="s">
        <v>86</v>
      </c>
      <c r="AC4331" t="s">
        <v>41</v>
      </c>
    </row>
    <row r="4332" spans="1:29" x14ac:dyDescent="0.35">
      <c r="A4332" s="7">
        <v>42929</v>
      </c>
      <c r="B4332" t="s">
        <v>30</v>
      </c>
      <c r="C4332">
        <v>801</v>
      </c>
      <c r="D4332">
        <v>9</v>
      </c>
      <c r="E4332">
        <v>1</v>
      </c>
      <c r="F4332" t="s">
        <v>315</v>
      </c>
      <c r="G4332" t="s">
        <v>32</v>
      </c>
      <c r="H4332" t="s">
        <v>33</v>
      </c>
      <c r="I4332" t="s">
        <v>43</v>
      </c>
      <c r="J4332" t="s">
        <v>44</v>
      </c>
      <c r="K4332" t="s">
        <v>36</v>
      </c>
      <c r="L4332" t="s">
        <v>45</v>
      </c>
      <c r="M4332">
        <v>0</v>
      </c>
      <c r="N4332">
        <v>0</v>
      </c>
      <c r="O4332">
        <v>39758</v>
      </c>
      <c r="P4332">
        <v>39757</v>
      </c>
      <c r="Q4332">
        <f>33.5-15.5</f>
        <v>18</v>
      </c>
      <c r="R4332" t="s">
        <v>1035</v>
      </c>
      <c r="S4332" t="s">
        <v>102</v>
      </c>
      <c r="AB4332" t="s">
        <v>86</v>
      </c>
      <c r="AC4332" t="s">
        <v>41</v>
      </c>
    </row>
    <row r="4333" spans="1:29" x14ac:dyDescent="0.35">
      <c r="A4333" s="7">
        <v>42929</v>
      </c>
      <c r="B4333" t="s">
        <v>30</v>
      </c>
      <c r="C4333">
        <v>803</v>
      </c>
      <c r="D4333">
        <v>1</v>
      </c>
      <c r="E4333">
        <v>1</v>
      </c>
      <c r="F4333" t="s">
        <v>315</v>
      </c>
      <c r="G4333" t="s">
        <v>32</v>
      </c>
      <c r="H4333" t="s">
        <v>33</v>
      </c>
      <c r="I4333" t="s">
        <v>59</v>
      </c>
      <c r="AB4333" t="s">
        <v>86</v>
      </c>
      <c r="AC4333" t="s">
        <v>41</v>
      </c>
    </row>
    <row r="4334" spans="1:29" x14ac:dyDescent="0.35">
      <c r="A4334" s="7">
        <v>42929</v>
      </c>
      <c r="B4334" t="s">
        <v>30</v>
      </c>
      <c r="C4334">
        <v>803</v>
      </c>
      <c r="D4334">
        <v>1</v>
      </c>
      <c r="E4334">
        <v>2</v>
      </c>
      <c r="F4334" t="s">
        <v>315</v>
      </c>
      <c r="G4334" t="s">
        <v>32</v>
      </c>
      <c r="H4334" t="s">
        <v>33</v>
      </c>
      <c r="I4334" t="s">
        <v>43</v>
      </c>
      <c r="J4334" t="s">
        <v>35</v>
      </c>
      <c r="K4334" t="s">
        <v>113</v>
      </c>
      <c r="L4334" t="s">
        <v>37</v>
      </c>
      <c r="M4334">
        <v>0</v>
      </c>
      <c r="N4334">
        <v>1</v>
      </c>
      <c r="O4334">
        <v>39786</v>
      </c>
      <c r="P4334">
        <v>39785</v>
      </c>
      <c r="Q4334">
        <f>34-16</f>
        <v>18</v>
      </c>
      <c r="R4334" t="s">
        <v>38</v>
      </c>
      <c r="AB4334" t="s">
        <v>86</v>
      </c>
      <c r="AC4334" t="s">
        <v>41</v>
      </c>
    </row>
    <row r="4335" spans="1:29" x14ac:dyDescent="0.35">
      <c r="A4335" s="7">
        <v>42929</v>
      </c>
      <c r="B4335" t="s">
        <v>30</v>
      </c>
      <c r="C4335">
        <v>803</v>
      </c>
      <c r="D4335">
        <v>2</v>
      </c>
      <c r="E4335">
        <v>1</v>
      </c>
      <c r="F4335" t="s">
        <v>315</v>
      </c>
      <c r="G4335" t="s">
        <v>32</v>
      </c>
      <c r="H4335" t="s">
        <v>33</v>
      </c>
      <c r="I4335" t="s">
        <v>43</v>
      </c>
      <c r="J4335" t="s">
        <v>44</v>
      </c>
      <c r="K4335" t="s">
        <v>113</v>
      </c>
      <c r="L4335" t="s">
        <v>37</v>
      </c>
      <c r="M4335">
        <v>0</v>
      </c>
      <c r="N4335">
        <v>0</v>
      </c>
      <c r="O4335">
        <v>39755</v>
      </c>
      <c r="P4335">
        <v>39754</v>
      </c>
      <c r="Q4335">
        <f>32-16</f>
        <v>16</v>
      </c>
      <c r="R4335" t="s">
        <v>38</v>
      </c>
      <c r="AB4335" t="s">
        <v>86</v>
      </c>
      <c r="AC4335" t="s">
        <v>41</v>
      </c>
    </row>
    <row r="4336" spans="1:29" x14ac:dyDescent="0.35">
      <c r="A4336" s="7">
        <v>42929</v>
      </c>
      <c r="B4336" t="s">
        <v>30</v>
      </c>
      <c r="C4336">
        <v>803</v>
      </c>
      <c r="D4336">
        <v>3</v>
      </c>
      <c r="E4336">
        <v>1</v>
      </c>
      <c r="F4336" t="s">
        <v>315</v>
      </c>
      <c r="G4336" t="s">
        <v>32</v>
      </c>
      <c r="H4336" t="s">
        <v>33</v>
      </c>
      <c r="I4336" t="s">
        <v>94</v>
      </c>
      <c r="J4336" t="s">
        <v>35</v>
      </c>
      <c r="K4336" t="s">
        <v>36</v>
      </c>
      <c r="L4336" t="s">
        <v>45</v>
      </c>
      <c r="M4336">
        <v>0</v>
      </c>
      <c r="N4336">
        <v>1</v>
      </c>
      <c r="O4336">
        <v>39783</v>
      </c>
      <c r="Q4336">
        <f>49.5-16</f>
        <v>33.5</v>
      </c>
      <c r="R4336" t="s">
        <v>1028</v>
      </c>
      <c r="S4336" t="s">
        <v>102</v>
      </c>
      <c r="AB4336" t="s">
        <v>86</v>
      </c>
      <c r="AC4336" t="s">
        <v>41</v>
      </c>
    </row>
    <row r="4337" spans="1:30" x14ac:dyDescent="0.35">
      <c r="A4337" s="7">
        <v>42929</v>
      </c>
      <c r="B4337" t="s">
        <v>30</v>
      </c>
      <c r="C4337">
        <v>803</v>
      </c>
      <c r="D4337">
        <v>3</v>
      </c>
      <c r="E4337">
        <v>2</v>
      </c>
      <c r="F4337" t="s">
        <v>315</v>
      </c>
      <c r="G4337" t="s">
        <v>32</v>
      </c>
      <c r="H4337" t="s">
        <v>33</v>
      </c>
      <c r="I4337" t="s">
        <v>94</v>
      </c>
      <c r="J4337" t="s">
        <v>35</v>
      </c>
      <c r="K4337" t="s">
        <v>36</v>
      </c>
      <c r="L4337" t="s">
        <v>37</v>
      </c>
      <c r="M4337">
        <v>0</v>
      </c>
      <c r="N4337">
        <v>1</v>
      </c>
      <c r="O4337">
        <v>39784</v>
      </c>
      <c r="Q4337">
        <f>39.5-16.5</f>
        <v>23</v>
      </c>
      <c r="R4337" t="s">
        <v>38</v>
      </c>
      <c r="AB4337" t="s">
        <v>86</v>
      </c>
      <c r="AC4337" t="s">
        <v>41</v>
      </c>
      <c r="AD4337" t="s">
        <v>1036</v>
      </c>
    </row>
    <row r="4338" spans="1:30" x14ac:dyDescent="0.35">
      <c r="A4338" s="7">
        <v>42929</v>
      </c>
      <c r="B4338" t="s">
        <v>30</v>
      </c>
      <c r="C4338">
        <v>803</v>
      </c>
      <c r="D4338">
        <v>4</v>
      </c>
      <c r="E4338">
        <v>1</v>
      </c>
      <c r="F4338" t="s">
        <v>315</v>
      </c>
      <c r="G4338" t="s">
        <v>32</v>
      </c>
      <c r="H4338" t="s">
        <v>33</v>
      </c>
      <c r="I4338" t="s">
        <v>59</v>
      </c>
      <c r="AB4338" t="s">
        <v>86</v>
      </c>
      <c r="AC4338" t="s">
        <v>41</v>
      </c>
    </row>
    <row r="4339" spans="1:30" x14ac:dyDescent="0.35">
      <c r="A4339" s="7">
        <v>42929</v>
      </c>
      <c r="B4339" t="s">
        <v>30</v>
      </c>
      <c r="C4339">
        <v>803</v>
      </c>
      <c r="D4339">
        <v>5</v>
      </c>
      <c r="E4339">
        <v>1</v>
      </c>
      <c r="F4339" t="s">
        <v>315</v>
      </c>
      <c r="G4339" t="s">
        <v>32</v>
      </c>
      <c r="H4339" t="s">
        <v>33</v>
      </c>
      <c r="I4339" t="s">
        <v>43</v>
      </c>
      <c r="J4339" t="s">
        <v>44</v>
      </c>
      <c r="K4339" t="s">
        <v>36</v>
      </c>
      <c r="L4339" t="s">
        <v>37</v>
      </c>
      <c r="M4339">
        <v>0</v>
      </c>
      <c r="N4339">
        <v>0</v>
      </c>
      <c r="O4339">
        <v>39768</v>
      </c>
      <c r="P4339">
        <v>39767</v>
      </c>
      <c r="Q4339">
        <f>34.5-15</f>
        <v>19.5</v>
      </c>
      <c r="R4339" t="s">
        <v>38</v>
      </c>
      <c r="AB4339" t="s">
        <v>86</v>
      </c>
      <c r="AC4339" t="s">
        <v>41</v>
      </c>
    </row>
    <row r="4340" spans="1:30" x14ac:dyDescent="0.35">
      <c r="A4340" s="7">
        <v>42929</v>
      </c>
      <c r="B4340" t="s">
        <v>30</v>
      </c>
      <c r="C4340">
        <v>803</v>
      </c>
      <c r="D4340">
        <v>5</v>
      </c>
      <c r="E4340">
        <v>2</v>
      </c>
      <c r="F4340" t="s">
        <v>315</v>
      </c>
      <c r="G4340" t="s">
        <v>32</v>
      </c>
      <c r="H4340" t="s">
        <v>33</v>
      </c>
      <c r="I4340" t="s">
        <v>43</v>
      </c>
      <c r="J4340" t="s">
        <v>44</v>
      </c>
      <c r="K4340" t="s">
        <v>113</v>
      </c>
      <c r="L4340" t="s">
        <v>37</v>
      </c>
      <c r="M4340">
        <v>0</v>
      </c>
      <c r="N4340">
        <v>0</v>
      </c>
      <c r="O4340">
        <v>39766</v>
      </c>
      <c r="P4340">
        <v>39765</v>
      </c>
      <c r="Q4340">
        <f>32-17</f>
        <v>15</v>
      </c>
      <c r="R4340" t="s">
        <v>38</v>
      </c>
      <c r="AB4340" t="s">
        <v>86</v>
      </c>
      <c r="AC4340" t="s">
        <v>41</v>
      </c>
    </row>
    <row r="4341" spans="1:30" x14ac:dyDescent="0.35">
      <c r="A4341" s="7">
        <v>42929</v>
      </c>
      <c r="B4341" t="s">
        <v>30</v>
      </c>
      <c r="C4341">
        <v>803</v>
      </c>
      <c r="D4341">
        <v>10</v>
      </c>
      <c r="E4341">
        <v>1</v>
      </c>
      <c r="F4341" t="s">
        <v>315</v>
      </c>
      <c r="G4341" t="s">
        <v>32</v>
      </c>
      <c r="H4341" t="s">
        <v>33</v>
      </c>
      <c r="I4341" t="s">
        <v>94</v>
      </c>
      <c r="J4341" t="s">
        <v>44</v>
      </c>
      <c r="K4341" t="s">
        <v>36</v>
      </c>
      <c r="L4341" t="s">
        <v>45</v>
      </c>
      <c r="M4341">
        <v>0</v>
      </c>
      <c r="N4341">
        <v>0</v>
      </c>
      <c r="P4341">
        <v>50615</v>
      </c>
      <c r="Q4341">
        <f>40.5-14</f>
        <v>26.5</v>
      </c>
      <c r="R4341" t="s">
        <v>1028</v>
      </c>
      <c r="S4341" t="s">
        <v>102</v>
      </c>
      <c r="AB4341" t="s">
        <v>86</v>
      </c>
      <c r="AC4341" t="s">
        <v>41</v>
      </c>
    </row>
    <row r="4342" spans="1:30" x14ac:dyDescent="0.35">
      <c r="A4342" s="7">
        <v>42929</v>
      </c>
      <c r="B4342" t="s">
        <v>30</v>
      </c>
      <c r="C4342">
        <v>901</v>
      </c>
      <c r="D4342">
        <v>3</v>
      </c>
      <c r="E4342">
        <v>1</v>
      </c>
      <c r="F4342" t="s">
        <v>315</v>
      </c>
      <c r="G4342" t="s">
        <v>32</v>
      </c>
      <c r="H4342" t="s">
        <v>33</v>
      </c>
      <c r="I4342" t="s">
        <v>59</v>
      </c>
      <c r="AB4342" t="s">
        <v>86</v>
      </c>
      <c r="AC4342" t="s">
        <v>41</v>
      </c>
    </row>
    <row r="4343" spans="1:30" x14ac:dyDescent="0.35">
      <c r="A4343" s="7">
        <v>42929</v>
      </c>
      <c r="B4343" t="s">
        <v>30</v>
      </c>
      <c r="C4343">
        <v>901</v>
      </c>
      <c r="D4343">
        <v>4</v>
      </c>
      <c r="E4343">
        <v>1</v>
      </c>
      <c r="F4343" t="s">
        <v>315</v>
      </c>
      <c r="G4343" t="s">
        <v>32</v>
      </c>
      <c r="H4343" t="s">
        <v>33</v>
      </c>
      <c r="I4343" t="s">
        <v>43</v>
      </c>
      <c r="J4343" t="s">
        <v>44</v>
      </c>
      <c r="K4343" t="s">
        <v>36</v>
      </c>
      <c r="L4343" t="s">
        <v>45</v>
      </c>
      <c r="M4343">
        <v>0</v>
      </c>
      <c r="N4343">
        <v>0</v>
      </c>
      <c r="O4343">
        <v>39764</v>
      </c>
      <c r="P4343">
        <v>39763</v>
      </c>
      <c r="Q4343">
        <f>43-15.5</f>
        <v>27.5</v>
      </c>
      <c r="R4343" t="s">
        <v>77</v>
      </c>
      <c r="S4343" t="s">
        <v>39</v>
      </c>
      <c r="AB4343" t="s">
        <v>86</v>
      </c>
      <c r="AC4343" t="s">
        <v>41</v>
      </c>
    </row>
    <row r="4344" spans="1:30" x14ac:dyDescent="0.35">
      <c r="A4344" s="7">
        <v>42929</v>
      </c>
      <c r="B4344" t="s">
        <v>30</v>
      </c>
      <c r="C4344">
        <v>901</v>
      </c>
      <c r="D4344">
        <v>5</v>
      </c>
      <c r="E4344">
        <v>1</v>
      </c>
      <c r="F4344" t="s">
        <v>315</v>
      </c>
      <c r="G4344" t="s">
        <v>32</v>
      </c>
      <c r="H4344" t="s">
        <v>33</v>
      </c>
      <c r="I4344" t="s">
        <v>43</v>
      </c>
      <c r="J4344" t="s">
        <v>44</v>
      </c>
      <c r="K4344" t="s">
        <v>36</v>
      </c>
      <c r="L4344" t="s">
        <v>45</v>
      </c>
      <c r="M4344">
        <v>0</v>
      </c>
      <c r="N4344">
        <v>0</v>
      </c>
      <c r="O4344">
        <v>39145</v>
      </c>
      <c r="P4344">
        <v>39144</v>
      </c>
      <c r="Q4344">
        <f>41-16</f>
        <v>25</v>
      </c>
      <c r="R4344" t="s">
        <v>77</v>
      </c>
      <c r="S4344" t="s">
        <v>39</v>
      </c>
      <c r="AB4344" t="s">
        <v>86</v>
      </c>
      <c r="AC4344" t="s">
        <v>41</v>
      </c>
    </row>
    <row r="4345" spans="1:30" x14ac:dyDescent="0.35">
      <c r="A4345" s="7">
        <v>42929</v>
      </c>
      <c r="B4345" t="s">
        <v>30</v>
      </c>
      <c r="C4345">
        <v>901</v>
      </c>
      <c r="D4345">
        <v>6</v>
      </c>
      <c r="E4345">
        <v>1</v>
      </c>
      <c r="F4345" t="s">
        <v>315</v>
      </c>
      <c r="G4345" t="s">
        <v>32</v>
      </c>
      <c r="H4345" t="s">
        <v>33</v>
      </c>
      <c r="I4345" t="s">
        <v>43</v>
      </c>
      <c r="J4345" t="s">
        <v>44</v>
      </c>
      <c r="K4345" t="s">
        <v>36</v>
      </c>
      <c r="L4345" t="s">
        <v>37</v>
      </c>
      <c r="M4345">
        <v>0</v>
      </c>
      <c r="N4345">
        <v>0</v>
      </c>
      <c r="O4345">
        <v>39126</v>
      </c>
      <c r="P4345">
        <v>39753</v>
      </c>
      <c r="Q4345">
        <f>38-16</f>
        <v>22</v>
      </c>
      <c r="R4345" t="s">
        <v>38</v>
      </c>
      <c r="AB4345" t="s">
        <v>86</v>
      </c>
      <c r="AC4345" t="s">
        <v>41</v>
      </c>
    </row>
    <row r="4346" spans="1:30" x14ac:dyDescent="0.35">
      <c r="A4346" s="7">
        <v>42929</v>
      </c>
      <c r="B4346" t="s">
        <v>30</v>
      </c>
      <c r="C4346">
        <v>901</v>
      </c>
      <c r="D4346">
        <v>8</v>
      </c>
      <c r="E4346">
        <v>1</v>
      </c>
      <c r="F4346" t="s">
        <v>315</v>
      </c>
      <c r="G4346" t="s">
        <v>32</v>
      </c>
      <c r="H4346" t="s">
        <v>33</v>
      </c>
      <c r="I4346" t="s">
        <v>43</v>
      </c>
      <c r="J4346" t="s">
        <v>44</v>
      </c>
      <c r="K4346" t="s">
        <v>113</v>
      </c>
      <c r="L4346" t="s">
        <v>37</v>
      </c>
      <c r="M4346">
        <v>0</v>
      </c>
      <c r="N4346">
        <v>0</v>
      </c>
      <c r="O4346">
        <v>39762</v>
      </c>
      <c r="P4346">
        <v>39761</v>
      </c>
      <c r="Q4346">
        <f>47-25.5</f>
        <v>21.5</v>
      </c>
      <c r="R4346" t="s">
        <v>64</v>
      </c>
      <c r="AB4346" t="s">
        <v>86</v>
      </c>
      <c r="AC4346" t="s">
        <v>41</v>
      </c>
    </row>
    <row r="4347" spans="1:30" x14ac:dyDescent="0.35">
      <c r="A4347" s="7">
        <v>42929</v>
      </c>
      <c r="B4347" t="s">
        <v>30</v>
      </c>
      <c r="C4347">
        <v>901</v>
      </c>
      <c r="D4347">
        <v>8</v>
      </c>
      <c r="E4347">
        <v>2</v>
      </c>
      <c r="F4347" t="s">
        <v>315</v>
      </c>
      <c r="G4347" t="s">
        <v>32</v>
      </c>
      <c r="H4347" t="s">
        <v>33</v>
      </c>
      <c r="I4347" t="s">
        <v>43</v>
      </c>
      <c r="J4347" t="s">
        <v>35</v>
      </c>
      <c r="K4347" t="s">
        <v>36</v>
      </c>
      <c r="L4347" t="s">
        <v>37</v>
      </c>
      <c r="M4347">
        <v>0</v>
      </c>
      <c r="N4347">
        <v>1</v>
      </c>
      <c r="O4347">
        <v>39788</v>
      </c>
      <c r="P4347">
        <v>39787</v>
      </c>
      <c r="Q4347">
        <f>38-16.5</f>
        <v>21.5</v>
      </c>
      <c r="R4347" t="s">
        <v>38</v>
      </c>
      <c r="AB4347" t="s">
        <v>86</v>
      </c>
      <c r="AC4347" t="s">
        <v>41</v>
      </c>
    </row>
    <row r="4348" spans="1:30" x14ac:dyDescent="0.35">
      <c r="A4348" s="7">
        <v>42929</v>
      </c>
      <c r="B4348" t="s">
        <v>30</v>
      </c>
      <c r="C4348">
        <v>901</v>
      </c>
      <c r="D4348">
        <v>10</v>
      </c>
      <c r="E4348">
        <v>1</v>
      </c>
      <c r="F4348" t="s">
        <v>315</v>
      </c>
      <c r="G4348" t="s">
        <v>32</v>
      </c>
      <c r="H4348" t="s">
        <v>33</v>
      </c>
      <c r="I4348" t="s">
        <v>43</v>
      </c>
      <c r="J4348" t="s">
        <v>35</v>
      </c>
      <c r="K4348" t="s">
        <v>36</v>
      </c>
      <c r="L4348" t="s">
        <v>45</v>
      </c>
      <c r="M4348">
        <v>0</v>
      </c>
      <c r="N4348">
        <v>1</v>
      </c>
      <c r="O4348">
        <v>39790</v>
      </c>
      <c r="P4348">
        <v>39789</v>
      </c>
      <c r="Q4348">
        <f>36-12</f>
        <v>24</v>
      </c>
      <c r="R4348" t="s">
        <v>1028</v>
      </c>
      <c r="S4348" t="s">
        <v>102</v>
      </c>
      <c r="AB4348" t="s">
        <v>86</v>
      </c>
      <c r="AC4348" t="s">
        <v>41</v>
      </c>
    </row>
    <row r="4349" spans="1:30" x14ac:dyDescent="0.35">
      <c r="A4349" s="7">
        <v>42930</v>
      </c>
      <c r="B4349" t="s">
        <v>30</v>
      </c>
      <c r="C4349">
        <v>111</v>
      </c>
      <c r="D4349">
        <v>2</v>
      </c>
      <c r="E4349">
        <v>1</v>
      </c>
      <c r="F4349" t="s">
        <v>315</v>
      </c>
      <c r="G4349" t="s">
        <v>32</v>
      </c>
      <c r="H4349" t="s">
        <v>33</v>
      </c>
      <c r="I4349" t="s">
        <v>43</v>
      </c>
      <c r="J4349" t="s">
        <v>44</v>
      </c>
      <c r="K4349" t="s">
        <v>36</v>
      </c>
      <c r="L4349" t="s">
        <v>37</v>
      </c>
      <c r="M4349">
        <v>0</v>
      </c>
      <c r="N4349">
        <v>0</v>
      </c>
      <c r="O4349">
        <v>50952</v>
      </c>
      <c r="P4349">
        <v>50951</v>
      </c>
      <c r="Q4349">
        <f>35.5-14</f>
        <v>21.5</v>
      </c>
      <c r="R4349" t="s">
        <v>38</v>
      </c>
      <c r="AB4349" t="s">
        <v>86</v>
      </c>
      <c r="AC4349" t="s">
        <v>87</v>
      </c>
    </row>
    <row r="4350" spans="1:30" x14ac:dyDescent="0.35">
      <c r="A4350" s="7">
        <v>42930</v>
      </c>
      <c r="B4350" t="s">
        <v>30</v>
      </c>
      <c r="C4350">
        <v>111</v>
      </c>
      <c r="D4350">
        <v>2</v>
      </c>
      <c r="E4350">
        <v>2</v>
      </c>
      <c r="F4350" t="s">
        <v>315</v>
      </c>
      <c r="G4350" t="s">
        <v>32</v>
      </c>
      <c r="H4350" t="s">
        <v>33</v>
      </c>
      <c r="I4350" t="s">
        <v>59</v>
      </c>
      <c r="AB4350" t="s">
        <v>86</v>
      </c>
      <c r="AC4350" t="s">
        <v>87</v>
      </c>
    </row>
    <row r="4351" spans="1:30" x14ac:dyDescent="0.35">
      <c r="A4351" s="7">
        <v>42930</v>
      </c>
      <c r="B4351" t="s">
        <v>30</v>
      </c>
      <c r="C4351">
        <v>111</v>
      </c>
      <c r="D4351">
        <v>3</v>
      </c>
      <c r="E4351">
        <v>1</v>
      </c>
      <c r="F4351" t="s">
        <v>315</v>
      </c>
      <c r="G4351" t="s">
        <v>32</v>
      </c>
      <c r="H4351" t="s">
        <v>33</v>
      </c>
      <c r="I4351" t="s">
        <v>43</v>
      </c>
      <c r="J4351" t="s">
        <v>44</v>
      </c>
      <c r="K4351" t="s">
        <v>36</v>
      </c>
      <c r="L4351" t="s">
        <v>45</v>
      </c>
      <c r="M4351">
        <v>0</v>
      </c>
      <c r="N4351">
        <v>0</v>
      </c>
      <c r="O4351">
        <v>39309</v>
      </c>
      <c r="P4351">
        <v>39310</v>
      </c>
      <c r="Q4351">
        <f>33-13.5</f>
        <v>19.5</v>
      </c>
      <c r="R4351" t="s">
        <v>1035</v>
      </c>
      <c r="S4351" t="s">
        <v>102</v>
      </c>
      <c r="AB4351" t="s">
        <v>86</v>
      </c>
      <c r="AC4351" t="s">
        <v>87</v>
      </c>
    </row>
    <row r="4352" spans="1:30" x14ac:dyDescent="0.35">
      <c r="A4352" s="7">
        <v>42930</v>
      </c>
      <c r="B4352" t="s">
        <v>30</v>
      </c>
      <c r="C4352">
        <v>111</v>
      </c>
      <c r="D4352">
        <v>4</v>
      </c>
      <c r="E4352">
        <v>1</v>
      </c>
      <c r="F4352" t="s">
        <v>315</v>
      </c>
      <c r="G4352" t="s">
        <v>32</v>
      </c>
      <c r="H4352" t="s">
        <v>33</v>
      </c>
      <c r="I4352" t="s">
        <v>43</v>
      </c>
      <c r="J4352" t="s">
        <v>44</v>
      </c>
      <c r="K4352" t="s">
        <v>36</v>
      </c>
      <c r="L4352" t="s">
        <v>37</v>
      </c>
      <c r="M4352">
        <v>0</v>
      </c>
      <c r="N4352">
        <v>0</v>
      </c>
      <c r="P4352">
        <v>39151</v>
      </c>
      <c r="Q4352">
        <f>41-19</f>
        <v>22</v>
      </c>
      <c r="R4352" t="s">
        <v>38</v>
      </c>
      <c r="AB4352" t="s">
        <v>86</v>
      </c>
      <c r="AC4352" t="s">
        <v>87</v>
      </c>
    </row>
    <row r="4353" spans="1:29" x14ac:dyDescent="0.35">
      <c r="A4353" s="7">
        <v>42930</v>
      </c>
      <c r="B4353" t="s">
        <v>30</v>
      </c>
      <c r="C4353">
        <v>111</v>
      </c>
      <c r="D4353">
        <v>4</v>
      </c>
      <c r="E4353">
        <v>2</v>
      </c>
      <c r="F4353" t="s">
        <v>315</v>
      </c>
      <c r="G4353" t="s">
        <v>32</v>
      </c>
      <c r="H4353" t="s">
        <v>33</v>
      </c>
      <c r="I4353" t="s">
        <v>43</v>
      </c>
      <c r="J4353" t="s">
        <v>44</v>
      </c>
      <c r="K4353" t="s">
        <v>36</v>
      </c>
      <c r="L4353" t="s">
        <v>45</v>
      </c>
      <c r="M4353">
        <v>0</v>
      </c>
      <c r="N4353">
        <v>0</v>
      </c>
      <c r="O4353">
        <v>2867</v>
      </c>
      <c r="P4353">
        <v>2866</v>
      </c>
      <c r="Q4353">
        <f>35-14</f>
        <v>21</v>
      </c>
      <c r="R4353" t="s">
        <v>79</v>
      </c>
      <c r="S4353" t="s">
        <v>39</v>
      </c>
      <c r="AB4353" t="s">
        <v>86</v>
      </c>
      <c r="AC4353" t="s">
        <v>87</v>
      </c>
    </row>
    <row r="4354" spans="1:29" x14ac:dyDescent="0.35">
      <c r="A4354" s="7">
        <v>42930</v>
      </c>
      <c r="B4354" t="s">
        <v>30</v>
      </c>
      <c r="C4354">
        <v>111</v>
      </c>
      <c r="D4354">
        <v>5</v>
      </c>
      <c r="E4354">
        <v>1</v>
      </c>
      <c r="F4354" t="s">
        <v>315</v>
      </c>
      <c r="G4354" t="s">
        <v>32</v>
      </c>
      <c r="H4354" t="s">
        <v>33</v>
      </c>
      <c r="I4354" t="s">
        <v>43</v>
      </c>
      <c r="J4354" t="s">
        <v>44</v>
      </c>
      <c r="K4354" t="s">
        <v>36</v>
      </c>
      <c r="L4354" t="s">
        <v>37</v>
      </c>
      <c r="M4354">
        <v>0</v>
      </c>
      <c r="N4354">
        <v>0</v>
      </c>
      <c r="O4354">
        <v>39307</v>
      </c>
      <c r="P4354">
        <v>39308</v>
      </c>
      <c r="Q4354">
        <f>36-13</f>
        <v>23</v>
      </c>
      <c r="R4354" t="s">
        <v>38</v>
      </c>
      <c r="AB4354" t="s">
        <v>86</v>
      </c>
      <c r="AC4354" t="s">
        <v>87</v>
      </c>
    </row>
    <row r="4355" spans="1:29" x14ac:dyDescent="0.35">
      <c r="A4355" s="7">
        <v>42930</v>
      </c>
      <c r="B4355" t="s">
        <v>30</v>
      </c>
      <c r="C4355">
        <v>111</v>
      </c>
      <c r="D4355">
        <v>5</v>
      </c>
      <c r="E4355">
        <v>2</v>
      </c>
      <c r="F4355" t="s">
        <v>315</v>
      </c>
      <c r="G4355" t="s">
        <v>32</v>
      </c>
      <c r="H4355" t="s">
        <v>33</v>
      </c>
      <c r="I4355" t="s">
        <v>59</v>
      </c>
      <c r="AB4355" t="s">
        <v>86</v>
      </c>
      <c r="AC4355" t="s">
        <v>87</v>
      </c>
    </row>
    <row r="4356" spans="1:29" x14ac:dyDescent="0.35">
      <c r="A4356" s="7">
        <v>42930</v>
      </c>
      <c r="B4356" t="s">
        <v>30</v>
      </c>
      <c r="C4356">
        <v>111</v>
      </c>
      <c r="D4356">
        <v>6</v>
      </c>
      <c r="E4356">
        <v>1</v>
      </c>
      <c r="F4356" t="s">
        <v>315</v>
      </c>
      <c r="G4356" t="s">
        <v>32</v>
      </c>
      <c r="H4356" t="s">
        <v>33</v>
      </c>
      <c r="I4356" t="s">
        <v>59</v>
      </c>
      <c r="AB4356" t="s">
        <v>86</v>
      </c>
      <c r="AC4356" t="s">
        <v>87</v>
      </c>
    </row>
    <row r="4357" spans="1:29" x14ac:dyDescent="0.35">
      <c r="A4357" s="7">
        <v>42930</v>
      </c>
      <c r="B4357" t="s">
        <v>30</v>
      </c>
      <c r="C4357">
        <v>111</v>
      </c>
      <c r="D4357">
        <v>7</v>
      </c>
      <c r="E4357">
        <v>1</v>
      </c>
      <c r="F4357" t="s">
        <v>315</v>
      </c>
      <c r="G4357" t="s">
        <v>32</v>
      </c>
      <c r="H4357" t="s">
        <v>33</v>
      </c>
      <c r="I4357" t="s">
        <v>43</v>
      </c>
      <c r="J4357" t="s">
        <v>44</v>
      </c>
      <c r="K4357" t="s">
        <v>36</v>
      </c>
      <c r="L4357" t="s">
        <v>45</v>
      </c>
      <c r="M4357">
        <v>0</v>
      </c>
      <c r="N4357">
        <v>0</v>
      </c>
      <c r="O4357">
        <v>39301</v>
      </c>
      <c r="P4357">
        <v>39302</v>
      </c>
      <c r="Q4357">
        <f>38-14</f>
        <v>24</v>
      </c>
      <c r="R4357" t="s">
        <v>77</v>
      </c>
      <c r="S4357" t="s">
        <v>39</v>
      </c>
      <c r="AB4357" t="s">
        <v>86</v>
      </c>
      <c r="AC4357" t="s">
        <v>87</v>
      </c>
    </row>
    <row r="4358" spans="1:29" x14ac:dyDescent="0.35">
      <c r="A4358" s="7">
        <v>42930</v>
      </c>
      <c r="B4358" t="s">
        <v>30</v>
      </c>
      <c r="C4358">
        <v>111</v>
      </c>
      <c r="D4358">
        <v>8</v>
      </c>
      <c r="E4358">
        <v>1</v>
      </c>
      <c r="F4358" t="s">
        <v>315</v>
      </c>
      <c r="G4358" t="s">
        <v>32</v>
      </c>
      <c r="H4358" t="s">
        <v>33</v>
      </c>
      <c r="I4358" t="s">
        <v>43</v>
      </c>
      <c r="J4358" t="s">
        <v>44</v>
      </c>
      <c r="K4358" t="s">
        <v>36</v>
      </c>
      <c r="L4358" t="s">
        <v>45</v>
      </c>
      <c r="M4358">
        <v>0</v>
      </c>
      <c r="N4358">
        <v>0</v>
      </c>
      <c r="O4358">
        <v>38901</v>
      </c>
      <c r="P4358">
        <v>38902</v>
      </c>
      <c r="Q4358">
        <f>39-19</f>
        <v>20</v>
      </c>
      <c r="R4358" t="s">
        <v>79</v>
      </c>
      <c r="S4358" t="s">
        <v>39</v>
      </c>
      <c r="AB4358" t="s">
        <v>86</v>
      </c>
      <c r="AC4358" t="s">
        <v>87</v>
      </c>
    </row>
    <row r="4359" spans="1:29" x14ac:dyDescent="0.35">
      <c r="A4359" s="7">
        <v>42930</v>
      </c>
      <c r="B4359" t="s">
        <v>30</v>
      </c>
      <c r="C4359">
        <v>111</v>
      </c>
      <c r="D4359">
        <v>9</v>
      </c>
      <c r="E4359">
        <v>1</v>
      </c>
      <c r="F4359" t="s">
        <v>315</v>
      </c>
      <c r="G4359" t="s">
        <v>32</v>
      </c>
      <c r="H4359" t="s">
        <v>33</v>
      </c>
      <c r="I4359" t="s">
        <v>43</v>
      </c>
      <c r="J4359" t="s">
        <v>44</v>
      </c>
      <c r="K4359" t="s">
        <v>36</v>
      </c>
      <c r="L4359" t="s">
        <v>37</v>
      </c>
      <c r="M4359">
        <v>0</v>
      </c>
      <c r="N4359">
        <v>0</v>
      </c>
      <c r="O4359">
        <v>2871</v>
      </c>
      <c r="P4359">
        <v>2870</v>
      </c>
      <c r="Q4359">
        <f>35-15</f>
        <v>20</v>
      </c>
      <c r="R4359" t="s">
        <v>38</v>
      </c>
      <c r="AB4359" t="s">
        <v>86</v>
      </c>
      <c r="AC4359" t="s">
        <v>87</v>
      </c>
    </row>
    <row r="4360" spans="1:29" x14ac:dyDescent="0.35">
      <c r="A4360" s="7">
        <v>42930</v>
      </c>
      <c r="B4360" t="s">
        <v>30</v>
      </c>
      <c r="C4360">
        <v>111</v>
      </c>
      <c r="D4360">
        <v>10</v>
      </c>
      <c r="E4360">
        <v>1</v>
      </c>
      <c r="F4360" t="s">
        <v>315</v>
      </c>
      <c r="G4360" t="s">
        <v>32</v>
      </c>
      <c r="H4360" t="s">
        <v>33</v>
      </c>
      <c r="I4360" t="s">
        <v>43</v>
      </c>
      <c r="J4360" t="s">
        <v>44</v>
      </c>
      <c r="K4360" t="s">
        <v>36</v>
      </c>
      <c r="L4360" t="s">
        <v>45</v>
      </c>
      <c r="M4360">
        <v>0</v>
      </c>
      <c r="N4360">
        <v>0</v>
      </c>
      <c r="O4360">
        <v>39303</v>
      </c>
      <c r="P4360">
        <v>39304</v>
      </c>
      <c r="Q4360">
        <f>31-13.5</f>
        <v>17.5</v>
      </c>
      <c r="R4360" t="s">
        <v>79</v>
      </c>
      <c r="S4360" t="s">
        <v>39</v>
      </c>
      <c r="AB4360" t="s">
        <v>86</v>
      </c>
      <c r="AC4360" t="s">
        <v>87</v>
      </c>
    </row>
    <row r="4361" spans="1:29" x14ac:dyDescent="0.35">
      <c r="A4361" s="7">
        <v>42930</v>
      </c>
      <c r="B4361" t="s">
        <v>30</v>
      </c>
      <c r="C4361">
        <v>112</v>
      </c>
      <c r="D4361">
        <v>1</v>
      </c>
      <c r="E4361">
        <v>1</v>
      </c>
      <c r="F4361" t="s">
        <v>315</v>
      </c>
      <c r="G4361" t="s">
        <v>32</v>
      </c>
      <c r="H4361" t="s">
        <v>33</v>
      </c>
      <c r="I4361" t="s">
        <v>84</v>
      </c>
      <c r="AB4361" t="s">
        <v>86</v>
      </c>
      <c r="AC4361" t="s">
        <v>87</v>
      </c>
    </row>
    <row r="4362" spans="1:29" x14ac:dyDescent="0.35">
      <c r="A4362" s="7">
        <v>42930</v>
      </c>
      <c r="B4362" t="s">
        <v>30</v>
      </c>
      <c r="C4362">
        <v>112</v>
      </c>
      <c r="D4362">
        <v>2</v>
      </c>
      <c r="E4362">
        <v>1</v>
      </c>
      <c r="F4362" t="s">
        <v>315</v>
      </c>
      <c r="G4362" t="s">
        <v>32</v>
      </c>
      <c r="H4362" t="s">
        <v>33</v>
      </c>
      <c r="I4362" t="s">
        <v>84</v>
      </c>
      <c r="AB4362" t="s">
        <v>86</v>
      </c>
      <c r="AC4362" t="s">
        <v>87</v>
      </c>
    </row>
    <row r="4363" spans="1:29" x14ac:dyDescent="0.35">
      <c r="A4363" s="7">
        <v>42930</v>
      </c>
      <c r="B4363" t="s">
        <v>30</v>
      </c>
      <c r="C4363">
        <v>112</v>
      </c>
      <c r="D4363">
        <v>2</v>
      </c>
      <c r="E4363">
        <v>2</v>
      </c>
      <c r="F4363" t="s">
        <v>315</v>
      </c>
      <c r="G4363" t="s">
        <v>32</v>
      </c>
      <c r="H4363" t="s">
        <v>33</v>
      </c>
      <c r="I4363" t="s">
        <v>84</v>
      </c>
      <c r="AB4363" t="s">
        <v>86</v>
      </c>
      <c r="AC4363" t="s">
        <v>87</v>
      </c>
    </row>
    <row r="4364" spans="1:29" x14ac:dyDescent="0.35">
      <c r="A4364" s="7">
        <v>42930</v>
      </c>
      <c r="B4364" t="s">
        <v>30</v>
      </c>
      <c r="C4364">
        <v>112</v>
      </c>
      <c r="D4364">
        <v>3</v>
      </c>
      <c r="E4364">
        <v>1</v>
      </c>
      <c r="F4364" t="s">
        <v>315</v>
      </c>
      <c r="G4364" t="s">
        <v>32</v>
      </c>
      <c r="H4364" t="s">
        <v>33</v>
      </c>
      <c r="I4364" t="s">
        <v>84</v>
      </c>
      <c r="AB4364" t="s">
        <v>86</v>
      </c>
      <c r="AC4364" t="s">
        <v>87</v>
      </c>
    </row>
    <row r="4365" spans="1:29" x14ac:dyDescent="0.35">
      <c r="A4365" s="7">
        <v>42930</v>
      </c>
      <c r="B4365" t="s">
        <v>30</v>
      </c>
      <c r="C4365">
        <v>112</v>
      </c>
      <c r="D4365">
        <v>3</v>
      </c>
      <c r="E4365">
        <v>2</v>
      </c>
      <c r="F4365" t="s">
        <v>315</v>
      </c>
      <c r="G4365" t="s">
        <v>32</v>
      </c>
      <c r="H4365" t="s">
        <v>33</v>
      </c>
      <c r="I4365" t="s">
        <v>84</v>
      </c>
      <c r="AB4365" t="s">
        <v>86</v>
      </c>
      <c r="AC4365" t="s">
        <v>87</v>
      </c>
    </row>
    <row r="4366" spans="1:29" x14ac:dyDescent="0.35">
      <c r="A4366" s="7">
        <v>42930</v>
      </c>
      <c r="B4366" t="s">
        <v>30</v>
      </c>
      <c r="C4366">
        <v>112</v>
      </c>
      <c r="D4366">
        <v>4</v>
      </c>
      <c r="E4366">
        <v>1</v>
      </c>
      <c r="F4366" t="s">
        <v>315</v>
      </c>
      <c r="G4366" t="s">
        <v>32</v>
      </c>
      <c r="H4366" t="s">
        <v>33</v>
      </c>
      <c r="I4366" t="s">
        <v>84</v>
      </c>
      <c r="AB4366" t="s">
        <v>86</v>
      </c>
      <c r="AC4366" t="s">
        <v>87</v>
      </c>
    </row>
    <row r="4367" spans="1:29" x14ac:dyDescent="0.35">
      <c r="A4367" s="7">
        <v>42930</v>
      </c>
      <c r="B4367" t="s">
        <v>30</v>
      </c>
      <c r="C4367">
        <v>112</v>
      </c>
      <c r="D4367">
        <v>4</v>
      </c>
      <c r="E4367">
        <v>2</v>
      </c>
      <c r="F4367" t="s">
        <v>315</v>
      </c>
      <c r="G4367" t="s">
        <v>32</v>
      </c>
      <c r="H4367" t="s">
        <v>33</v>
      </c>
      <c r="I4367" t="s">
        <v>84</v>
      </c>
      <c r="AB4367" t="s">
        <v>86</v>
      </c>
      <c r="AC4367" t="s">
        <v>87</v>
      </c>
    </row>
    <row r="4368" spans="1:29" x14ac:dyDescent="0.35">
      <c r="A4368" s="7">
        <v>42930</v>
      </c>
      <c r="B4368" t="s">
        <v>30</v>
      </c>
      <c r="C4368">
        <v>112</v>
      </c>
      <c r="D4368">
        <v>5</v>
      </c>
      <c r="E4368">
        <v>1</v>
      </c>
      <c r="F4368" t="s">
        <v>315</v>
      </c>
      <c r="G4368" t="s">
        <v>32</v>
      </c>
      <c r="H4368" t="s">
        <v>33</v>
      </c>
      <c r="I4368" t="s">
        <v>84</v>
      </c>
      <c r="AB4368" t="s">
        <v>86</v>
      </c>
      <c r="AC4368" t="s">
        <v>87</v>
      </c>
    </row>
    <row r="4369" spans="1:29" x14ac:dyDescent="0.35">
      <c r="A4369" s="7">
        <v>42930</v>
      </c>
      <c r="B4369" t="s">
        <v>30</v>
      </c>
      <c r="C4369">
        <v>112</v>
      </c>
      <c r="D4369">
        <v>5</v>
      </c>
      <c r="E4369">
        <v>2</v>
      </c>
      <c r="F4369" t="s">
        <v>315</v>
      </c>
      <c r="G4369" t="s">
        <v>32</v>
      </c>
      <c r="H4369" t="s">
        <v>33</v>
      </c>
      <c r="I4369" t="s">
        <v>84</v>
      </c>
      <c r="AB4369" t="s">
        <v>86</v>
      </c>
      <c r="AC4369" t="s">
        <v>87</v>
      </c>
    </row>
    <row r="4370" spans="1:29" x14ac:dyDescent="0.35">
      <c r="A4370" s="7">
        <v>42930</v>
      </c>
      <c r="B4370" t="s">
        <v>30</v>
      </c>
      <c r="C4370">
        <v>112</v>
      </c>
      <c r="D4370">
        <v>6</v>
      </c>
      <c r="E4370">
        <v>1</v>
      </c>
      <c r="F4370" t="s">
        <v>315</v>
      </c>
      <c r="G4370" t="s">
        <v>32</v>
      </c>
      <c r="H4370" t="s">
        <v>33</v>
      </c>
      <c r="I4370" t="s">
        <v>84</v>
      </c>
      <c r="AB4370" t="s">
        <v>86</v>
      </c>
      <c r="AC4370" t="s">
        <v>87</v>
      </c>
    </row>
    <row r="4371" spans="1:29" x14ac:dyDescent="0.35">
      <c r="A4371" s="7">
        <v>42930</v>
      </c>
      <c r="B4371" t="s">
        <v>30</v>
      </c>
      <c r="C4371">
        <v>112</v>
      </c>
      <c r="D4371">
        <v>6</v>
      </c>
      <c r="E4371">
        <v>2</v>
      </c>
      <c r="F4371" t="s">
        <v>315</v>
      </c>
      <c r="G4371" t="s">
        <v>32</v>
      </c>
      <c r="H4371" t="s">
        <v>33</v>
      </c>
      <c r="I4371" t="s">
        <v>84</v>
      </c>
      <c r="AB4371" t="s">
        <v>86</v>
      </c>
      <c r="AC4371" t="s">
        <v>87</v>
      </c>
    </row>
    <row r="4372" spans="1:29" x14ac:dyDescent="0.35">
      <c r="A4372" s="7">
        <v>42930</v>
      </c>
      <c r="B4372" t="s">
        <v>30</v>
      </c>
      <c r="C4372">
        <v>112</v>
      </c>
      <c r="D4372">
        <v>7</v>
      </c>
      <c r="E4372">
        <v>1</v>
      </c>
      <c r="F4372" t="s">
        <v>315</v>
      </c>
      <c r="G4372" t="s">
        <v>32</v>
      </c>
      <c r="H4372" t="s">
        <v>33</v>
      </c>
      <c r="I4372" t="s">
        <v>84</v>
      </c>
      <c r="AB4372" t="s">
        <v>86</v>
      </c>
      <c r="AC4372" t="s">
        <v>87</v>
      </c>
    </row>
    <row r="4373" spans="1:29" x14ac:dyDescent="0.35">
      <c r="A4373" s="7">
        <v>42930</v>
      </c>
      <c r="B4373" t="s">
        <v>30</v>
      </c>
      <c r="C4373">
        <v>112</v>
      </c>
      <c r="D4373">
        <v>7</v>
      </c>
      <c r="E4373">
        <v>2</v>
      </c>
      <c r="F4373" t="s">
        <v>315</v>
      </c>
      <c r="G4373" t="s">
        <v>32</v>
      </c>
      <c r="H4373" t="s">
        <v>33</v>
      </c>
      <c r="I4373" t="s">
        <v>84</v>
      </c>
      <c r="AB4373" t="s">
        <v>86</v>
      </c>
      <c r="AC4373" t="s">
        <v>87</v>
      </c>
    </row>
    <row r="4374" spans="1:29" x14ac:dyDescent="0.35">
      <c r="A4374" s="7">
        <v>42930</v>
      </c>
      <c r="B4374" t="s">
        <v>30</v>
      </c>
      <c r="C4374">
        <v>112</v>
      </c>
      <c r="D4374">
        <v>8</v>
      </c>
      <c r="E4374">
        <v>1</v>
      </c>
      <c r="F4374" t="s">
        <v>315</v>
      </c>
      <c r="G4374" t="s">
        <v>32</v>
      </c>
      <c r="H4374" t="s">
        <v>33</v>
      </c>
      <c r="I4374" t="s">
        <v>84</v>
      </c>
      <c r="AB4374" t="s">
        <v>86</v>
      </c>
      <c r="AC4374" t="s">
        <v>87</v>
      </c>
    </row>
    <row r="4375" spans="1:29" x14ac:dyDescent="0.35">
      <c r="A4375" s="7">
        <v>42930</v>
      </c>
      <c r="B4375" t="s">
        <v>30</v>
      </c>
      <c r="C4375">
        <v>112</v>
      </c>
      <c r="D4375">
        <v>8</v>
      </c>
      <c r="E4375">
        <v>2</v>
      </c>
      <c r="F4375" t="s">
        <v>315</v>
      </c>
      <c r="G4375" t="s">
        <v>32</v>
      </c>
      <c r="H4375" t="s">
        <v>33</v>
      </c>
      <c r="I4375" t="s">
        <v>84</v>
      </c>
      <c r="AB4375" t="s">
        <v>86</v>
      </c>
      <c r="AC4375" t="s">
        <v>87</v>
      </c>
    </row>
    <row r="4376" spans="1:29" x14ac:dyDescent="0.35">
      <c r="A4376" s="7">
        <v>42930</v>
      </c>
      <c r="B4376" t="s">
        <v>30</v>
      </c>
      <c r="C4376">
        <v>112</v>
      </c>
      <c r="D4376">
        <v>10</v>
      </c>
      <c r="E4376">
        <v>1</v>
      </c>
      <c r="F4376" t="s">
        <v>315</v>
      </c>
      <c r="G4376" t="s">
        <v>32</v>
      </c>
      <c r="H4376" t="s">
        <v>33</v>
      </c>
      <c r="I4376" t="s">
        <v>84</v>
      </c>
      <c r="AB4376" t="s">
        <v>86</v>
      </c>
      <c r="AC4376" t="s">
        <v>87</v>
      </c>
    </row>
    <row r="4377" spans="1:29" x14ac:dyDescent="0.35">
      <c r="A4377" s="7">
        <v>42930</v>
      </c>
      <c r="B4377" t="s">
        <v>30</v>
      </c>
      <c r="C4377">
        <v>112</v>
      </c>
      <c r="D4377">
        <v>10</v>
      </c>
      <c r="E4377">
        <v>2</v>
      </c>
      <c r="F4377" t="s">
        <v>315</v>
      </c>
      <c r="G4377" t="s">
        <v>32</v>
      </c>
      <c r="H4377" t="s">
        <v>33</v>
      </c>
      <c r="I4377" t="s">
        <v>84</v>
      </c>
      <c r="AB4377" t="s">
        <v>86</v>
      </c>
      <c r="AC4377" t="s">
        <v>87</v>
      </c>
    </row>
    <row r="4378" spans="1:29" x14ac:dyDescent="0.35">
      <c r="A4378" s="7">
        <v>42930</v>
      </c>
      <c r="B4378" t="s">
        <v>30</v>
      </c>
      <c r="C4378">
        <v>113</v>
      </c>
      <c r="D4378">
        <v>2</v>
      </c>
      <c r="E4378">
        <v>1</v>
      </c>
      <c r="F4378" t="s">
        <v>315</v>
      </c>
      <c r="G4378" t="s">
        <v>32</v>
      </c>
      <c r="H4378" t="s">
        <v>33</v>
      </c>
      <c r="I4378" t="s">
        <v>59</v>
      </c>
      <c r="AB4378" t="s">
        <v>86</v>
      </c>
      <c r="AC4378" t="s">
        <v>87</v>
      </c>
    </row>
    <row r="4379" spans="1:29" x14ac:dyDescent="0.35">
      <c r="A4379" s="7">
        <v>42930</v>
      </c>
      <c r="B4379" t="s">
        <v>30</v>
      </c>
      <c r="C4379">
        <v>113</v>
      </c>
      <c r="D4379">
        <v>4</v>
      </c>
      <c r="E4379">
        <v>1</v>
      </c>
      <c r="F4379" t="s">
        <v>315</v>
      </c>
      <c r="G4379" t="s">
        <v>32</v>
      </c>
      <c r="H4379" t="s">
        <v>33</v>
      </c>
      <c r="I4379" t="s">
        <v>43</v>
      </c>
      <c r="J4379" t="s">
        <v>35</v>
      </c>
      <c r="K4379" t="s">
        <v>36</v>
      </c>
      <c r="L4379" t="s">
        <v>45</v>
      </c>
      <c r="M4379">
        <v>0</v>
      </c>
      <c r="N4379">
        <v>1</v>
      </c>
      <c r="O4379">
        <v>39792</v>
      </c>
      <c r="P4379">
        <v>39791</v>
      </c>
      <c r="Q4379">
        <f>38-14</f>
        <v>24</v>
      </c>
      <c r="R4379" t="s">
        <v>77</v>
      </c>
      <c r="S4379" t="s">
        <v>39</v>
      </c>
      <c r="AB4379" t="s">
        <v>86</v>
      </c>
      <c r="AC4379" t="s">
        <v>87</v>
      </c>
    </row>
    <row r="4380" spans="1:29" x14ac:dyDescent="0.35">
      <c r="A4380" s="7">
        <v>42930</v>
      </c>
      <c r="B4380" t="s">
        <v>30</v>
      </c>
      <c r="C4380">
        <v>113</v>
      </c>
      <c r="D4380">
        <v>5</v>
      </c>
      <c r="E4380">
        <v>1</v>
      </c>
      <c r="F4380" t="s">
        <v>315</v>
      </c>
      <c r="G4380" t="s">
        <v>32</v>
      </c>
      <c r="H4380" t="s">
        <v>33</v>
      </c>
      <c r="I4380" t="s">
        <v>84</v>
      </c>
      <c r="AB4380" t="s">
        <v>86</v>
      </c>
      <c r="AC4380" t="s">
        <v>87</v>
      </c>
    </row>
    <row r="4381" spans="1:29" x14ac:dyDescent="0.35">
      <c r="A4381" s="7">
        <v>42930</v>
      </c>
      <c r="B4381" t="s">
        <v>30</v>
      </c>
      <c r="C4381">
        <v>113</v>
      </c>
      <c r="D4381">
        <v>6</v>
      </c>
      <c r="E4381">
        <v>1</v>
      </c>
      <c r="F4381" t="s">
        <v>315</v>
      </c>
      <c r="G4381" t="s">
        <v>32</v>
      </c>
      <c r="H4381" t="s">
        <v>33</v>
      </c>
      <c r="I4381" t="s">
        <v>94</v>
      </c>
      <c r="J4381" t="s">
        <v>35</v>
      </c>
      <c r="K4381" t="s">
        <v>36</v>
      </c>
      <c r="L4381" t="s">
        <v>37</v>
      </c>
      <c r="M4381">
        <v>0</v>
      </c>
      <c r="N4381">
        <v>1</v>
      </c>
      <c r="O4381">
        <v>39793</v>
      </c>
      <c r="Q4381">
        <f>36.7-16</f>
        <v>20.700000000000003</v>
      </c>
      <c r="R4381" t="s">
        <v>38</v>
      </c>
      <c r="AB4381" t="s">
        <v>86</v>
      </c>
      <c r="AC4381" t="s">
        <v>87</v>
      </c>
    </row>
    <row r="4382" spans="1:29" x14ac:dyDescent="0.35">
      <c r="A4382" s="7">
        <v>42930</v>
      </c>
      <c r="B4382" t="s">
        <v>30</v>
      </c>
      <c r="C4382">
        <v>201</v>
      </c>
      <c r="D4382">
        <v>1</v>
      </c>
      <c r="E4382">
        <v>1</v>
      </c>
      <c r="F4382" t="s">
        <v>1020</v>
      </c>
      <c r="G4382" t="s">
        <v>32</v>
      </c>
      <c r="H4382" t="s">
        <v>33</v>
      </c>
      <c r="I4382" t="s">
        <v>43</v>
      </c>
      <c r="J4382" t="s">
        <v>44</v>
      </c>
      <c r="K4382" t="s">
        <v>36</v>
      </c>
      <c r="L4382" t="s">
        <v>37</v>
      </c>
      <c r="M4382">
        <v>0</v>
      </c>
      <c r="N4382">
        <v>0</v>
      </c>
      <c r="O4382">
        <v>38927</v>
      </c>
      <c r="P4382">
        <v>38926</v>
      </c>
      <c r="Q4382">
        <f>32-14</f>
        <v>18</v>
      </c>
      <c r="R4382" t="s">
        <v>38</v>
      </c>
      <c r="AB4382" t="s">
        <v>86</v>
      </c>
      <c r="AC4382" t="s">
        <v>87</v>
      </c>
    </row>
    <row r="4383" spans="1:29" x14ac:dyDescent="0.35">
      <c r="A4383" s="7">
        <v>42930</v>
      </c>
      <c r="B4383" t="s">
        <v>30</v>
      </c>
      <c r="C4383">
        <v>201</v>
      </c>
      <c r="D4383">
        <v>2</v>
      </c>
      <c r="E4383">
        <v>1</v>
      </c>
      <c r="F4383" t="s">
        <v>1020</v>
      </c>
      <c r="G4383" t="s">
        <v>32</v>
      </c>
      <c r="H4383" t="s">
        <v>33</v>
      </c>
      <c r="I4383" t="s">
        <v>43</v>
      </c>
      <c r="J4383" t="s">
        <v>35</v>
      </c>
      <c r="K4383" t="s">
        <v>113</v>
      </c>
      <c r="L4383" t="s">
        <v>45</v>
      </c>
      <c r="M4383">
        <v>0</v>
      </c>
      <c r="N4383">
        <v>1</v>
      </c>
      <c r="O4383">
        <v>39326</v>
      </c>
      <c r="P4383">
        <v>39327</v>
      </c>
      <c r="Q4383">
        <f>30-13</f>
        <v>17</v>
      </c>
      <c r="R4383" t="s">
        <v>77</v>
      </c>
      <c r="S4383" t="s">
        <v>39</v>
      </c>
      <c r="AB4383" t="s">
        <v>86</v>
      </c>
      <c r="AC4383" t="s">
        <v>87</v>
      </c>
    </row>
    <row r="4384" spans="1:29" x14ac:dyDescent="0.35">
      <c r="A4384" s="7">
        <v>42930</v>
      </c>
      <c r="B4384" t="s">
        <v>30</v>
      </c>
      <c r="C4384">
        <v>201</v>
      </c>
      <c r="D4384">
        <v>3</v>
      </c>
      <c r="E4384">
        <v>1</v>
      </c>
      <c r="F4384" t="s">
        <v>1020</v>
      </c>
      <c r="G4384" t="s">
        <v>32</v>
      </c>
      <c r="H4384" t="s">
        <v>33</v>
      </c>
      <c r="I4384" t="s">
        <v>59</v>
      </c>
      <c r="AB4384" t="s">
        <v>86</v>
      </c>
      <c r="AC4384" t="s">
        <v>87</v>
      </c>
    </row>
    <row r="4385" spans="1:29" x14ac:dyDescent="0.35">
      <c r="A4385" s="7">
        <v>42930</v>
      </c>
      <c r="B4385" t="s">
        <v>30</v>
      </c>
      <c r="C4385">
        <v>201</v>
      </c>
      <c r="D4385">
        <v>4</v>
      </c>
      <c r="E4385">
        <v>1</v>
      </c>
      <c r="F4385" t="s">
        <v>1020</v>
      </c>
      <c r="G4385" t="s">
        <v>32</v>
      </c>
      <c r="H4385" t="s">
        <v>33</v>
      </c>
      <c r="I4385" t="s">
        <v>59</v>
      </c>
      <c r="AB4385" t="s">
        <v>86</v>
      </c>
      <c r="AC4385" t="s">
        <v>87</v>
      </c>
    </row>
    <row r="4386" spans="1:29" x14ac:dyDescent="0.35">
      <c r="A4386" s="7">
        <v>42930</v>
      </c>
      <c r="B4386" t="s">
        <v>30</v>
      </c>
      <c r="C4386">
        <v>201</v>
      </c>
      <c r="D4386">
        <v>5</v>
      </c>
      <c r="E4386">
        <v>1</v>
      </c>
      <c r="F4386" t="s">
        <v>1020</v>
      </c>
      <c r="G4386" t="s">
        <v>32</v>
      </c>
      <c r="H4386" t="s">
        <v>33</v>
      </c>
      <c r="I4386" t="s">
        <v>1029</v>
      </c>
      <c r="J4386" t="s">
        <v>66</v>
      </c>
      <c r="AB4386" t="s">
        <v>86</v>
      </c>
      <c r="AC4386" t="s">
        <v>87</v>
      </c>
    </row>
    <row r="4387" spans="1:29" x14ac:dyDescent="0.35">
      <c r="A4387" s="7">
        <v>42930</v>
      </c>
      <c r="B4387" t="s">
        <v>30</v>
      </c>
      <c r="C4387">
        <v>201</v>
      </c>
      <c r="D4387">
        <v>5</v>
      </c>
      <c r="E4387">
        <v>2</v>
      </c>
      <c r="F4387" t="s">
        <v>1020</v>
      </c>
      <c r="G4387" t="s">
        <v>32</v>
      </c>
      <c r="H4387" t="s">
        <v>33</v>
      </c>
      <c r="I4387" t="s">
        <v>59</v>
      </c>
      <c r="AB4387" t="s">
        <v>86</v>
      </c>
      <c r="AC4387" t="s">
        <v>87</v>
      </c>
    </row>
    <row r="4388" spans="1:29" x14ac:dyDescent="0.35">
      <c r="A4388" s="7">
        <v>42930</v>
      </c>
      <c r="B4388" t="s">
        <v>30</v>
      </c>
      <c r="C4388">
        <v>201</v>
      </c>
      <c r="D4388">
        <v>6</v>
      </c>
      <c r="E4388">
        <v>1</v>
      </c>
      <c r="F4388" t="s">
        <v>1020</v>
      </c>
      <c r="G4388" t="s">
        <v>32</v>
      </c>
      <c r="H4388" t="s">
        <v>33</v>
      </c>
      <c r="I4388" t="s">
        <v>59</v>
      </c>
      <c r="AB4388" t="s">
        <v>86</v>
      </c>
      <c r="AC4388" t="s">
        <v>87</v>
      </c>
    </row>
    <row r="4389" spans="1:29" x14ac:dyDescent="0.35">
      <c r="A4389" s="7">
        <v>42930</v>
      </c>
      <c r="B4389" t="s">
        <v>30</v>
      </c>
      <c r="C4389">
        <v>201</v>
      </c>
      <c r="D4389">
        <v>6</v>
      </c>
      <c r="E4389">
        <v>2</v>
      </c>
      <c r="F4389" t="s">
        <v>1020</v>
      </c>
      <c r="G4389" t="s">
        <v>32</v>
      </c>
      <c r="H4389" t="s">
        <v>33</v>
      </c>
      <c r="I4389" t="s">
        <v>58</v>
      </c>
      <c r="J4389" t="s">
        <v>35</v>
      </c>
      <c r="K4389" t="s">
        <v>36</v>
      </c>
      <c r="L4389" t="s">
        <v>45</v>
      </c>
      <c r="M4389">
        <v>0</v>
      </c>
      <c r="N4389">
        <v>1</v>
      </c>
      <c r="O4389">
        <v>39328</v>
      </c>
      <c r="Q4389">
        <f>39-14</f>
        <v>25</v>
      </c>
      <c r="R4389" t="s">
        <v>46</v>
      </c>
      <c r="S4389" t="s">
        <v>39</v>
      </c>
      <c r="AB4389" t="s">
        <v>86</v>
      </c>
      <c r="AC4389" t="s">
        <v>87</v>
      </c>
    </row>
    <row r="4390" spans="1:29" x14ac:dyDescent="0.35">
      <c r="A4390" s="7">
        <v>42930</v>
      </c>
      <c r="B4390" t="s">
        <v>30</v>
      </c>
      <c r="C4390">
        <v>201</v>
      </c>
      <c r="D4390">
        <v>7</v>
      </c>
      <c r="E4390">
        <v>1</v>
      </c>
      <c r="F4390" t="s">
        <v>1020</v>
      </c>
      <c r="G4390" t="s">
        <v>32</v>
      </c>
      <c r="H4390" t="s">
        <v>33</v>
      </c>
      <c r="I4390" t="s">
        <v>59</v>
      </c>
      <c r="AB4390" t="s">
        <v>86</v>
      </c>
      <c r="AC4390" t="s">
        <v>87</v>
      </c>
    </row>
    <row r="4391" spans="1:29" x14ac:dyDescent="0.35">
      <c r="A4391" s="7">
        <v>42930</v>
      </c>
      <c r="B4391" t="s">
        <v>30</v>
      </c>
      <c r="C4391">
        <v>201</v>
      </c>
      <c r="D4391">
        <v>7</v>
      </c>
      <c r="E4391">
        <v>2</v>
      </c>
      <c r="F4391" t="s">
        <v>1020</v>
      </c>
      <c r="G4391" t="s">
        <v>32</v>
      </c>
      <c r="H4391" t="s">
        <v>33</v>
      </c>
      <c r="I4391" t="s">
        <v>59</v>
      </c>
      <c r="AB4391" t="s">
        <v>86</v>
      </c>
      <c r="AC4391" t="s">
        <v>87</v>
      </c>
    </row>
    <row r="4392" spans="1:29" x14ac:dyDescent="0.35">
      <c r="A4392" s="7">
        <v>42930</v>
      </c>
      <c r="B4392" t="s">
        <v>30</v>
      </c>
      <c r="C4392">
        <v>201</v>
      </c>
      <c r="D4392">
        <v>8</v>
      </c>
      <c r="E4392">
        <v>1</v>
      </c>
      <c r="F4392" t="s">
        <v>1020</v>
      </c>
      <c r="G4392" t="s">
        <v>32</v>
      </c>
      <c r="H4392" t="s">
        <v>33</v>
      </c>
      <c r="I4392" t="s">
        <v>59</v>
      </c>
      <c r="AB4392" t="s">
        <v>86</v>
      </c>
      <c r="AC4392" t="s">
        <v>87</v>
      </c>
    </row>
    <row r="4393" spans="1:29" x14ac:dyDescent="0.35">
      <c r="A4393" s="7">
        <v>42930</v>
      </c>
      <c r="B4393" t="s">
        <v>30</v>
      </c>
      <c r="C4393">
        <v>201</v>
      </c>
      <c r="D4393">
        <v>8</v>
      </c>
      <c r="E4393">
        <v>2</v>
      </c>
      <c r="F4393" t="s">
        <v>1020</v>
      </c>
      <c r="G4393" t="s">
        <v>32</v>
      </c>
      <c r="H4393" t="s">
        <v>33</v>
      </c>
      <c r="I4393" t="s">
        <v>59</v>
      </c>
      <c r="AB4393" t="s">
        <v>86</v>
      </c>
      <c r="AC4393" t="s">
        <v>87</v>
      </c>
    </row>
    <row r="4394" spans="1:29" x14ac:dyDescent="0.35">
      <c r="A4394" s="7">
        <v>42930</v>
      </c>
      <c r="B4394" t="s">
        <v>30</v>
      </c>
      <c r="C4394">
        <v>201</v>
      </c>
      <c r="D4394">
        <v>9</v>
      </c>
      <c r="E4394">
        <v>1</v>
      </c>
      <c r="F4394" t="s">
        <v>1020</v>
      </c>
      <c r="G4394" t="s">
        <v>32</v>
      </c>
      <c r="H4394" t="s">
        <v>33</v>
      </c>
      <c r="I4394" t="s">
        <v>59</v>
      </c>
      <c r="AB4394" t="s">
        <v>86</v>
      </c>
      <c r="AC4394" t="s">
        <v>87</v>
      </c>
    </row>
    <row r="4395" spans="1:29" x14ac:dyDescent="0.35">
      <c r="A4395" s="7">
        <v>42930</v>
      </c>
      <c r="B4395" t="s">
        <v>30</v>
      </c>
      <c r="C4395">
        <v>201</v>
      </c>
      <c r="D4395">
        <v>9</v>
      </c>
      <c r="E4395">
        <v>2</v>
      </c>
      <c r="F4395" t="s">
        <v>1020</v>
      </c>
      <c r="G4395" t="s">
        <v>32</v>
      </c>
      <c r="H4395" t="s">
        <v>33</v>
      </c>
      <c r="I4395" t="s">
        <v>59</v>
      </c>
      <c r="AB4395" t="s">
        <v>86</v>
      </c>
      <c r="AC4395" t="s">
        <v>87</v>
      </c>
    </row>
    <row r="4396" spans="1:29" x14ac:dyDescent="0.35">
      <c r="A4396" s="7">
        <v>42930</v>
      </c>
      <c r="B4396" t="s">
        <v>30</v>
      </c>
      <c r="C4396">
        <v>201</v>
      </c>
      <c r="D4396">
        <v>10</v>
      </c>
      <c r="E4396">
        <v>1</v>
      </c>
      <c r="F4396" t="s">
        <v>1020</v>
      </c>
      <c r="G4396" t="s">
        <v>32</v>
      </c>
      <c r="H4396" t="s">
        <v>33</v>
      </c>
      <c r="I4396" t="s">
        <v>59</v>
      </c>
      <c r="AB4396" t="s">
        <v>86</v>
      </c>
      <c r="AC4396" t="s">
        <v>87</v>
      </c>
    </row>
    <row r="4397" spans="1:29" x14ac:dyDescent="0.35">
      <c r="A4397" s="7">
        <v>42930</v>
      </c>
      <c r="B4397" t="s">
        <v>30</v>
      </c>
      <c r="C4397">
        <v>201</v>
      </c>
      <c r="D4397">
        <v>10</v>
      </c>
      <c r="E4397">
        <v>2</v>
      </c>
      <c r="F4397" t="s">
        <v>1020</v>
      </c>
      <c r="G4397" t="s">
        <v>32</v>
      </c>
      <c r="H4397" t="s">
        <v>33</v>
      </c>
      <c r="I4397" t="s">
        <v>59</v>
      </c>
      <c r="AB4397" t="s">
        <v>86</v>
      </c>
      <c r="AC4397" t="s">
        <v>87</v>
      </c>
    </row>
    <row r="4398" spans="1:29" x14ac:dyDescent="0.35">
      <c r="A4398" s="7">
        <v>42930</v>
      </c>
      <c r="B4398" t="s">
        <v>30</v>
      </c>
      <c r="C4398">
        <v>202</v>
      </c>
      <c r="D4398">
        <v>1</v>
      </c>
      <c r="E4398">
        <v>1</v>
      </c>
      <c r="F4398" t="s">
        <v>1020</v>
      </c>
      <c r="G4398" t="s">
        <v>32</v>
      </c>
      <c r="H4398" t="s">
        <v>33</v>
      </c>
      <c r="I4398" t="s">
        <v>43</v>
      </c>
      <c r="J4398" t="s">
        <v>44</v>
      </c>
      <c r="K4398" t="s">
        <v>36</v>
      </c>
      <c r="L4398" t="s">
        <v>37</v>
      </c>
      <c r="M4398">
        <v>0</v>
      </c>
      <c r="N4398">
        <v>0</v>
      </c>
      <c r="O4398">
        <v>38964</v>
      </c>
      <c r="P4398">
        <v>38963</v>
      </c>
      <c r="Q4398">
        <f>36-13</f>
        <v>23</v>
      </c>
      <c r="R4398" t="s">
        <v>38</v>
      </c>
      <c r="AB4398" t="s">
        <v>86</v>
      </c>
      <c r="AC4398" t="s">
        <v>87</v>
      </c>
    </row>
    <row r="4399" spans="1:29" x14ac:dyDescent="0.35">
      <c r="A4399" s="7">
        <v>42930</v>
      </c>
      <c r="B4399" t="s">
        <v>30</v>
      </c>
      <c r="C4399">
        <v>202</v>
      </c>
      <c r="D4399">
        <v>3</v>
      </c>
      <c r="E4399">
        <v>1</v>
      </c>
      <c r="F4399" t="s">
        <v>1020</v>
      </c>
      <c r="G4399" t="s">
        <v>32</v>
      </c>
      <c r="H4399" t="s">
        <v>33</v>
      </c>
      <c r="I4399" t="s">
        <v>59</v>
      </c>
      <c r="AB4399" t="s">
        <v>86</v>
      </c>
      <c r="AC4399" t="s">
        <v>87</v>
      </c>
    </row>
    <row r="4400" spans="1:29" x14ac:dyDescent="0.35">
      <c r="A4400" s="7">
        <v>42930</v>
      </c>
      <c r="B4400" t="s">
        <v>30</v>
      </c>
      <c r="C4400">
        <v>202</v>
      </c>
      <c r="D4400">
        <v>4</v>
      </c>
      <c r="E4400">
        <v>1</v>
      </c>
      <c r="F4400" t="s">
        <v>1020</v>
      </c>
      <c r="G4400" t="s">
        <v>32</v>
      </c>
      <c r="H4400" t="s">
        <v>33</v>
      </c>
      <c r="I4400" t="s">
        <v>59</v>
      </c>
      <c r="AB4400" t="s">
        <v>86</v>
      </c>
      <c r="AC4400" t="s">
        <v>87</v>
      </c>
    </row>
    <row r="4401" spans="1:30" x14ac:dyDescent="0.35">
      <c r="A4401" s="7">
        <v>42930</v>
      </c>
      <c r="B4401" t="s">
        <v>30</v>
      </c>
      <c r="C4401">
        <v>202</v>
      </c>
      <c r="D4401">
        <v>4</v>
      </c>
      <c r="E4401">
        <v>2</v>
      </c>
      <c r="F4401" t="s">
        <v>1020</v>
      </c>
      <c r="G4401" t="s">
        <v>32</v>
      </c>
      <c r="H4401" t="s">
        <v>33</v>
      </c>
      <c r="I4401" t="s">
        <v>59</v>
      </c>
      <c r="AB4401" t="s">
        <v>86</v>
      </c>
      <c r="AC4401" t="s">
        <v>87</v>
      </c>
    </row>
    <row r="4402" spans="1:30" x14ac:dyDescent="0.35">
      <c r="A4402" s="7">
        <v>42930</v>
      </c>
      <c r="B4402" t="s">
        <v>30</v>
      </c>
      <c r="C4402">
        <v>202</v>
      </c>
      <c r="D4402">
        <v>5</v>
      </c>
      <c r="E4402">
        <v>1</v>
      </c>
      <c r="F4402" t="s">
        <v>1020</v>
      </c>
      <c r="G4402" t="s">
        <v>32</v>
      </c>
      <c r="H4402" t="s">
        <v>33</v>
      </c>
      <c r="I4402" t="s">
        <v>59</v>
      </c>
      <c r="AB4402" t="s">
        <v>86</v>
      </c>
      <c r="AC4402" t="s">
        <v>87</v>
      </c>
    </row>
    <row r="4403" spans="1:30" x14ac:dyDescent="0.35">
      <c r="A4403" s="7">
        <v>42930</v>
      </c>
      <c r="B4403" t="s">
        <v>30</v>
      </c>
      <c r="C4403">
        <v>202</v>
      </c>
      <c r="D4403">
        <v>5</v>
      </c>
      <c r="E4403">
        <v>2</v>
      </c>
      <c r="F4403" t="s">
        <v>1020</v>
      </c>
      <c r="G4403" t="s">
        <v>32</v>
      </c>
      <c r="H4403" t="s">
        <v>33</v>
      </c>
      <c r="I4403" t="s">
        <v>59</v>
      </c>
      <c r="AB4403" t="s">
        <v>86</v>
      </c>
      <c r="AC4403" t="s">
        <v>87</v>
      </c>
    </row>
    <row r="4404" spans="1:30" x14ac:dyDescent="0.35">
      <c r="A4404" s="7">
        <v>42930</v>
      </c>
      <c r="B4404" t="s">
        <v>30</v>
      </c>
      <c r="C4404">
        <v>202</v>
      </c>
      <c r="D4404">
        <v>6</v>
      </c>
      <c r="E4404">
        <v>1</v>
      </c>
      <c r="F4404" t="s">
        <v>1020</v>
      </c>
      <c r="G4404" t="s">
        <v>32</v>
      </c>
      <c r="H4404" t="s">
        <v>33</v>
      </c>
      <c r="I4404" t="s">
        <v>59</v>
      </c>
      <c r="AB4404" t="s">
        <v>86</v>
      </c>
      <c r="AC4404" t="s">
        <v>87</v>
      </c>
    </row>
    <row r="4405" spans="1:30" x14ac:dyDescent="0.35">
      <c r="A4405" s="7">
        <v>42930</v>
      </c>
      <c r="B4405" t="s">
        <v>30</v>
      </c>
      <c r="C4405">
        <v>202</v>
      </c>
      <c r="D4405">
        <v>6</v>
      </c>
      <c r="E4405">
        <v>2</v>
      </c>
      <c r="F4405" t="s">
        <v>1020</v>
      </c>
      <c r="G4405" t="s">
        <v>32</v>
      </c>
      <c r="H4405" t="s">
        <v>33</v>
      </c>
      <c r="I4405" t="s">
        <v>59</v>
      </c>
      <c r="AB4405" t="s">
        <v>86</v>
      </c>
      <c r="AC4405" t="s">
        <v>87</v>
      </c>
    </row>
    <row r="4406" spans="1:30" x14ac:dyDescent="0.35">
      <c r="A4406" s="7">
        <v>42930</v>
      </c>
      <c r="B4406" t="s">
        <v>30</v>
      </c>
      <c r="C4406">
        <v>202</v>
      </c>
      <c r="D4406">
        <v>7</v>
      </c>
      <c r="E4406">
        <v>1</v>
      </c>
      <c r="F4406" t="s">
        <v>1020</v>
      </c>
      <c r="G4406" t="s">
        <v>32</v>
      </c>
      <c r="H4406" t="s">
        <v>33</v>
      </c>
      <c r="I4406" t="s">
        <v>59</v>
      </c>
      <c r="AB4406" t="s">
        <v>86</v>
      </c>
      <c r="AC4406" t="s">
        <v>87</v>
      </c>
    </row>
    <row r="4407" spans="1:30" x14ac:dyDescent="0.35">
      <c r="A4407" s="7">
        <v>42930</v>
      </c>
      <c r="B4407" t="s">
        <v>30</v>
      </c>
      <c r="C4407">
        <v>202</v>
      </c>
      <c r="D4407">
        <v>7</v>
      </c>
      <c r="E4407">
        <v>2</v>
      </c>
      <c r="F4407" t="s">
        <v>1020</v>
      </c>
      <c r="G4407" t="s">
        <v>32</v>
      </c>
      <c r="H4407" t="s">
        <v>33</v>
      </c>
      <c r="I4407" t="s">
        <v>59</v>
      </c>
      <c r="AB4407" t="s">
        <v>86</v>
      </c>
      <c r="AC4407" t="s">
        <v>87</v>
      </c>
    </row>
    <row r="4408" spans="1:30" x14ac:dyDescent="0.35">
      <c r="A4408" s="7">
        <v>42930</v>
      </c>
      <c r="B4408" t="s">
        <v>30</v>
      </c>
      <c r="C4408">
        <v>202</v>
      </c>
      <c r="D4408">
        <v>8</v>
      </c>
      <c r="E4408">
        <v>1</v>
      </c>
      <c r="F4408" t="s">
        <v>1020</v>
      </c>
      <c r="G4408" t="s">
        <v>32</v>
      </c>
      <c r="H4408" t="s">
        <v>33</v>
      </c>
      <c r="I4408" t="s">
        <v>43</v>
      </c>
      <c r="J4408" t="s">
        <v>44</v>
      </c>
      <c r="K4408" t="s">
        <v>113</v>
      </c>
      <c r="L4408" t="s">
        <v>37</v>
      </c>
      <c r="M4408">
        <v>0</v>
      </c>
      <c r="N4408">
        <v>0</v>
      </c>
      <c r="O4408">
        <v>38946</v>
      </c>
      <c r="P4408">
        <v>38945</v>
      </c>
      <c r="Q4408">
        <f>31-14</f>
        <v>17</v>
      </c>
      <c r="R4408" t="s">
        <v>38</v>
      </c>
      <c r="AB4408" t="s">
        <v>86</v>
      </c>
      <c r="AC4408" t="s">
        <v>87</v>
      </c>
    </row>
    <row r="4409" spans="1:30" x14ac:dyDescent="0.35">
      <c r="A4409" s="7">
        <v>42930</v>
      </c>
      <c r="B4409" t="s">
        <v>30</v>
      </c>
      <c r="C4409">
        <v>202</v>
      </c>
      <c r="D4409">
        <v>8</v>
      </c>
      <c r="E4409">
        <v>2</v>
      </c>
      <c r="F4409" t="s">
        <v>1020</v>
      </c>
      <c r="G4409" t="s">
        <v>32</v>
      </c>
      <c r="H4409" t="s">
        <v>33</v>
      </c>
      <c r="I4409" t="s">
        <v>59</v>
      </c>
      <c r="AB4409" t="s">
        <v>86</v>
      </c>
      <c r="AC4409" t="s">
        <v>87</v>
      </c>
    </row>
    <row r="4410" spans="1:30" x14ac:dyDescent="0.35">
      <c r="A4410" s="7">
        <v>42930</v>
      </c>
      <c r="B4410" t="s">
        <v>30</v>
      </c>
      <c r="C4410">
        <v>202</v>
      </c>
      <c r="D4410">
        <v>10</v>
      </c>
      <c r="E4410">
        <v>1</v>
      </c>
      <c r="F4410" t="s">
        <v>1020</v>
      </c>
      <c r="G4410" t="s">
        <v>32</v>
      </c>
      <c r="H4410" t="s">
        <v>33</v>
      </c>
      <c r="I4410" t="s">
        <v>43</v>
      </c>
      <c r="J4410" t="s">
        <v>35</v>
      </c>
      <c r="K4410" t="s">
        <v>88</v>
      </c>
      <c r="L4410" t="s">
        <v>45</v>
      </c>
      <c r="M4410">
        <v>0</v>
      </c>
      <c r="N4410">
        <v>1</v>
      </c>
      <c r="O4410">
        <v>39329</v>
      </c>
      <c r="P4410" t="s">
        <v>1037</v>
      </c>
      <c r="Q4410">
        <f>32-16</f>
        <v>16</v>
      </c>
      <c r="R4410" t="s">
        <v>46</v>
      </c>
      <c r="S4410" t="s">
        <v>39</v>
      </c>
      <c r="AB4410" t="s">
        <v>86</v>
      </c>
      <c r="AC4410" t="s">
        <v>87</v>
      </c>
      <c r="AD4410" t="s">
        <v>1038</v>
      </c>
    </row>
    <row r="4411" spans="1:30" x14ac:dyDescent="0.35">
      <c r="A4411" s="7">
        <v>42930</v>
      </c>
      <c r="B4411" t="s">
        <v>30</v>
      </c>
      <c r="C4411">
        <v>203</v>
      </c>
      <c r="D4411">
        <v>8</v>
      </c>
      <c r="E4411">
        <v>1</v>
      </c>
      <c r="F4411" t="s">
        <v>1020</v>
      </c>
      <c r="G4411" t="s">
        <v>32</v>
      </c>
      <c r="H4411" t="s">
        <v>33</v>
      </c>
      <c r="I4411" t="s">
        <v>58</v>
      </c>
      <c r="J4411" t="s">
        <v>44</v>
      </c>
      <c r="K4411" t="s">
        <v>36</v>
      </c>
      <c r="L4411" t="s">
        <v>45</v>
      </c>
      <c r="M4411">
        <v>0</v>
      </c>
      <c r="N4411">
        <v>0</v>
      </c>
      <c r="O4411">
        <v>2501</v>
      </c>
      <c r="Q4411">
        <f>44-14</f>
        <v>30</v>
      </c>
      <c r="R4411" t="s">
        <v>1021</v>
      </c>
      <c r="S4411" t="s">
        <v>102</v>
      </c>
      <c r="AB4411" t="s">
        <v>86</v>
      </c>
      <c r="AC4411" t="s">
        <v>87</v>
      </c>
    </row>
    <row r="4412" spans="1:30" x14ac:dyDescent="0.35">
      <c r="A4412" s="7">
        <v>42930</v>
      </c>
      <c r="B4412" t="s">
        <v>30</v>
      </c>
      <c r="C4412">
        <v>203</v>
      </c>
      <c r="D4412">
        <v>9</v>
      </c>
      <c r="E4412">
        <v>1</v>
      </c>
      <c r="F4412" t="s">
        <v>1020</v>
      </c>
      <c r="G4412" t="s">
        <v>32</v>
      </c>
      <c r="H4412" t="s">
        <v>33</v>
      </c>
      <c r="I4412" t="s">
        <v>59</v>
      </c>
      <c r="AB4412" t="s">
        <v>86</v>
      </c>
      <c r="AC4412" t="s">
        <v>87</v>
      </c>
    </row>
    <row r="4413" spans="1:30" x14ac:dyDescent="0.35">
      <c r="A4413" s="7">
        <v>42930</v>
      </c>
      <c r="B4413" t="s">
        <v>30</v>
      </c>
      <c r="C4413">
        <v>203</v>
      </c>
      <c r="D4413">
        <v>10</v>
      </c>
      <c r="E4413">
        <v>1</v>
      </c>
      <c r="F4413" t="s">
        <v>1020</v>
      </c>
      <c r="G4413" t="s">
        <v>32</v>
      </c>
      <c r="H4413" t="s">
        <v>33</v>
      </c>
      <c r="I4413" t="s">
        <v>59</v>
      </c>
      <c r="AB4413" t="s">
        <v>86</v>
      </c>
      <c r="AC4413" t="s">
        <v>87</v>
      </c>
    </row>
    <row r="4414" spans="1:30" x14ac:dyDescent="0.35">
      <c r="A4414" s="7">
        <v>42930</v>
      </c>
      <c r="B4414" t="s">
        <v>30</v>
      </c>
      <c r="C4414">
        <v>203</v>
      </c>
      <c r="D4414">
        <v>10</v>
      </c>
      <c r="E4414">
        <v>2</v>
      </c>
      <c r="F4414" t="s">
        <v>1020</v>
      </c>
      <c r="G4414" t="s">
        <v>32</v>
      </c>
      <c r="H4414" t="s">
        <v>33</v>
      </c>
      <c r="I4414" t="s">
        <v>59</v>
      </c>
      <c r="AB4414" t="s">
        <v>86</v>
      </c>
      <c r="AC4414" t="s">
        <v>87</v>
      </c>
    </row>
    <row r="4415" spans="1:30" x14ac:dyDescent="0.35">
      <c r="A4415" s="7">
        <v>42930</v>
      </c>
      <c r="B4415" t="s">
        <v>30</v>
      </c>
      <c r="C4415">
        <v>304</v>
      </c>
      <c r="D4415">
        <v>1</v>
      </c>
      <c r="E4415">
        <v>1</v>
      </c>
      <c r="F4415" t="s">
        <v>1020</v>
      </c>
      <c r="G4415" t="s">
        <v>32</v>
      </c>
      <c r="H4415" t="s">
        <v>33</v>
      </c>
      <c r="I4415" t="s">
        <v>59</v>
      </c>
      <c r="AB4415" t="s">
        <v>86</v>
      </c>
      <c r="AC4415" t="s">
        <v>87</v>
      </c>
    </row>
    <row r="4416" spans="1:30" x14ac:dyDescent="0.35">
      <c r="A4416" s="7">
        <v>42930</v>
      </c>
      <c r="B4416" t="s">
        <v>30</v>
      </c>
      <c r="C4416">
        <v>304</v>
      </c>
      <c r="D4416">
        <v>1</v>
      </c>
      <c r="E4416">
        <v>2</v>
      </c>
      <c r="F4416" t="s">
        <v>1020</v>
      </c>
      <c r="G4416" t="s">
        <v>32</v>
      </c>
      <c r="H4416" t="s">
        <v>33</v>
      </c>
      <c r="I4416" t="s">
        <v>59</v>
      </c>
      <c r="AB4416" t="s">
        <v>86</v>
      </c>
      <c r="AC4416" t="s">
        <v>87</v>
      </c>
    </row>
    <row r="4417" spans="1:29" x14ac:dyDescent="0.35">
      <c r="A4417" s="7">
        <v>42930</v>
      </c>
      <c r="B4417" t="s">
        <v>30</v>
      </c>
      <c r="C4417">
        <v>304</v>
      </c>
      <c r="D4417">
        <v>2</v>
      </c>
      <c r="E4417">
        <v>1</v>
      </c>
      <c r="F4417" t="s">
        <v>1020</v>
      </c>
      <c r="G4417" t="s">
        <v>32</v>
      </c>
      <c r="H4417" t="s">
        <v>33</v>
      </c>
      <c r="I4417" t="s">
        <v>59</v>
      </c>
      <c r="AB4417" t="s">
        <v>86</v>
      </c>
      <c r="AC4417" t="s">
        <v>87</v>
      </c>
    </row>
    <row r="4418" spans="1:29" x14ac:dyDescent="0.35">
      <c r="A4418" s="7">
        <v>42930</v>
      </c>
      <c r="B4418" t="s">
        <v>30</v>
      </c>
      <c r="C4418">
        <v>304</v>
      </c>
      <c r="D4418">
        <v>3</v>
      </c>
      <c r="E4418">
        <v>1</v>
      </c>
      <c r="F4418" t="s">
        <v>1020</v>
      </c>
      <c r="G4418" t="s">
        <v>32</v>
      </c>
      <c r="H4418" t="s">
        <v>33</v>
      </c>
      <c r="I4418" t="s">
        <v>59</v>
      </c>
      <c r="AB4418" t="s">
        <v>86</v>
      </c>
      <c r="AC4418" t="s">
        <v>87</v>
      </c>
    </row>
    <row r="4419" spans="1:29" x14ac:dyDescent="0.35">
      <c r="A4419" s="7">
        <v>42930</v>
      </c>
      <c r="B4419" t="s">
        <v>30</v>
      </c>
      <c r="C4419">
        <v>304</v>
      </c>
      <c r="D4419">
        <v>3</v>
      </c>
      <c r="E4419">
        <v>2</v>
      </c>
      <c r="F4419" t="s">
        <v>1020</v>
      </c>
      <c r="G4419" t="s">
        <v>32</v>
      </c>
      <c r="H4419" t="s">
        <v>33</v>
      </c>
      <c r="I4419" t="s">
        <v>59</v>
      </c>
      <c r="AB4419" t="s">
        <v>86</v>
      </c>
      <c r="AC4419" t="s">
        <v>87</v>
      </c>
    </row>
    <row r="4420" spans="1:29" x14ac:dyDescent="0.35">
      <c r="A4420" s="7">
        <v>42930</v>
      </c>
      <c r="B4420" t="s">
        <v>30</v>
      </c>
      <c r="C4420">
        <v>304</v>
      </c>
      <c r="D4420">
        <v>4</v>
      </c>
      <c r="E4420">
        <v>1</v>
      </c>
      <c r="F4420" t="s">
        <v>1020</v>
      </c>
      <c r="G4420" t="s">
        <v>32</v>
      </c>
      <c r="H4420" t="s">
        <v>33</v>
      </c>
      <c r="I4420" t="s">
        <v>59</v>
      </c>
      <c r="AB4420" t="s">
        <v>86</v>
      </c>
      <c r="AC4420" t="s">
        <v>87</v>
      </c>
    </row>
    <row r="4421" spans="1:29" x14ac:dyDescent="0.35">
      <c r="A4421" s="7">
        <v>42930</v>
      </c>
      <c r="B4421" t="s">
        <v>30</v>
      </c>
      <c r="C4421">
        <v>304</v>
      </c>
      <c r="D4421">
        <v>4</v>
      </c>
      <c r="E4421">
        <v>2</v>
      </c>
      <c r="F4421" t="s">
        <v>1020</v>
      </c>
      <c r="G4421" t="s">
        <v>32</v>
      </c>
      <c r="H4421" t="s">
        <v>33</v>
      </c>
      <c r="I4421" t="s">
        <v>59</v>
      </c>
      <c r="AB4421" t="s">
        <v>86</v>
      </c>
      <c r="AC4421" t="s">
        <v>87</v>
      </c>
    </row>
    <row r="4422" spans="1:29" x14ac:dyDescent="0.35">
      <c r="A4422" s="7">
        <v>42930</v>
      </c>
      <c r="B4422" t="s">
        <v>30</v>
      </c>
      <c r="C4422">
        <v>304</v>
      </c>
      <c r="D4422">
        <v>6</v>
      </c>
      <c r="E4422">
        <v>1</v>
      </c>
      <c r="F4422" t="s">
        <v>1020</v>
      </c>
      <c r="G4422" t="s">
        <v>32</v>
      </c>
      <c r="H4422" t="s">
        <v>33</v>
      </c>
      <c r="I4422" t="s">
        <v>43</v>
      </c>
      <c r="J4422" t="s">
        <v>44</v>
      </c>
      <c r="K4422" t="s">
        <v>113</v>
      </c>
      <c r="L4422" t="s">
        <v>45</v>
      </c>
      <c r="M4422">
        <v>0</v>
      </c>
      <c r="N4422">
        <v>0</v>
      </c>
      <c r="O4422">
        <v>38934</v>
      </c>
      <c r="P4422">
        <v>38933</v>
      </c>
      <c r="Q4422">
        <f>31-14</f>
        <v>17</v>
      </c>
      <c r="R4422" t="s">
        <v>46</v>
      </c>
      <c r="S4422" t="s">
        <v>39</v>
      </c>
      <c r="AB4422" t="s">
        <v>86</v>
      </c>
      <c r="AC4422" t="s">
        <v>87</v>
      </c>
    </row>
    <row r="4423" spans="1:29" x14ac:dyDescent="0.35">
      <c r="A4423" s="7">
        <v>42930</v>
      </c>
      <c r="B4423" t="s">
        <v>30</v>
      </c>
      <c r="C4423">
        <v>304</v>
      </c>
      <c r="D4423">
        <v>8</v>
      </c>
      <c r="E4423">
        <v>1</v>
      </c>
      <c r="F4423" t="s">
        <v>1020</v>
      </c>
      <c r="G4423" t="s">
        <v>32</v>
      </c>
      <c r="H4423" t="s">
        <v>33</v>
      </c>
      <c r="I4423" t="s">
        <v>43</v>
      </c>
      <c r="J4423" t="s">
        <v>44</v>
      </c>
      <c r="K4423" t="s">
        <v>113</v>
      </c>
      <c r="L4423" t="s">
        <v>37</v>
      </c>
      <c r="M4423">
        <v>0</v>
      </c>
      <c r="N4423">
        <v>0</v>
      </c>
      <c r="O4423">
        <v>38942</v>
      </c>
      <c r="P4423">
        <v>38941</v>
      </c>
      <c r="Q4423">
        <f>32-14</f>
        <v>18</v>
      </c>
      <c r="R4423" t="s">
        <v>38</v>
      </c>
      <c r="AB4423" t="s">
        <v>86</v>
      </c>
      <c r="AC4423" t="s">
        <v>87</v>
      </c>
    </row>
    <row r="4424" spans="1:29" x14ac:dyDescent="0.35">
      <c r="A4424" s="7">
        <v>42930</v>
      </c>
      <c r="B4424" t="s">
        <v>30</v>
      </c>
      <c r="C4424">
        <v>304</v>
      </c>
      <c r="D4424">
        <v>9</v>
      </c>
      <c r="E4424">
        <v>1</v>
      </c>
      <c r="F4424" t="s">
        <v>1020</v>
      </c>
      <c r="G4424" t="s">
        <v>32</v>
      </c>
      <c r="H4424" t="s">
        <v>33</v>
      </c>
      <c r="I4424" t="s">
        <v>59</v>
      </c>
      <c r="AB4424" t="s">
        <v>86</v>
      </c>
      <c r="AC4424" t="s">
        <v>87</v>
      </c>
    </row>
    <row r="4425" spans="1:29" x14ac:dyDescent="0.35">
      <c r="A4425" s="7">
        <v>42930</v>
      </c>
      <c r="B4425" t="s">
        <v>30</v>
      </c>
      <c r="C4425">
        <v>304</v>
      </c>
      <c r="D4425">
        <v>9</v>
      </c>
      <c r="E4425">
        <v>2</v>
      </c>
      <c r="F4425" t="s">
        <v>1020</v>
      </c>
      <c r="G4425" t="s">
        <v>32</v>
      </c>
      <c r="H4425" t="s">
        <v>33</v>
      </c>
      <c r="I4425" t="s">
        <v>59</v>
      </c>
      <c r="AB4425" t="s">
        <v>86</v>
      </c>
      <c r="AC4425" t="s">
        <v>87</v>
      </c>
    </row>
    <row r="4426" spans="1:29" x14ac:dyDescent="0.35">
      <c r="A4426" s="7">
        <v>42930</v>
      </c>
      <c r="B4426" t="s">
        <v>30</v>
      </c>
      <c r="C4426">
        <v>304</v>
      </c>
      <c r="D4426">
        <v>10</v>
      </c>
      <c r="E4426">
        <v>1</v>
      </c>
      <c r="F4426" t="s">
        <v>1020</v>
      </c>
      <c r="G4426" t="s">
        <v>32</v>
      </c>
      <c r="H4426" t="s">
        <v>33</v>
      </c>
      <c r="I4426" t="s">
        <v>94</v>
      </c>
      <c r="J4426" t="s">
        <v>44</v>
      </c>
      <c r="K4426" t="s">
        <v>36</v>
      </c>
      <c r="L4426" t="s">
        <v>45</v>
      </c>
      <c r="M4426">
        <v>0</v>
      </c>
      <c r="N4426">
        <v>0</v>
      </c>
      <c r="O4426">
        <v>50939</v>
      </c>
      <c r="Q4426">
        <f>36-14</f>
        <v>22</v>
      </c>
      <c r="R4426" t="s">
        <v>1021</v>
      </c>
      <c r="S4426" t="s">
        <v>102</v>
      </c>
      <c r="AB4426" t="s">
        <v>86</v>
      </c>
      <c r="AC4426" t="s">
        <v>87</v>
      </c>
    </row>
    <row r="4427" spans="1:29" x14ac:dyDescent="0.35">
      <c r="A4427" s="7">
        <v>42930</v>
      </c>
      <c r="B4427" t="s">
        <v>30</v>
      </c>
      <c r="C4427">
        <v>304</v>
      </c>
      <c r="D4427">
        <v>10</v>
      </c>
      <c r="E4427">
        <v>2</v>
      </c>
      <c r="F4427" t="s">
        <v>1020</v>
      </c>
      <c r="G4427" t="s">
        <v>32</v>
      </c>
      <c r="H4427" t="s">
        <v>33</v>
      </c>
      <c r="I4427" t="s">
        <v>59</v>
      </c>
      <c r="AB4427" t="s">
        <v>86</v>
      </c>
      <c r="AC4427" t="s">
        <v>87</v>
      </c>
    </row>
    <row r="4428" spans="1:29" x14ac:dyDescent="0.35">
      <c r="A4428" s="7">
        <v>42930</v>
      </c>
      <c r="B4428" t="s">
        <v>30</v>
      </c>
      <c r="C4428">
        <v>402</v>
      </c>
      <c r="D4428">
        <v>1</v>
      </c>
      <c r="E4428">
        <v>1</v>
      </c>
      <c r="F4428" t="s">
        <v>315</v>
      </c>
      <c r="G4428" t="s">
        <v>32</v>
      </c>
      <c r="H4428" t="s">
        <v>33</v>
      </c>
      <c r="I4428" t="s">
        <v>59</v>
      </c>
      <c r="AB4428" t="s">
        <v>86</v>
      </c>
      <c r="AC4428" t="s">
        <v>87</v>
      </c>
    </row>
    <row r="4429" spans="1:29" x14ac:dyDescent="0.35">
      <c r="A4429" s="7">
        <v>42930</v>
      </c>
      <c r="B4429" t="s">
        <v>30</v>
      </c>
      <c r="C4429">
        <v>402</v>
      </c>
      <c r="D4429">
        <v>2</v>
      </c>
      <c r="E4429">
        <v>1</v>
      </c>
      <c r="F4429" t="s">
        <v>315</v>
      </c>
      <c r="G4429" t="s">
        <v>32</v>
      </c>
      <c r="H4429" t="s">
        <v>33</v>
      </c>
      <c r="I4429" t="s">
        <v>43</v>
      </c>
      <c r="J4429" t="s">
        <v>35</v>
      </c>
      <c r="K4429" t="s">
        <v>113</v>
      </c>
      <c r="L4429" t="s">
        <v>37</v>
      </c>
      <c r="M4429">
        <v>0</v>
      </c>
      <c r="N4429">
        <v>1</v>
      </c>
      <c r="O4429">
        <v>39795</v>
      </c>
      <c r="P4429">
        <v>39794</v>
      </c>
      <c r="Q4429">
        <f>32-16</f>
        <v>16</v>
      </c>
      <c r="R4429" t="s">
        <v>38</v>
      </c>
      <c r="AB4429" t="s">
        <v>86</v>
      </c>
      <c r="AC4429" t="s">
        <v>87</v>
      </c>
    </row>
    <row r="4430" spans="1:29" x14ac:dyDescent="0.35">
      <c r="A4430" s="7">
        <v>42930</v>
      </c>
      <c r="B4430" t="s">
        <v>30</v>
      </c>
      <c r="C4430">
        <v>402</v>
      </c>
      <c r="D4430">
        <v>2</v>
      </c>
      <c r="E4430">
        <v>2</v>
      </c>
      <c r="F4430" t="s">
        <v>315</v>
      </c>
      <c r="G4430" t="s">
        <v>32</v>
      </c>
      <c r="H4430" t="s">
        <v>33</v>
      </c>
      <c r="I4430" t="s">
        <v>58</v>
      </c>
      <c r="J4430" t="s">
        <v>35</v>
      </c>
      <c r="K4430" t="s">
        <v>36</v>
      </c>
      <c r="L4430" t="s">
        <v>37</v>
      </c>
      <c r="M4430">
        <v>0</v>
      </c>
      <c r="N4430">
        <v>1</v>
      </c>
      <c r="O4430">
        <v>39796</v>
      </c>
      <c r="Q4430">
        <f>40.5-16</f>
        <v>24.5</v>
      </c>
      <c r="R4430" t="s">
        <v>38</v>
      </c>
      <c r="Z4430" t="s">
        <v>102</v>
      </c>
      <c r="AB4430" t="s">
        <v>86</v>
      </c>
      <c r="AC4430" t="s">
        <v>87</v>
      </c>
    </row>
    <row r="4431" spans="1:29" x14ac:dyDescent="0.35">
      <c r="A4431" s="7">
        <v>42930</v>
      </c>
      <c r="B4431" t="s">
        <v>30</v>
      </c>
      <c r="C4431">
        <v>402</v>
      </c>
      <c r="D4431">
        <v>3</v>
      </c>
      <c r="E4431">
        <v>1</v>
      </c>
      <c r="F4431" t="s">
        <v>315</v>
      </c>
      <c r="G4431" t="s">
        <v>32</v>
      </c>
      <c r="H4431" t="s">
        <v>33</v>
      </c>
      <c r="I4431" t="s">
        <v>59</v>
      </c>
      <c r="AB4431" t="s">
        <v>86</v>
      </c>
      <c r="AC4431" t="s">
        <v>87</v>
      </c>
    </row>
    <row r="4432" spans="1:29" x14ac:dyDescent="0.35">
      <c r="A4432" s="7">
        <v>42930</v>
      </c>
      <c r="B4432" t="s">
        <v>30</v>
      </c>
      <c r="C4432">
        <v>402</v>
      </c>
      <c r="D4432">
        <v>3</v>
      </c>
      <c r="E4432">
        <v>2</v>
      </c>
      <c r="F4432" t="s">
        <v>315</v>
      </c>
      <c r="G4432" t="s">
        <v>32</v>
      </c>
      <c r="H4432" t="s">
        <v>33</v>
      </c>
      <c r="I4432" t="s">
        <v>58</v>
      </c>
      <c r="J4432" t="s">
        <v>44</v>
      </c>
      <c r="K4432" t="s">
        <v>36</v>
      </c>
      <c r="L4432" t="s">
        <v>45</v>
      </c>
      <c r="M4432">
        <v>0</v>
      </c>
      <c r="N4432">
        <v>0</v>
      </c>
      <c r="O4432">
        <v>15729</v>
      </c>
      <c r="Q4432">
        <f>36-14</f>
        <v>22</v>
      </c>
      <c r="R4432" t="s">
        <v>79</v>
      </c>
      <c r="S4432" t="s">
        <v>39</v>
      </c>
      <c r="Z4432" t="s">
        <v>102</v>
      </c>
      <c r="AB4432" t="s">
        <v>86</v>
      </c>
      <c r="AC4432" t="s">
        <v>87</v>
      </c>
    </row>
    <row r="4433" spans="1:29" x14ac:dyDescent="0.35">
      <c r="A4433" s="7">
        <v>42930</v>
      </c>
      <c r="B4433" t="s">
        <v>30</v>
      </c>
      <c r="C4433">
        <v>402</v>
      </c>
      <c r="D4433">
        <v>4</v>
      </c>
      <c r="E4433">
        <v>1</v>
      </c>
      <c r="F4433" t="s">
        <v>315</v>
      </c>
      <c r="G4433" t="s">
        <v>32</v>
      </c>
      <c r="H4433" t="s">
        <v>33</v>
      </c>
      <c r="I4433" t="s">
        <v>59</v>
      </c>
      <c r="AB4433" t="s">
        <v>86</v>
      </c>
      <c r="AC4433" t="s">
        <v>87</v>
      </c>
    </row>
    <row r="4434" spans="1:29" x14ac:dyDescent="0.35">
      <c r="A4434" s="7">
        <v>42930</v>
      </c>
      <c r="B4434" t="s">
        <v>30</v>
      </c>
      <c r="C4434">
        <v>402</v>
      </c>
      <c r="D4434">
        <v>4</v>
      </c>
      <c r="E4434">
        <v>2</v>
      </c>
      <c r="F4434" t="s">
        <v>315</v>
      </c>
      <c r="G4434" t="s">
        <v>32</v>
      </c>
      <c r="H4434" t="s">
        <v>33</v>
      </c>
      <c r="I4434" t="s">
        <v>59</v>
      </c>
      <c r="AB4434" t="s">
        <v>86</v>
      </c>
      <c r="AC4434" t="s">
        <v>87</v>
      </c>
    </row>
    <row r="4435" spans="1:29" x14ac:dyDescent="0.35">
      <c r="A4435" s="7">
        <v>42930</v>
      </c>
      <c r="B4435" t="s">
        <v>30</v>
      </c>
      <c r="C4435">
        <v>402</v>
      </c>
      <c r="D4435">
        <v>5</v>
      </c>
      <c r="E4435">
        <v>1</v>
      </c>
      <c r="F4435" t="s">
        <v>315</v>
      </c>
      <c r="G4435" t="s">
        <v>32</v>
      </c>
      <c r="H4435" t="s">
        <v>33</v>
      </c>
      <c r="I4435" t="s">
        <v>43</v>
      </c>
      <c r="J4435" t="s">
        <v>35</v>
      </c>
      <c r="K4435" t="s">
        <v>36</v>
      </c>
      <c r="L4435" t="s">
        <v>45</v>
      </c>
      <c r="M4435">
        <v>0</v>
      </c>
      <c r="N4435">
        <v>1</v>
      </c>
      <c r="O4435">
        <v>39798</v>
      </c>
      <c r="P4435">
        <v>39797</v>
      </c>
      <c r="Q4435">
        <f>32-14</f>
        <v>18</v>
      </c>
      <c r="R4435" t="s">
        <v>79</v>
      </c>
      <c r="S4435" t="s">
        <v>39</v>
      </c>
      <c r="AB4435" t="s">
        <v>86</v>
      </c>
      <c r="AC4435" t="s">
        <v>87</v>
      </c>
    </row>
    <row r="4436" spans="1:29" x14ac:dyDescent="0.35">
      <c r="A4436" s="7">
        <v>42930</v>
      </c>
      <c r="B4436" t="s">
        <v>30</v>
      </c>
      <c r="C4436">
        <v>402</v>
      </c>
      <c r="D4436">
        <v>6</v>
      </c>
      <c r="E4436">
        <v>1</v>
      </c>
      <c r="F4436" t="s">
        <v>315</v>
      </c>
      <c r="G4436" t="s">
        <v>32</v>
      </c>
      <c r="H4436" t="s">
        <v>33</v>
      </c>
      <c r="I4436" t="s">
        <v>58</v>
      </c>
      <c r="J4436" t="s">
        <v>44</v>
      </c>
      <c r="K4436" t="s">
        <v>36</v>
      </c>
      <c r="L4436" t="s">
        <v>37</v>
      </c>
      <c r="M4436">
        <v>0</v>
      </c>
      <c r="N4436">
        <v>0</v>
      </c>
      <c r="O4436">
        <v>38980</v>
      </c>
      <c r="Q4436">
        <f>43-15.5</f>
        <v>27.5</v>
      </c>
      <c r="R4436" t="s">
        <v>38</v>
      </c>
      <c r="Z4436" t="s">
        <v>102</v>
      </c>
      <c r="AB4436" t="s">
        <v>86</v>
      </c>
      <c r="AC4436" t="s">
        <v>87</v>
      </c>
    </row>
    <row r="4437" spans="1:29" x14ac:dyDescent="0.35">
      <c r="A4437" s="7">
        <v>42930</v>
      </c>
      <c r="B4437" t="s">
        <v>30</v>
      </c>
      <c r="C4437">
        <v>402</v>
      </c>
      <c r="D4437">
        <v>7</v>
      </c>
      <c r="E4437">
        <v>1</v>
      </c>
      <c r="F4437" t="s">
        <v>315</v>
      </c>
      <c r="G4437" t="s">
        <v>32</v>
      </c>
      <c r="H4437" t="s">
        <v>33</v>
      </c>
      <c r="I4437" t="s">
        <v>59</v>
      </c>
      <c r="AB4437" t="s">
        <v>86</v>
      </c>
      <c r="AC4437" t="s">
        <v>87</v>
      </c>
    </row>
    <row r="4438" spans="1:29" x14ac:dyDescent="0.35">
      <c r="A4438" s="7">
        <v>42930</v>
      </c>
      <c r="B4438" t="s">
        <v>30</v>
      </c>
      <c r="C4438">
        <v>402</v>
      </c>
      <c r="D4438">
        <v>8</v>
      </c>
      <c r="E4438">
        <v>1</v>
      </c>
      <c r="F4438" t="s">
        <v>315</v>
      </c>
      <c r="G4438" t="s">
        <v>32</v>
      </c>
      <c r="H4438" t="s">
        <v>33</v>
      </c>
      <c r="I4438" t="s">
        <v>59</v>
      </c>
      <c r="AB4438" t="s">
        <v>86</v>
      </c>
      <c r="AC4438" t="s">
        <v>87</v>
      </c>
    </row>
    <row r="4439" spans="1:29" x14ac:dyDescent="0.35">
      <c r="A4439" s="7">
        <v>42930</v>
      </c>
      <c r="B4439" t="s">
        <v>30</v>
      </c>
      <c r="C4439">
        <v>402</v>
      </c>
      <c r="D4439">
        <v>9</v>
      </c>
      <c r="E4439">
        <v>1</v>
      </c>
      <c r="F4439" t="s">
        <v>315</v>
      </c>
      <c r="G4439" t="s">
        <v>32</v>
      </c>
      <c r="H4439" t="s">
        <v>33</v>
      </c>
      <c r="I4439" t="s">
        <v>59</v>
      </c>
      <c r="AB4439" t="s">
        <v>86</v>
      </c>
      <c r="AC4439" t="s">
        <v>87</v>
      </c>
    </row>
    <row r="4440" spans="1:29" x14ac:dyDescent="0.35">
      <c r="A4440" s="7">
        <v>42930</v>
      </c>
      <c r="B4440" t="s">
        <v>30</v>
      </c>
      <c r="C4440">
        <v>402</v>
      </c>
      <c r="D4440">
        <v>9</v>
      </c>
      <c r="E4440">
        <v>2</v>
      </c>
      <c r="F4440" t="s">
        <v>315</v>
      </c>
      <c r="G4440" t="s">
        <v>32</v>
      </c>
      <c r="H4440" t="s">
        <v>33</v>
      </c>
      <c r="I4440" t="s">
        <v>59</v>
      </c>
      <c r="AB4440" t="s">
        <v>86</v>
      </c>
      <c r="AC4440" t="s">
        <v>87</v>
      </c>
    </row>
    <row r="4441" spans="1:29" x14ac:dyDescent="0.35">
      <c r="A4441" s="7">
        <v>42930</v>
      </c>
      <c r="B4441" t="s">
        <v>30</v>
      </c>
      <c r="C4441">
        <v>402</v>
      </c>
      <c r="D4441">
        <v>10</v>
      </c>
      <c r="E4441">
        <v>1</v>
      </c>
      <c r="F4441" t="s">
        <v>315</v>
      </c>
      <c r="G4441" t="s">
        <v>32</v>
      </c>
      <c r="H4441" t="s">
        <v>33</v>
      </c>
      <c r="I4441" t="s">
        <v>43</v>
      </c>
      <c r="J4441" t="s">
        <v>44</v>
      </c>
      <c r="K4441" t="s">
        <v>113</v>
      </c>
      <c r="L4441" t="s">
        <v>37</v>
      </c>
      <c r="M4441">
        <v>0</v>
      </c>
      <c r="N4441">
        <v>0</v>
      </c>
      <c r="O4441">
        <v>38912</v>
      </c>
      <c r="P4441">
        <v>38913</v>
      </c>
      <c r="Q4441">
        <f>31.5-14</f>
        <v>17.5</v>
      </c>
      <c r="R4441" t="s">
        <v>38</v>
      </c>
      <c r="AB4441" t="s">
        <v>86</v>
      </c>
      <c r="AC4441" t="s">
        <v>87</v>
      </c>
    </row>
    <row r="4442" spans="1:29" x14ac:dyDescent="0.35">
      <c r="A4442" s="7">
        <v>42931</v>
      </c>
      <c r="B4442" t="s">
        <v>30</v>
      </c>
      <c r="C4442">
        <v>111</v>
      </c>
      <c r="D4442">
        <v>1</v>
      </c>
      <c r="E4442">
        <v>1</v>
      </c>
      <c r="F4442" t="s">
        <v>315</v>
      </c>
      <c r="G4442" t="s">
        <v>32</v>
      </c>
      <c r="H4442" t="s">
        <v>33</v>
      </c>
      <c r="I4442" t="s">
        <v>59</v>
      </c>
      <c r="AB4442" t="s">
        <v>60</v>
      </c>
      <c r="AC4442" t="s">
        <v>87</v>
      </c>
    </row>
    <row r="4443" spans="1:29" x14ac:dyDescent="0.35">
      <c r="A4443" s="7">
        <v>42931</v>
      </c>
      <c r="B4443" t="s">
        <v>30</v>
      </c>
      <c r="C4443">
        <v>111</v>
      </c>
      <c r="D4443">
        <v>1</v>
      </c>
      <c r="E4443">
        <v>2</v>
      </c>
      <c r="F4443" t="s">
        <v>315</v>
      </c>
      <c r="G4443" t="s">
        <v>32</v>
      </c>
      <c r="H4443" t="s">
        <v>33</v>
      </c>
      <c r="I4443" t="s">
        <v>59</v>
      </c>
      <c r="AB4443" t="s">
        <v>60</v>
      </c>
      <c r="AC4443" t="s">
        <v>87</v>
      </c>
    </row>
    <row r="4444" spans="1:29" x14ac:dyDescent="0.35">
      <c r="A4444" s="7">
        <v>42931</v>
      </c>
      <c r="B4444" t="s">
        <v>30</v>
      </c>
      <c r="C4444">
        <v>111</v>
      </c>
      <c r="D4444">
        <v>2</v>
      </c>
      <c r="E4444">
        <v>1</v>
      </c>
      <c r="F4444" t="s">
        <v>315</v>
      </c>
      <c r="G4444" t="s">
        <v>32</v>
      </c>
      <c r="H4444" t="s">
        <v>33</v>
      </c>
      <c r="I4444" t="s">
        <v>59</v>
      </c>
      <c r="AB4444" t="s">
        <v>60</v>
      </c>
      <c r="AC4444" t="s">
        <v>87</v>
      </c>
    </row>
    <row r="4445" spans="1:29" x14ac:dyDescent="0.35">
      <c r="A4445" s="7">
        <v>42931</v>
      </c>
      <c r="B4445" t="s">
        <v>30</v>
      </c>
      <c r="C4445">
        <v>111</v>
      </c>
      <c r="D4445">
        <v>2</v>
      </c>
      <c r="E4445">
        <v>2</v>
      </c>
      <c r="F4445" t="s">
        <v>315</v>
      </c>
      <c r="G4445" t="s">
        <v>32</v>
      </c>
      <c r="H4445" t="s">
        <v>33</v>
      </c>
      <c r="I4445" t="s">
        <v>59</v>
      </c>
      <c r="AB4445" t="s">
        <v>60</v>
      </c>
      <c r="AC4445" t="s">
        <v>87</v>
      </c>
    </row>
    <row r="4446" spans="1:29" x14ac:dyDescent="0.35">
      <c r="A4446" s="7">
        <v>42931</v>
      </c>
      <c r="B4446" t="s">
        <v>30</v>
      </c>
      <c r="C4446">
        <v>111</v>
      </c>
      <c r="D4446">
        <v>3</v>
      </c>
      <c r="E4446">
        <v>1</v>
      </c>
      <c r="F4446" t="s">
        <v>315</v>
      </c>
      <c r="G4446" t="s">
        <v>32</v>
      </c>
      <c r="H4446" t="s">
        <v>33</v>
      </c>
      <c r="I4446" t="s">
        <v>59</v>
      </c>
      <c r="AB4446" t="s">
        <v>60</v>
      </c>
      <c r="AC4446" t="s">
        <v>87</v>
      </c>
    </row>
    <row r="4447" spans="1:29" x14ac:dyDescent="0.35">
      <c r="A4447" s="7">
        <v>42931</v>
      </c>
      <c r="B4447" t="s">
        <v>30</v>
      </c>
      <c r="C4447">
        <v>111</v>
      </c>
      <c r="D4447">
        <v>3</v>
      </c>
      <c r="E4447">
        <v>2</v>
      </c>
      <c r="F4447" t="s">
        <v>315</v>
      </c>
      <c r="G4447" t="s">
        <v>32</v>
      </c>
      <c r="H4447" t="s">
        <v>33</v>
      </c>
      <c r="I4447" t="s">
        <v>59</v>
      </c>
      <c r="AB4447" t="s">
        <v>60</v>
      </c>
      <c r="AC4447" t="s">
        <v>87</v>
      </c>
    </row>
    <row r="4448" spans="1:29" x14ac:dyDescent="0.35">
      <c r="A4448" s="7">
        <v>42931</v>
      </c>
      <c r="B4448" t="s">
        <v>30</v>
      </c>
      <c r="C4448">
        <v>111</v>
      </c>
      <c r="D4448">
        <v>4</v>
      </c>
      <c r="E4448">
        <v>1</v>
      </c>
      <c r="F4448" t="s">
        <v>315</v>
      </c>
      <c r="G4448" t="s">
        <v>32</v>
      </c>
      <c r="H4448" t="s">
        <v>33</v>
      </c>
      <c r="I4448" t="s">
        <v>59</v>
      </c>
      <c r="AB4448" t="s">
        <v>60</v>
      </c>
      <c r="AC4448" t="s">
        <v>87</v>
      </c>
    </row>
    <row r="4449" spans="1:30" x14ac:dyDescent="0.35">
      <c r="A4449" s="7">
        <v>42931</v>
      </c>
      <c r="B4449" t="s">
        <v>30</v>
      </c>
      <c r="C4449">
        <v>111</v>
      </c>
      <c r="D4449">
        <v>4</v>
      </c>
      <c r="E4449">
        <v>2</v>
      </c>
      <c r="F4449" t="s">
        <v>315</v>
      </c>
      <c r="G4449" t="s">
        <v>32</v>
      </c>
      <c r="H4449" t="s">
        <v>33</v>
      </c>
      <c r="I4449" t="s">
        <v>43</v>
      </c>
      <c r="J4449" t="s">
        <v>44</v>
      </c>
      <c r="K4449" t="s">
        <v>36</v>
      </c>
      <c r="L4449" t="s">
        <v>45</v>
      </c>
      <c r="M4449">
        <v>0</v>
      </c>
      <c r="N4449">
        <v>0</v>
      </c>
      <c r="O4449">
        <v>2867</v>
      </c>
      <c r="P4449">
        <v>2866</v>
      </c>
      <c r="Q4449">
        <f>33.5-13.5</f>
        <v>20</v>
      </c>
      <c r="R4449" t="s">
        <v>79</v>
      </c>
      <c r="S4449" t="s">
        <v>39</v>
      </c>
      <c r="AB4449" t="s">
        <v>60</v>
      </c>
      <c r="AC4449" t="s">
        <v>87</v>
      </c>
    </row>
    <row r="4450" spans="1:30" x14ac:dyDescent="0.35">
      <c r="A4450" s="7">
        <v>42931</v>
      </c>
      <c r="B4450" t="s">
        <v>30</v>
      </c>
      <c r="C4450">
        <v>111</v>
      </c>
      <c r="D4450">
        <v>5</v>
      </c>
      <c r="E4450">
        <v>1</v>
      </c>
      <c r="F4450" t="s">
        <v>315</v>
      </c>
      <c r="G4450" t="s">
        <v>32</v>
      </c>
      <c r="H4450" t="s">
        <v>33</v>
      </c>
      <c r="I4450" t="s">
        <v>43</v>
      </c>
      <c r="J4450" t="s">
        <v>44</v>
      </c>
      <c r="K4450" t="s">
        <v>36</v>
      </c>
      <c r="L4450" t="s">
        <v>37</v>
      </c>
      <c r="M4450">
        <v>0</v>
      </c>
      <c r="N4450">
        <v>0</v>
      </c>
      <c r="O4450">
        <v>50952</v>
      </c>
      <c r="P4450">
        <v>50951</v>
      </c>
      <c r="Q4450">
        <f>35-14.5</f>
        <v>20.5</v>
      </c>
      <c r="R4450" t="s">
        <v>38</v>
      </c>
      <c r="AB4450" t="s">
        <v>60</v>
      </c>
      <c r="AC4450" t="s">
        <v>87</v>
      </c>
    </row>
    <row r="4451" spans="1:30" x14ac:dyDescent="0.35">
      <c r="A4451" s="7">
        <v>42931</v>
      </c>
      <c r="B4451" t="s">
        <v>30</v>
      </c>
      <c r="C4451">
        <v>111</v>
      </c>
      <c r="D4451">
        <v>6</v>
      </c>
      <c r="E4451">
        <v>1</v>
      </c>
      <c r="F4451" t="s">
        <v>315</v>
      </c>
      <c r="G4451" t="s">
        <v>32</v>
      </c>
      <c r="H4451" t="s">
        <v>33</v>
      </c>
      <c r="I4451" t="s">
        <v>43</v>
      </c>
      <c r="J4451" t="s">
        <v>44</v>
      </c>
      <c r="K4451" t="s">
        <v>36</v>
      </c>
      <c r="L4451" t="s">
        <v>45</v>
      </c>
      <c r="M4451">
        <v>0</v>
      </c>
      <c r="N4451">
        <v>0</v>
      </c>
      <c r="O4451">
        <v>38901</v>
      </c>
      <c r="P4451">
        <v>38902</v>
      </c>
      <c r="Q4451">
        <f>34-14</f>
        <v>20</v>
      </c>
      <c r="R4451" t="s">
        <v>1021</v>
      </c>
      <c r="S4451" t="s">
        <v>102</v>
      </c>
      <c r="AB4451" t="s">
        <v>60</v>
      </c>
      <c r="AC4451" t="s">
        <v>87</v>
      </c>
    </row>
    <row r="4452" spans="1:30" x14ac:dyDescent="0.35">
      <c r="A4452" s="7">
        <v>42931</v>
      </c>
      <c r="B4452" t="s">
        <v>30</v>
      </c>
      <c r="C4452">
        <v>111</v>
      </c>
      <c r="D4452">
        <v>7</v>
      </c>
      <c r="E4452">
        <v>1</v>
      </c>
      <c r="F4452" t="s">
        <v>315</v>
      </c>
      <c r="G4452" t="s">
        <v>32</v>
      </c>
      <c r="H4452" t="s">
        <v>33</v>
      </c>
      <c r="I4452" t="s">
        <v>43</v>
      </c>
      <c r="J4452" t="s">
        <v>44</v>
      </c>
      <c r="K4452" t="s">
        <v>36</v>
      </c>
      <c r="L4452" t="s">
        <v>37</v>
      </c>
      <c r="M4452">
        <v>0</v>
      </c>
      <c r="N4452">
        <v>0</v>
      </c>
      <c r="O4452">
        <v>39799</v>
      </c>
      <c r="P4452">
        <v>39151</v>
      </c>
      <c r="Q4452">
        <f>37-14.5</f>
        <v>22.5</v>
      </c>
      <c r="R4452" t="s">
        <v>38</v>
      </c>
      <c r="AB4452" t="s">
        <v>60</v>
      </c>
      <c r="AC4452" t="s">
        <v>87</v>
      </c>
      <c r="AD4452" t="s">
        <v>1039</v>
      </c>
    </row>
    <row r="4453" spans="1:30" x14ac:dyDescent="0.35">
      <c r="A4453" s="7">
        <v>42931</v>
      </c>
      <c r="B4453" t="s">
        <v>30</v>
      </c>
      <c r="C4453">
        <v>111</v>
      </c>
      <c r="D4453">
        <v>7</v>
      </c>
      <c r="E4453">
        <v>2</v>
      </c>
      <c r="F4453" t="s">
        <v>315</v>
      </c>
      <c r="G4453" t="s">
        <v>32</v>
      </c>
      <c r="H4453" t="s">
        <v>33</v>
      </c>
      <c r="I4453" t="s">
        <v>43</v>
      </c>
      <c r="J4453" t="s">
        <v>44</v>
      </c>
      <c r="K4453" t="s">
        <v>36</v>
      </c>
      <c r="L4453" t="s">
        <v>45</v>
      </c>
      <c r="M4453">
        <v>0</v>
      </c>
      <c r="N4453">
        <v>0</v>
      </c>
      <c r="O4453">
        <v>39301</v>
      </c>
      <c r="P4453">
        <v>39302</v>
      </c>
      <c r="Q4453">
        <f>32.5-13.5</f>
        <v>19</v>
      </c>
      <c r="R4453" t="s">
        <v>79</v>
      </c>
      <c r="S4453" t="s">
        <v>39</v>
      </c>
      <c r="AB4453" t="s">
        <v>60</v>
      </c>
      <c r="AC4453" t="s">
        <v>87</v>
      </c>
    </row>
    <row r="4454" spans="1:30" x14ac:dyDescent="0.35">
      <c r="A4454" s="7">
        <v>42931</v>
      </c>
      <c r="B4454" t="s">
        <v>30</v>
      </c>
      <c r="C4454">
        <v>111</v>
      </c>
      <c r="D4454">
        <v>8</v>
      </c>
      <c r="E4454">
        <v>1</v>
      </c>
      <c r="F4454" t="s">
        <v>315</v>
      </c>
      <c r="G4454" t="s">
        <v>32</v>
      </c>
      <c r="H4454" t="s">
        <v>33</v>
      </c>
      <c r="I4454" t="s">
        <v>59</v>
      </c>
      <c r="AB4454" t="s">
        <v>60</v>
      </c>
      <c r="AC4454" t="s">
        <v>87</v>
      </c>
    </row>
    <row r="4455" spans="1:30" x14ac:dyDescent="0.35">
      <c r="A4455" s="7">
        <v>42931</v>
      </c>
      <c r="B4455" t="s">
        <v>30</v>
      </c>
      <c r="C4455">
        <v>111</v>
      </c>
      <c r="D4455">
        <v>8</v>
      </c>
      <c r="E4455">
        <v>2</v>
      </c>
      <c r="F4455" t="s">
        <v>315</v>
      </c>
      <c r="G4455" t="s">
        <v>32</v>
      </c>
      <c r="H4455" t="s">
        <v>33</v>
      </c>
      <c r="I4455" t="s">
        <v>43</v>
      </c>
      <c r="J4455" t="s">
        <v>44</v>
      </c>
      <c r="K4455" t="s">
        <v>36</v>
      </c>
      <c r="L4455" t="s">
        <v>37</v>
      </c>
      <c r="M4455">
        <v>0</v>
      </c>
      <c r="N4455">
        <v>0</v>
      </c>
      <c r="O4455">
        <v>39307</v>
      </c>
      <c r="P4455">
        <v>39308</v>
      </c>
      <c r="Q4455">
        <f>36-13</f>
        <v>23</v>
      </c>
      <c r="R4455" t="s">
        <v>38</v>
      </c>
      <c r="AB4455" t="s">
        <v>60</v>
      </c>
      <c r="AC4455" t="s">
        <v>87</v>
      </c>
    </row>
    <row r="4456" spans="1:30" x14ac:dyDescent="0.35">
      <c r="A4456" s="7">
        <v>42931</v>
      </c>
      <c r="B4456" t="s">
        <v>30</v>
      </c>
      <c r="C4456">
        <v>111</v>
      </c>
      <c r="D4456">
        <v>9</v>
      </c>
      <c r="E4456">
        <v>1</v>
      </c>
      <c r="F4456" t="s">
        <v>315</v>
      </c>
      <c r="G4456" t="s">
        <v>32</v>
      </c>
      <c r="H4456" t="s">
        <v>33</v>
      </c>
      <c r="I4456" t="s">
        <v>59</v>
      </c>
      <c r="AB4456" t="s">
        <v>60</v>
      </c>
      <c r="AC4456" t="s">
        <v>87</v>
      </c>
    </row>
    <row r="4457" spans="1:30" x14ac:dyDescent="0.35">
      <c r="A4457" s="7">
        <v>42931</v>
      </c>
      <c r="B4457" t="s">
        <v>30</v>
      </c>
      <c r="C4457">
        <v>111</v>
      </c>
      <c r="D4457">
        <v>9</v>
      </c>
      <c r="E4457">
        <v>2</v>
      </c>
      <c r="F4457" t="s">
        <v>315</v>
      </c>
      <c r="G4457" t="s">
        <v>32</v>
      </c>
      <c r="H4457" t="s">
        <v>33</v>
      </c>
      <c r="I4457" t="s">
        <v>59</v>
      </c>
      <c r="AB4457" t="s">
        <v>60</v>
      </c>
      <c r="AC4457" t="s">
        <v>87</v>
      </c>
    </row>
    <row r="4458" spans="1:30" x14ac:dyDescent="0.35">
      <c r="A4458" s="7">
        <v>42931</v>
      </c>
      <c r="B4458" t="s">
        <v>30</v>
      </c>
      <c r="C4458">
        <v>111</v>
      </c>
      <c r="D4458">
        <v>10</v>
      </c>
      <c r="E4458">
        <v>1</v>
      </c>
      <c r="F4458" t="s">
        <v>315</v>
      </c>
      <c r="G4458" t="s">
        <v>32</v>
      </c>
      <c r="H4458" t="s">
        <v>33</v>
      </c>
      <c r="I4458" t="s">
        <v>59</v>
      </c>
      <c r="AB4458" t="s">
        <v>60</v>
      </c>
      <c r="AC4458" t="s">
        <v>87</v>
      </c>
    </row>
    <row r="4459" spans="1:30" x14ac:dyDescent="0.35">
      <c r="A4459" s="7">
        <v>42931</v>
      </c>
      <c r="B4459" t="s">
        <v>30</v>
      </c>
      <c r="C4459">
        <v>111</v>
      </c>
      <c r="D4459">
        <v>10</v>
      </c>
      <c r="E4459">
        <v>2</v>
      </c>
      <c r="F4459" t="s">
        <v>315</v>
      </c>
      <c r="G4459" t="s">
        <v>32</v>
      </c>
      <c r="H4459" t="s">
        <v>33</v>
      </c>
      <c r="I4459" t="s">
        <v>43</v>
      </c>
      <c r="J4459" t="s">
        <v>44</v>
      </c>
      <c r="K4459" t="s">
        <v>36</v>
      </c>
      <c r="L4459" t="s">
        <v>37</v>
      </c>
      <c r="M4459">
        <v>0</v>
      </c>
      <c r="N4459">
        <v>0</v>
      </c>
      <c r="O4459">
        <v>2871</v>
      </c>
      <c r="P4459">
        <v>2870</v>
      </c>
      <c r="Q4459">
        <f>36-14</f>
        <v>22</v>
      </c>
      <c r="R4459" t="s">
        <v>38</v>
      </c>
      <c r="AB4459" t="s">
        <v>60</v>
      </c>
      <c r="AC4459" t="s">
        <v>87</v>
      </c>
    </row>
    <row r="4460" spans="1:30" x14ac:dyDescent="0.35">
      <c r="A4460" s="7">
        <v>42931</v>
      </c>
      <c r="B4460" t="s">
        <v>30</v>
      </c>
      <c r="C4460">
        <v>112</v>
      </c>
      <c r="D4460">
        <v>1</v>
      </c>
      <c r="E4460">
        <v>1</v>
      </c>
      <c r="F4460" t="s">
        <v>315</v>
      </c>
      <c r="G4460" t="s">
        <v>32</v>
      </c>
      <c r="H4460" t="s">
        <v>33</v>
      </c>
      <c r="I4460" t="s">
        <v>59</v>
      </c>
      <c r="AB4460" t="s">
        <v>60</v>
      </c>
      <c r="AC4460" t="s">
        <v>87</v>
      </c>
    </row>
    <row r="4461" spans="1:30" x14ac:dyDescent="0.35">
      <c r="A4461" s="7">
        <v>42931</v>
      </c>
      <c r="B4461" t="s">
        <v>30</v>
      </c>
      <c r="C4461">
        <v>112</v>
      </c>
      <c r="D4461">
        <v>1</v>
      </c>
      <c r="E4461">
        <v>2</v>
      </c>
      <c r="F4461" t="s">
        <v>315</v>
      </c>
      <c r="G4461" t="s">
        <v>32</v>
      </c>
      <c r="H4461" t="s">
        <v>33</v>
      </c>
      <c r="I4461" t="s">
        <v>34</v>
      </c>
      <c r="J4461" t="s">
        <v>35</v>
      </c>
      <c r="K4461" t="s">
        <v>36</v>
      </c>
      <c r="L4461" t="s">
        <v>37</v>
      </c>
      <c r="M4461">
        <v>0</v>
      </c>
      <c r="N4461">
        <v>1</v>
      </c>
      <c r="O4461">
        <v>39800</v>
      </c>
      <c r="Q4461">
        <f>154-61</f>
        <v>93</v>
      </c>
      <c r="R4461" t="s">
        <v>38</v>
      </c>
      <c r="AB4461" t="s">
        <v>60</v>
      </c>
      <c r="AC4461" t="s">
        <v>87</v>
      </c>
    </row>
    <row r="4462" spans="1:30" x14ac:dyDescent="0.35">
      <c r="A4462" s="7">
        <v>42931</v>
      </c>
      <c r="B4462" t="s">
        <v>30</v>
      </c>
      <c r="C4462">
        <v>112</v>
      </c>
      <c r="D4462">
        <v>2</v>
      </c>
      <c r="E4462">
        <v>1</v>
      </c>
      <c r="F4462" t="s">
        <v>315</v>
      </c>
      <c r="G4462" t="s">
        <v>32</v>
      </c>
      <c r="H4462" t="s">
        <v>33</v>
      </c>
      <c r="I4462" t="s">
        <v>59</v>
      </c>
      <c r="AB4462" t="s">
        <v>60</v>
      </c>
      <c r="AC4462" t="s">
        <v>87</v>
      </c>
    </row>
    <row r="4463" spans="1:30" x14ac:dyDescent="0.35">
      <c r="A4463" s="7">
        <v>42931</v>
      </c>
      <c r="B4463" t="s">
        <v>30</v>
      </c>
      <c r="C4463">
        <v>112</v>
      </c>
      <c r="D4463">
        <v>2</v>
      </c>
      <c r="E4463">
        <v>2</v>
      </c>
      <c r="F4463" t="s">
        <v>315</v>
      </c>
      <c r="G4463" t="s">
        <v>32</v>
      </c>
      <c r="H4463" t="s">
        <v>33</v>
      </c>
      <c r="I4463" t="s">
        <v>43</v>
      </c>
      <c r="J4463" t="s">
        <v>44</v>
      </c>
      <c r="K4463" t="s">
        <v>36</v>
      </c>
      <c r="L4463" t="s">
        <v>37</v>
      </c>
      <c r="M4463">
        <v>0</v>
      </c>
      <c r="N4463">
        <v>0</v>
      </c>
      <c r="O4463">
        <v>39000</v>
      </c>
      <c r="P4463">
        <v>38999</v>
      </c>
      <c r="Q4463">
        <f>37-14</f>
        <v>23</v>
      </c>
      <c r="R4463" t="s">
        <v>38</v>
      </c>
      <c r="AB4463" t="s">
        <v>60</v>
      </c>
      <c r="AC4463" t="s">
        <v>87</v>
      </c>
    </row>
    <row r="4464" spans="1:30" x14ac:dyDescent="0.35">
      <c r="A4464" s="7">
        <v>42931</v>
      </c>
      <c r="B4464" t="s">
        <v>30</v>
      </c>
      <c r="C4464">
        <v>112</v>
      </c>
      <c r="D4464">
        <v>3</v>
      </c>
      <c r="E4464">
        <v>1</v>
      </c>
      <c r="F4464" t="s">
        <v>315</v>
      </c>
      <c r="G4464" t="s">
        <v>32</v>
      </c>
      <c r="H4464" t="s">
        <v>33</v>
      </c>
      <c r="I4464" t="s">
        <v>59</v>
      </c>
      <c r="AB4464" t="s">
        <v>60</v>
      </c>
      <c r="AC4464" t="s">
        <v>87</v>
      </c>
    </row>
    <row r="4465" spans="1:30" x14ac:dyDescent="0.35">
      <c r="A4465" s="7">
        <v>42931</v>
      </c>
      <c r="B4465" t="s">
        <v>30</v>
      </c>
      <c r="C4465">
        <v>112</v>
      </c>
      <c r="D4465">
        <v>4</v>
      </c>
      <c r="E4465">
        <v>1</v>
      </c>
      <c r="F4465" t="s">
        <v>315</v>
      </c>
      <c r="G4465" t="s">
        <v>32</v>
      </c>
      <c r="H4465" t="s">
        <v>33</v>
      </c>
      <c r="I4465" t="s">
        <v>59</v>
      </c>
      <c r="AB4465" t="s">
        <v>60</v>
      </c>
      <c r="AC4465" t="s">
        <v>87</v>
      </c>
    </row>
    <row r="4466" spans="1:30" x14ac:dyDescent="0.35">
      <c r="A4466" s="7">
        <v>42931</v>
      </c>
      <c r="B4466" t="s">
        <v>30</v>
      </c>
      <c r="C4466">
        <v>112</v>
      </c>
      <c r="D4466">
        <v>4</v>
      </c>
      <c r="E4466">
        <v>2</v>
      </c>
      <c r="F4466" t="s">
        <v>315</v>
      </c>
      <c r="G4466" t="s">
        <v>32</v>
      </c>
      <c r="H4466" t="s">
        <v>33</v>
      </c>
      <c r="I4466" t="s">
        <v>59</v>
      </c>
      <c r="AB4466" t="s">
        <v>60</v>
      </c>
      <c r="AC4466" t="s">
        <v>87</v>
      </c>
    </row>
    <row r="4467" spans="1:30" x14ac:dyDescent="0.35">
      <c r="A4467" s="7">
        <v>42931</v>
      </c>
      <c r="B4467" t="s">
        <v>30</v>
      </c>
      <c r="C4467">
        <v>112</v>
      </c>
      <c r="D4467">
        <v>5</v>
      </c>
      <c r="E4467">
        <v>1</v>
      </c>
      <c r="F4467" t="s">
        <v>315</v>
      </c>
      <c r="G4467" t="s">
        <v>32</v>
      </c>
      <c r="H4467" t="s">
        <v>33</v>
      </c>
      <c r="I4467" t="s">
        <v>59</v>
      </c>
      <c r="AB4467" t="s">
        <v>60</v>
      </c>
      <c r="AC4467" t="s">
        <v>87</v>
      </c>
    </row>
    <row r="4468" spans="1:30" x14ac:dyDescent="0.35">
      <c r="A4468" s="7">
        <v>42931</v>
      </c>
      <c r="B4468" t="s">
        <v>30</v>
      </c>
      <c r="C4468">
        <v>112</v>
      </c>
      <c r="D4468">
        <v>5</v>
      </c>
      <c r="E4468">
        <v>2</v>
      </c>
      <c r="F4468" t="s">
        <v>315</v>
      </c>
      <c r="G4468" t="s">
        <v>32</v>
      </c>
      <c r="H4468" t="s">
        <v>33</v>
      </c>
      <c r="I4468" t="s">
        <v>59</v>
      </c>
      <c r="AB4468" t="s">
        <v>60</v>
      </c>
      <c r="AC4468" t="s">
        <v>87</v>
      </c>
    </row>
    <row r="4469" spans="1:30" x14ac:dyDescent="0.35">
      <c r="A4469" s="7">
        <v>42931</v>
      </c>
      <c r="B4469" t="s">
        <v>30</v>
      </c>
      <c r="C4469">
        <v>112</v>
      </c>
      <c r="D4469">
        <v>6</v>
      </c>
      <c r="E4469">
        <v>1</v>
      </c>
      <c r="F4469" t="s">
        <v>315</v>
      </c>
      <c r="G4469" t="s">
        <v>32</v>
      </c>
      <c r="H4469" t="s">
        <v>33</v>
      </c>
      <c r="I4469" t="s">
        <v>94</v>
      </c>
      <c r="J4469" t="s">
        <v>44</v>
      </c>
      <c r="K4469" t="s">
        <v>36</v>
      </c>
      <c r="L4469" t="s">
        <v>45</v>
      </c>
      <c r="M4469">
        <v>0</v>
      </c>
      <c r="N4469">
        <v>0</v>
      </c>
      <c r="O4469">
        <v>11951</v>
      </c>
      <c r="Q4469">
        <f>40.5-13</f>
        <v>27.5</v>
      </c>
      <c r="R4469" t="s">
        <v>1028</v>
      </c>
      <c r="S4469" t="s">
        <v>102</v>
      </c>
      <c r="AB4469" t="s">
        <v>60</v>
      </c>
      <c r="AC4469" t="s">
        <v>87</v>
      </c>
    </row>
    <row r="4470" spans="1:30" x14ac:dyDescent="0.35">
      <c r="A4470" s="7">
        <v>42931</v>
      </c>
      <c r="B4470" t="s">
        <v>30</v>
      </c>
      <c r="C4470">
        <v>112</v>
      </c>
      <c r="D4470">
        <v>7</v>
      </c>
      <c r="E4470">
        <v>1</v>
      </c>
      <c r="F4470" t="s">
        <v>315</v>
      </c>
      <c r="G4470" t="s">
        <v>32</v>
      </c>
      <c r="H4470" t="s">
        <v>33</v>
      </c>
      <c r="I4470" t="s">
        <v>72</v>
      </c>
      <c r="J4470" t="s">
        <v>56</v>
      </c>
      <c r="AB4470" t="s">
        <v>60</v>
      </c>
      <c r="AC4470" t="s">
        <v>87</v>
      </c>
    </row>
    <row r="4471" spans="1:30" x14ac:dyDescent="0.35">
      <c r="A4471" s="7">
        <v>42931</v>
      </c>
      <c r="B4471" t="s">
        <v>30</v>
      </c>
      <c r="C4471">
        <v>112</v>
      </c>
      <c r="D4471">
        <v>8</v>
      </c>
      <c r="E4471">
        <v>1</v>
      </c>
      <c r="F4471" t="s">
        <v>315</v>
      </c>
      <c r="G4471" t="s">
        <v>32</v>
      </c>
      <c r="H4471" t="s">
        <v>33</v>
      </c>
      <c r="I4471" t="s">
        <v>59</v>
      </c>
      <c r="AB4471" t="s">
        <v>60</v>
      </c>
      <c r="AC4471" t="s">
        <v>87</v>
      </c>
    </row>
    <row r="4472" spans="1:30" x14ac:dyDescent="0.35">
      <c r="A4472" s="7">
        <v>42931</v>
      </c>
      <c r="B4472" t="s">
        <v>30</v>
      </c>
      <c r="C4472">
        <v>112</v>
      </c>
      <c r="D4472">
        <v>8</v>
      </c>
      <c r="E4472">
        <v>2</v>
      </c>
      <c r="F4472" t="s">
        <v>315</v>
      </c>
      <c r="G4472" t="s">
        <v>32</v>
      </c>
      <c r="H4472" t="s">
        <v>33</v>
      </c>
      <c r="I4472" t="s">
        <v>94</v>
      </c>
      <c r="J4472" t="s">
        <v>35</v>
      </c>
      <c r="K4472" t="s">
        <v>36</v>
      </c>
      <c r="L4472" t="s">
        <v>45</v>
      </c>
      <c r="M4472">
        <v>0</v>
      </c>
      <c r="N4472">
        <v>1</v>
      </c>
      <c r="O4472">
        <v>39476</v>
      </c>
      <c r="Q4472">
        <f>40.5-13</f>
        <v>27.5</v>
      </c>
      <c r="R4472" t="s">
        <v>1028</v>
      </c>
      <c r="S4472" t="s">
        <v>102</v>
      </c>
      <c r="AB4472" t="s">
        <v>60</v>
      </c>
      <c r="AC4472" t="s">
        <v>87</v>
      </c>
    </row>
    <row r="4473" spans="1:30" x14ac:dyDescent="0.35">
      <c r="A4473" s="7">
        <v>42931</v>
      </c>
      <c r="B4473" t="s">
        <v>30</v>
      </c>
      <c r="C4473">
        <v>112</v>
      </c>
      <c r="D4473">
        <v>9</v>
      </c>
      <c r="E4473">
        <v>1</v>
      </c>
      <c r="F4473" t="s">
        <v>315</v>
      </c>
      <c r="G4473" t="s">
        <v>32</v>
      </c>
      <c r="H4473" t="s">
        <v>33</v>
      </c>
      <c r="I4473" t="s">
        <v>59</v>
      </c>
      <c r="AB4473" t="s">
        <v>60</v>
      </c>
      <c r="AC4473" t="s">
        <v>87</v>
      </c>
    </row>
    <row r="4474" spans="1:30" x14ac:dyDescent="0.35">
      <c r="A4474" s="7">
        <v>42931</v>
      </c>
      <c r="B4474" t="s">
        <v>30</v>
      </c>
      <c r="C4474">
        <v>112</v>
      </c>
      <c r="D4474">
        <v>10</v>
      </c>
      <c r="E4474">
        <v>1</v>
      </c>
      <c r="F4474" t="s">
        <v>315</v>
      </c>
      <c r="G4474" t="s">
        <v>32</v>
      </c>
      <c r="H4474" t="s">
        <v>33</v>
      </c>
      <c r="I4474" t="s">
        <v>59</v>
      </c>
      <c r="AB4474" t="s">
        <v>60</v>
      </c>
      <c r="AC4474" t="s">
        <v>87</v>
      </c>
    </row>
    <row r="4475" spans="1:30" x14ac:dyDescent="0.35">
      <c r="A4475" s="7">
        <v>42931</v>
      </c>
      <c r="B4475" t="s">
        <v>30</v>
      </c>
      <c r="C4475">
        <v>112</v>
      </c>
      <c r="D4475">
        <v>10</v>
      </c>
      <c r="E4475">
        <v>2</v>
      </c>
      <c r="F4475" t="s">
        <v>315</v>
      </c>
      <c r="G4475" t="s">
        <v>32</v>
      </c>
      <c r="H4475" t="s">
        <v>33</v>
      </c>
      <c r="I4475" t="s">
        <v>43</v>
      </c>
      <c r="J4475" t="s">
        <v>44</v>
      </c>
      <c r="K4475" t="s">
        <v>36</v>
      </c>
      <c r="L4475" t="s">
        <v>37</v>
      </c>
      <c r="M4475">
        <v>0</v>
      </c>
      <c r="N4475">
        <v>0</v>
      </c>
      <c r="O4475">
        <v>38907</v>
      </c>
      <c r="P4475">
        <v>38908</v>
      </c>
      <c r="Q4475">
        <f>47-21</f>
        <v>26</v>
      </c>
      <c r="R4475" t="s">
        <v>38</v>
      </c>
      <c r="AB4475" t="s">
        <v>60</v>
      </c>
      <c r="AC4475" t="s">
        <v>87</v>
      </c>
    </row>
    <row r="4476" spans="1:30" x14ac:dyDescent="0.35">
      <c r="A4476" s="7">
        <v>42931</v>
      </c>
      <c r="B4476" t="s">
        <v>30</v>
      </c>
      <c r="C4476">
        <v>113</v>
      </c>
      <c r="D4476">
        <v>1</v>
      </c>
      <c r="E4476">
        <v>1</v>
      </c>
      <c r="F4476" t="s">
        <v>315</v>
      </c>
      <c r="G4476" t="s">
        <v>32</v>
      </c>
      <c r="H4476" t="s">
        <v>33</v>
      </c>
      <c r="I4476" t="s">
        <v>59</v>
      </c>
      <c r="AB4476" t="s">
        <v>60</v>
      </c>
      <c r="AC4476" t="s">
        <v>87</v>
      </c>
    </row>
    <row r="4477" spans="1:30" x14ac:dyDescent="0.35">
      <c r="A4477" s="7">
        <v>42931</v>
      </c>
      <c r="B4477" t="s">
        <v>30</v>
      </c>
      <c r="C4477">
        <v>113</v>
      </c>
      <c r="D4477">
        <v>4</v>
      </c>
      <c r="E4477">
        <v>1</v>
      </c>
      <c r="F4477" t="s">
        <v>315</v>
      </c>
      <c r="G4477" t="s">
        <v>32</v>
      </c>
      <c r="H4477" t="s">
        <v>33</v>
      </c>
      <c r="I4477" t="s">
        <v>94</v>
      </c>
      <c r="J4477" t="s">
        <v>139</v>
      </c>
      <c r="AB4477" t="s">
        <v>60</v>
      </c>
      <c r="AC4477" t="s">
        <v>87</v>
      </c>
      <c r="AD4477" t="s">
        <v>1040</v>
      </c>
    </row>
    <row r="4478" spans="1:30" x14ac:dyDescent="0.35">
      <c r="A4478" s="7">
        <v>42931</v>
      </c>
      <c r="B4478" t="s">
        <v>30</v>
      </c>
      <c r="C4478">
        <v>113</v>
      </c>
      <c r="D4478">
        <v>5</v>
      </c>
      <c r="E4478">
        <v>1</v>
      </c>
      <c r="F4478" t="s">
        <v>315</v>
      </c>
      <c r="G4478" t="s">
        <v>32</v>
      </c>
      <c r="H4478" t="s">
        <v>33</v>
      </c>
      <c r="I4478" t="s">
        <v>94</v>
      </c>
      <c r="J4478" t="s">
        <v>44</v>
      </c>
      <c r="K4478" t="s">
        <v>36</v>
      </c>
      <c r="L4478" t="s">
        <v>37</v>
      </c>
      <c r="M4478">
        <v>0</v>
      </c>
      <c r="N4478">
        <v>0</v>
      </c>
      <c r="O4478">
        <v>39793</v>
      </c>
      <c r="Q4478">
        <f>34-14</f>
        <v>20</v>
      </c>
      <c r="R4478" t="s">
        <v>38</v>
      </c>
      <c r="AB4478" t="s">
        <v>60</v>
      </c>
      <c r="AC4478" t="s">
        <v>87</v>
      </c>
    </row>
    <row r="4479" spans="1:30" x14ac:dyDescent="0.35">
      <c r="A4479" s="7">
        <v>42931</v>
      </c>
      <c r="B4479" t="s">
        <v>30</v>
      </c>
      <c r="C4479">
        <v>113</v>
      </c>
      <c r="D4479">
        <v>5</v>
      </c>
      <c r="E4479">
        <v>2</v>
      </c>
      <c r="F4479" t="s">
        <v>315</v>
      </c>
      <c r="G4479" t="s">
        <v>32</v>
      </c>
      <c r="H4479" t="s">
        <v>33</v>
      </c>
      <c r="I4479" t="s">
        <v>59</v>
      </c>
      <c r="AB4479" t="s">
        <v>60</v>
      </c>
      <c r="AC4479" t="s">
        <v>87</v>
      </c>
    </row>
    <row r="4480" spans="1:30" x14ac:dyDescent="0.35">
      <c r="A4480" s="7">
        <v>42931</v>
      </c>
      <c r="B4480" t="s">
        <v>30</v>
      </c>
      <c r="C4480">
        <v>113</v>
      </c>
      <c r="D4480">
        <v>6</v>
      </c>
      <c r="E4480">
        <v>1</v>
      </c>
      <c r="F4480" t="s">
        <v>315</v>
      </c>
      <c r="G4480" t="s">
        <v>32</v>
      </c>
      <c r="H4480" t="s">
        <v>33</v>
      </c>
      <c r="I4480" t="s">
        <v>59</v>
      </c>
      <c r="AB4480" t="s">
        <v>60</v>
      </c>
      <c r="AC4480" t="s">
        <v>87</v>
      </c>
    </row>
    <row r="4481" spans="1:29" x14ac:dyDescent="0.35">
      <c r="A4481" s="7">
        <v>42931</v>
      </c>
      <c r="B4481" t="s">
        <v>30</v>
      </c>
      <c r="C4481">
        <v>113</v>
      </c>
      <c r="D4481">
        <v>8</v>
      </c>
      <c r="E4481">
        <v>1</v>
      </c>
      <c r="F4481" t="s">
        <v>315</v>
      </c>
      <c r="G4481" t="s">
        <v>32</v>
      </c>
      <c r="H4481" t="s">
        <v>33</v>
      </c>
      <c r="I4481" t="s">
        <v>59</v>
      </c>
      <c r="AB4481" t="s">
        <v>60</v>
      </c>
      <c r="AC4481" t="s">
        <v>87</v>
      </c>
    </row>
    <row r="4482" spans="1:29" x14ac:dyDescent="0.35">
      <c r="A4482" s="7">
        <v>42931</v>
      </c>
      <c r="B4482" t="s">
        <v>30</v>
      </c>
      <c r="C4482">
        <v>201</v>
      </c>
      <c r="D4482">
        <v>2</v>
      </c>
      <c r="E4482">
        <v>1</v>
      </c>
      <c r="F4482" t="s">
        <v>1020</v>
      </c>
      <c r="G4482" t="s">
        <v>32</v>
      </c>
      <c r="H4482" t="s">
        <v>33</v>
      </c>
      <c r="I4482" t="s">
        <v>43</v>
      </c>
      <c r="J4482" t="s">
        <v>44</v>
      </c>
      <c r="K4482" t="s">
        <v>113</v>
      </c>
      <c r="L4482" t="s">
        <v>45</v>
      </c>
      <c r="M4482">
        <v>0</v>
      </c>
      <c r="N4482">
        <v>0</v>
      </c>
      <c r="O4482">
        <v>39326</v>
      </c>
      <c r="P4482">
        <v>39327</v>
      </c>
      <c r="Q4482">
        <f>33-14</f>
        <v>19</v>
      </c>
      <c r="R4482" t="s">
        <v>46</v>
      </c>
      <c r="S4482" t="s">
        <v>39</v>
      </c>
      <c r="AB4482" t="s">
        <v>47</v>
      </c>
      <c r="AC4482" t="s">
        <v>87</v>
      </c>
    </row>
    <row r="4483" spans="1:29" x14ac:dyDescent="0.35">
      <c r="A4483" s="7">
        <v>42931</v>
      </c>
      <c r="B4483" t="s">
        <v>30</v>
      </c>
      <c r="C4483">
        <v>201</v>
      </c>
      <c r="D4483">
        <v>3</v>
      </c>
      <c r="E4483">
        <v>1</v>
      </c>
      <c r="F4483" t="s">
        <v>1020</v>
      </c>
      <c r="G4483" t="s">
        <v>32</v>
      </c>
      <c r="H4483" t="s">
        <v>33</v>
      </c>
      <c r="I4483" t="s">
        <v>59</v>
      </c>
      <c r="AB4483" t="s">
        <v>47</v>
      </c>
      <c r="AC4483" t="s">
        <v>87</v>
      </c>
    </row>
    <row r="4484" spans="1:29" x14ac:dyDescent="0.35">
      <c r="A4484" s="7">
        <v>42931</v>
      </c>
      <c r="B4484" t="s">
        <v>30</v>
      </c>
      <c r="C4484">
        <v>201</v>
      </c>
      <c r="D4484">
        <v>3</v>
      </c>
      <c r="E4484">
        <v>2</v>
      </c>
      <c r="F4484" t="s">
        <v>1020</v>
      </c>
      <c r="G4484" t="s">
        <v>32</v>
      </c>
      <c r="H4484" t="s">
        <v>33</v>
      </c>
      <c r="I4484" t="s">
        <v>59</v>
      </c>
      <c r="AB4484" t="s">
        <v>47</v>
      </c>
      <c r="AC4484" t="s">
        <v>87</v>
      </c>
    </row>
    <row r="4485" spans="1:29" x14ac:dyDescent="0.35">
      <c r="A4485" s="7">
        <v>42931</v>
      </c>
      <c r="B4485" t="s">
        <v>30</v>
      </c>
      <c r="C4485">
        <v>201</v>
      </c>
      <c r="D4485">
        <v>4</v>
      </c>
      <c r="E4485">
        <v>1</v>
      </c>
      <c r="F4485" t="s">
        <v>1020</v>
      </c>
      <c r="G4485" t="s">
        <v>32</v>
      </c>
      <c r="H4485" t="s">
        <v>33</v>
      </c>
      <c r="I4485" t="s">
        <v>43</v>
      </c>
      <c r="J4485" t="s">
        <v>44</v>
      </c>
      <c r="K4485" t="s">
        <v>36</v>
      </c>
      <c r="L4485" t="s">
        <v>37</v>
      </c>
      <c r="M4485">
        <v>0</v>
      </c>
      <c r="N4485">
        <v>0</v>
      </c>
      <c r="O4485">
        <v>38927</v>
      </c>
      <c r="P4485">
        <v>38926</v>
      </c>
      <c r="Q4485">
        <f>32-14</f>
        <v>18</v>
      </c>
      <c r="R4485" t="s">
        <v>38</v>
      </c>
      <c r="AB4485" t="s">
        <v>47</v>
      </c>
      <c r="AC4485" t="s">
        <v>87</v>
      </c>
    </row>
    <row r="4486" spans="1:29" x14ac:dyDescent="0.35">
      <c r="A4486" s="7">
        <v>42931</v>
      </c>
      <c r="B4486" t="s">
        <v>30</v>
      </c>
      <c r="C4486">
        <v>201</v>
      </c>
      <c r="D4486">
        <v>4</v>
      </c>
      <c r="E4486">
        <v>2</v>
      </c>
      <c r="F4486" t="s">
        <v>1020</v>
      </c>
      <c r="G4486" t="s">
        <v>32</v>
      </c>
      <c r="H4486" t="s">
        <v>33</v>
      </c>
      <c r="I4486" t="s">
        <v>59</v>
      </c>
      <c r="AB4486" t="s">
        <v>47</v>
      </c>
      <c r="AC4486" t="s">
        <v>87</v>
      </c>
    </row>
    <row r="4487" spans="1:29" x14ac:dyDescent="0.35">
      <c r="A4487" s="7">
        <v>42931</v>
      </c>
      <c r="B4487" t="s">
        <v>30</v>
      </c>
      <c r="C4487">
        <v>201</v>
      </c>
      <c r="D4487">
        <v>5</v>
      </c>
      <c r="E4487">
        <v>1</v>
      </c>
      <c r="F4487" t="s">
        <v>1020</v>
      </c>
      <c r="G4487" t="s">
        <v>32</v>
      </c>
      <c r="H4487" t="s">
        <v>33</v>
      </c>
      <c r="I4487" t="s">
        <v>59</v>
      </c>
      <c r="AB4487" t="s">
        <v>47</v>
      </c>
      <c r="AC4487" t="s">
        <v>87</v>
      </c>
    </row>
    <row r="4488" spans="1:29" x14ac:dyDescent="0.35">
      <c r="A4488" s="7">
        <v>42931</v>
      </c>
      <c r="B4488" t="s">
        <v>30</v>
      </c>
      <c r="C4488">
        <v>201</v>
      </c>
      <c r="D4488">
        <v>6</v>
      </c>
      <c r="E4488">
        <v>1</v>
      </c>
      <c r="F4488" t="s">
        <v>1020</v>
      </c>
      <c r="G4488" t="s">
        <v>32</v>
      </c>
      <c r="H4488" t="s">
        <v>33</v>
      </c>
      <c r="I4488" t="s">
        <v>59</v>
      </c>
      <c r="AB4488" t="s">
        <v>47</v>
      </c>
      <c r="AC4488" t="s">
        <v>87</v>
      </c>
    </row>
    <row r="4489" spans="1:29" x14ac:dyDescent="0.35">
      <c r="A4489" s="7">
        <v>42931</v>
      </c>
      <c r="B4489" t="s">
        <v>30</v>
      </c>
      <c r="C4489">
        <v>201</v>
      </c>
      <c r="D4489">
        <v>7</v>
      </c>
      <c r="E4489">
        <v>1</v>
      </c>
      <c r="F4489" t="s">
        <v>1020</v>
      </c>
      <c r="G4489" t="s">
        <v>32</v>
      </c>
      <c r="H4489" t="s">
        <v>33</v>
      </c>
      <c r="I4489" t="s">
        <v>43</v>
      </c>
      <c r="J4489" t="s">
        <v>44</v>
      </c>
      <c r="K4489" t="s">
        <v>88</v>
      </c>
      <c r="L4489" t="s">
        <v>45</v>
      </c>
      <c r="M4489">
        <v>0</v>
      </c>
      <c r="N4489">
        <v>0</v>
      </c>
      <c r="O4489">
        <v>38930</v>
      </c>
      <c r="P4489">
        <v>38929</v>
      </c>
      <c r="Q4489">
        <f>27-15</f>
        <v>12</v>
      </c>
      <c r="R4489" t="s">
        <v>46</v>
      </c>
      <c r="S4489" t="s">
        <v>39</v>
      </c>
      <c r="AB4489" t="s">
        <v>47</v>
      </c>
      <c r="AC4489" t="s">
        <v>87</v>
      </c>
    </row>
    <row r="4490" spans="1:29" x14ac:dyDescent="0.35">
      <c r="A4490" s="7">
        <v>42931</v>
      </c>
      <c r="B4490" t="s">
        <v>30</v>
      </c>
      <c r="C4490">
        <v>201</v>
      </c>
      <c r="D4490">
        <v>7</v>
      </c>
      <c r="E4490">
        <v>2</v>
      </c>
      <c r="F4490" t="s">
        <v>1020</v>
      </c>
      <c r="G4490" t="s">
        <v>32</v>
      </c>
      <c r="H4490" t="s">
        <v>33</v>
      </c>
      <c r="I4490" t="s">
        <v>43</v>
      </c>
      <c r="J4490" t="s">
        <v>44</v>
      </c>
      <c r="K4490" t="s">
        <v>36</v>
      </c>
      <c r="L4490" t="s">
        <v>45</v>
      </c>
      <c r="M4490">
        <v>0</v>
      </c>
      <c r="N4490">
        <v>0</v>
      </c>
      <c r="O4490">
        <v>38975</v>
      </c>
      <c r="P4490">
        <v>38974</v>
      </c>
      <c r="Q4490">
        <f>36-15</f>
        <v>21</v>
      </c>
      <c r="R4490" t="s">
        <v>1021</v>
      </c>
      <c r="S4490" t="s">
        <v>102</v>
      </c>
      <c r="AB4490" t="s">
        <v>47</v>
      </c>
      <c r="AC4490" t="s">
        <v>87</v>
      </c>
    </row>
    <row r="4491" spans="1:29" x14ac:dyDescent="0.35">
      <c r="A4491" s="7">
        <v>42931</v>
      </c>
      <c r="B4491" t="s">
        <v>30</v>
      </c>
      <c r="C4491">
        <v>201</v>
      </c>
      <c r="D4491">
        <v>8</v>
      </c>
      <c r="E4491">
        <v>1</v>
      </c>
      <c r="F4491" t="s">
        <v>1020</v>
      </c>
      <c r="G4491" t="s">
        <v>32</v>
      </c>
      <c r="H4491" t="s">
        <v>33</v>
      </c>
      <c r="I4491" t="s">
        <v>59</v>
      </c>
      <c r="AB4491" t="s">
        <v>47</v>
      </c>
      <c r="AC4491" t="s">
        <v>87</v>
      </c>
    </row>
    <row r="4492" spans="1:29" x14ac:dyDescent="0.35">
      <c r="A4492" s="7">
        <v>42931</v>
      </c>
      <c r="B4492" t="s">
        <v>30</v>
      </c>
      <c r="C4492">
        <v>201</v>
      </c>
      <c r="D4492">
        <v>8</v>
      </c>
      <c r="E4492">
        <v>2</v>
      </c>
      <c r="F4492" t="s">
        <v>1020</v>
      </c>
      <c r="G4492" t="s">
        <v>32</v>
      </c>
      <c r="H4492" t="s">
        <v>33</v>
      </c>
      <c r="I4492" t="s">
        <v>43</v>
      </c>
      <c r="J4492" t="s">
        <v>35</v>
      </c>
      <c r="K4492" t="s">
        <v>113</v>
      </c>
      <c r="L4492" t="s">
        <v>37</v>
      </c>
      <c r="M4492">
        <v>0</v>
      </c>
      <c r="N4492">
        <v>1</v>
      </c>
      <c r="O4492">
        <v>39340</v>
      </c>
      <c r="P4492">
        <v>39341</v>
      </c>
      <c r="Q4492">
        <f>33-14</f>
        <v>19</v>
      </c>
      <c r="R4492" t="s">
        <v>38</v>
      </c>
      <c r="AB4492" t="s">
        <v>47</v>
      </c>
      <c r="AC4492" t="s">
        <v>87</v>
      </c>
    </row>
    <row r="4493" spans="1:29" x14ac:dyDescent="0.35">
      <c r="A4493" s="7">
        <v>42931</v>
      </c>
      <c r="B4493" t="s">
        <v>30</v>
      </c>
      <c r="C4493">
        <v>201</v>
      </c>
      <c r="D4493">
        <v>9</v>
      </c>
      <c r="E4493">
        <v>1</v>
      </c>
      <c r="F4493" t="s">
        <v>1020</v>
      </c>
      <c r="G4493" t="s">
        <v>32</v>
      </c>
      <c r="H4493" t="s">
        <v>33</v>
      </c>
      <c r="I4493" t="s">
        <v>59</v>
      </c>
      <c r="AB4493" t="s">
        <v>47</v>
      </c>
      <c r="AC4493" t="s">
        <v>87</v>
      </c>
    </row>
    <row r="4494" spans="1:29" x14ac:dyDescent="0.35">
      <c r="A4494" s="7">
        <v>42931</v>
      </c>
      <c r="B4494" t="s">
        <v>30</v>
      </c>
      <c r="C4494">
        <v>201</v>
      </c>
      <c r="D4494">
        <v>9</v>
      </c>
      <c r="E4494">
        <v>2</v>
      </c>
      <c r="F4494" t="s">
        <v>1020</v>
      </c>
      <c r="G4494" t="s">
        <v>32</v>
      </c>
      <c r="H4494" t="s">
        <v>33</v>
      </c>
      <c r="I4494" t="s">
        <v>59</v>
      </c>
      <c r="AB4494" t="s">
        <v>47</v>
      </c>
      <c r="AC4494" t="s">
        <v>87</v>
      </c>
    </row>
    <row r="4495" spans="1:29" x14ac:dyDescent="0.35">
      <c r="A4495" s="7">
        <v>42931</v>
      </c>
      <c r="B4495" t="s">
        <v>30</v>
      </c>
      <c r="C4495">
        <v>201</v>
      </c>
      <c r="D4495">
        <v>10</v>
      </c>
      <c r="E4495">
        <v>1</v>
      </c>
      <c r="F4495" t="s">
        <v>1020</v>
      </c>
      <c r="G4495" t="s">
        <v>32</v>
      </c>
      <c r="H4495" t="s">
        <v>33</v>
      </c>
      <c r="I4495" t="s">
        <v>59</v>
      </c>
      <c r="AB4495" t="s">
        <v>47</v>
      </c>
      <c r="AC4495" t="s">
        <v>87</v>
      </c>
    </row>
    <row r="4496" spans="1:29" x14ac:dyDescent="0.35">
      <c r="A4496" s="7">
        <v>42931</v>
      </c>
      <c r="B4496" t="s">
        <v>30</v>
      </c>
      <c r="C4496">
        <v>201</v>
      </c>
      <c r="D4496">
        <v>10</v>
      </c>
      <c r="E4496">
        <v>2</v>
      </c>
      <c r="F4496" t="s">
        <v>1020</v>
      </c>
      <c r="G4496" t="s">
        <v>32</v>
      </c>
      <c r="H4496" t="s">
        <v>33</v>
      </c>
      <c r="I4496" t="s">
        <v>59</v>
      </c>
      <c r="AB4496" t="s">
        <v>47</v>
      </c>
      <c r="AC4496" t="s">
        <v>87</v>
      </c>
    </row>
    <row r="4497" spans="1:30" x14ac:dyDescent="0.35">
      <c r="A4497" s="7">
        <v>42931</v>
      </c>
      <c r="B4497" t="s">
        <v>30</v>
      </c>
      <c r="C4497">
        <v>202</v>
      </c>
      <c r="D4497">
        <v>1</v>
      </c>
      <c r="E4497">
        <v>1</v>
      </c>
      <c r="F4497" t="s">
        <v>1020</v>
      </c>
      <c r="G4497" t="s">
        <v>32</v>
      </c>
      <c r="H4497" t="s">
        <v>33</v>
      </c>
      <c r="I4497" t="s">
        <v>59</v>
      </c>
      <c r="AB4497" t="s">
        <v>47</v>
      </c>
      <c r="AC4497" t="s">
        <v>87</v>
      </c>
    </row>
    <row r="4498" spans="1:30" x14ac:dyDescent="0.35">
      <c r="A4498" s="7">
        <v>42931</v>
      </c>
      <c r="B4498" t="s">
        <v>30</v>
      </c>
      <c r="C4498">
        <v>202</v>
      </c>
      <c r="D4498">
        <v>1</v>
      </c>
      <c r="E4498">
        <v>2</v>
      </c>
      <c r="F4498" t="s">
        <v>1020</v>
      </c>
      <c r="G4498" t="s">
        <v>32</v>
      </c>
      <c r="H4498" t="s">
        <v>33</v>
      </c>
      <c r="I4498" t="s">
        <v>59</v>
      </c>
      <c r="AB4498" t="s">
        <v>47</v>
      </c>
      <c r="AC4498" t="s">
        <v>87</v>
      </c>
    </row>
    <row r="4499" spans="1:30" x14ac:dyDescent="0.35">
      <c r="A4499" s="7">
        <v>42931</v>
      </c>
      <c r="B4499" t="s">
        <v>30</v>
      </c>
      <c r="C4499">
        <v>202</v>
      </c>
      <c r="D4499">
        <v>2</v>
      </c>
      <c r="E4499">
        <v>1</v>
      </c>
      <c r="F4499" t="s">
        <v>1020</v>
      </c>
      <c r="G4499" t="s">
        <v>32</v>
      </c>
      <c r="H4499" t="s">
        <v>33</v>
      </c>
      <c r="I4499" t="s">
        <v>59</v>
      </c>
      <c r="AB4499" t="s">
        <v>47</v>
      </c>
      <c r="AC4499" t="s">
        <v>87</v>
      </c>
    </row>
    <row r="4500" spans="1:30" x14ac:dyDescent="0.35">
      <c r="A4500" s="7">
        <v>42931</v>
      </c>
      <c r="B4500" t="s">
        <v>30</v>
      </c>
      <c r="C4500">
        <v>202</v>
      </c>
      <c r="D4500">
        <v>2</v>
      </c>
      <c r="E4500">
        <v>2</v>
      </c>
      <c r="F4500" t="s">
        <v>1020</v>
      </c>
      <c r="G4500" t="s">
        <v>32</v>
      </c>
      <c r="H4500" t="s">
        <v>33</v>
      </c>
      <c r="I4500" t="s">
        <v>59</v>
      </c>
      <c r="AB4500" t="s">
        <v>47</v>
      </c>
      <c r="AC4500" t="s">
        <v>87</v>
      </c>
    </row>
    <row r="4501" spans="1:30" x14ac:dyDescent="0.35">
      <c r="A4501" s="7">
        <v>42931</v>
      </c>
      <c r="B4501" t="s">
        <v>30</v>
      </c>
      <c r="C4501">
        <v>202</v>
      </c>
      <c r="D4501">
        <v>3</v>
      </c>
      <c r="E4501">
        <v>1</v>
      </c>
      <c r="F4501" t="s">
        <v>1020</v>
      </c>
      <c r="G4501" t="s">
        <v>32</v>
      </c>
      <c r="H4501" t="s">
        <v>33</v>
      </c>
      <c r="I4501" t="s">
        <v>59</v>
      </c>
      <c r="AB4501" t="s">
        <v>47</v>
      </c>
      <c r="AC4501" t="s">
        <v>87</v>
      </c>
    </row>
    <row r="4502" spans="1:30" x14ac:dyDescent="0.35">
      <c r="A4502" s="7">
        <v>42931</v>
      </c>
      <c r="B4502" t="s">
        <v>30</v>
      </c>
      <c r="C4502">
        <v>202</v>
      </c>
      <c r="D4502">
        <v>3</v>
      </c>
      <c r="E4502">
        <v>2</v>
      </c>
      <c r="F4502" t="s">
        <v>1020</v>
      </c>
      <c r="G4502" t="s">
        <v>32</v>
      </c>
      <c r="H4502" t="s">
        <v>33</v>
      </c>
      <c r="I4502" t="s">
        <v>59</v>
      </c>
      <c r="AB4502" t="s">
        <v>47</v>
      </c>
      <c r="AC4502" t="s">
        <v>87</v>
      </c>
    </row>
    <row r="4503" spans="1:30" x14ac:dyDescent="0.35">
      <c r="A4503" s="7">
        <v>42931</v>
      </c>
      <c r="B4503" t="s">
        <v>30</v>
      </c>
      <c r="C4503">
        <v>202</v>
      </c>
      <c r="D4503">
        <v>4</v>
      </c>
      <c r="E4503">
        <v>1</v>
      </c>
      <c r="F4503" t="s">
        <v>1020</v>
      </c>
      <c r="G4503" t="s">
        <v>32</v>
      </c>
      <c r="H4503" t="s">
        <v>33</v>
      </c>
      <c r="I4503" t="s">
        <v>59</v>
      </c>
      <c r="AB4503" t="s">
        <v>47</v>
      </c>
      <c r="AC4503" t="s">
        <v>87</v>
      </c>
    </row>
    <row r="4504" spans="1:30" x14ac:dyDescent="0.35">
      <c r="A4504" s="7">
        <v>42931</v>
      </c>
      <c r="B4504" t="s">
        <v>30</v>
      </c>
      <c r="C4504">
        <v>202</v>
      </c>
      <c r="D4504">
        <v>4</v>
      </c>
      <c r="E4504">
        <v>2</v>
      </c>
      <c r="F4504" t="s">
        <v>1020</v>
      </c>
      <c r="G4504" t="s">
        <v>32</v>
      </c>
      <c r="H4504" t="s">
        <v>33</v>
      </c>
      <c r="I4504" t="s">
        <v>59</v>
      </c>
      <c r="AB4504" t="s">
        <v>47</v>
      </c>
      <c r="AC4504" t="s">
        <v>87</v>
      </c>
    </row>
    <row r="4505" spans="1:30" x14ac:dyDescent="0.35">
      <c r="A4505" s="7">
        <v>42931</v>
      </c>
      <c r="B4505" t="s">
        <v>30</v>
      </c>
      <c r="C4505">
        <v>202</v>
      </c>
      <c r="D4505">
        <v>5</v>
      </c>
      <c r="E4505">
        <v>1</v>
      </c>
      <c r="F4505" t="s">
        <v>1020</v>
      </c>
      <c r="G4505" t="s">
        <v>32</v>
      </c>
      <c r="H4505" t="s">
        <v>33</v>
      </c>
      <c r="I4505" t="s">
        <v>43</v>
      </c>
      <c r="J4505" t="s">
        <v>44</v>
      </c>
      <c r="K4505" t="s">
        <v>36</v>
      </c>
      <c r="L4505" t="s">
        <v>37</v>
      </c>
      <c r="M4505">
        <v>0</v>
      </c>
      <c r="N4505">
        <v>0</v>
      </c>
      <c r="O4505">
        <v>38964</v>
      </c>
      <c r="P4505">
        <v>38963</v>
      </c>
      <c r="Q4505">
        <f>37-14</f>
        <v>23</v>
      </c>
      <c r="R4505" t="s">
        <v>38</v>
      </c>
      <c r="AB4505" t="s">
        <v>47</v>
      </c>
      <c r="AC4505" t="s">
        <v>87</v>
      </c>
    </row>
    <row r="4506" spans="1:30" x14ac:dyDescent="0.35">
      <c r="A4506" s="7">
        <v>42931</v>
      </c>
      <c r="B4506" t="s">
        <v>30</v>
      </c>
      <c r="C4506">
        <v>202</v>
      </c>
      <c r="D4506">
        <v>5</v>
      </c>
      <c r="E4506">
        <v>2</v>
      </c>
      <c r="F4506" t="s">
        <v>1020</v>
      </c>
      <c r="G4506" t="s">
        <v>32</v>
      </c>
      <c r="H4506" t="s">
        <v>33</v>
      </c>
      <c r="I4506" t="s">
        <v>59</v>
      </c>
      <c r="AB4506" t="s">
        <v>47</v>
      </c>
      <c r="AC4506" t="s">
        <v>87</v>
      </c>
    </row>
    <row r="4507" spans="1:30" x14ac:dyDescent="0.35">
      <c r="A4507" s="7">
        <v>42931</v>
      </c>
      <c r="B4507" t="s">
        <v>30</v>
      </c>
      <c r="C4507">
        <v>202</v>
      </c>
      <c r="D4507">
        <v>6</v>
      </c>
      <c r="E4507">
        <v>1</v>
      </c>
      <c r="F4507" t="s">
        <v>1020</v>
      </c>
      <c r="G4507" t="s">
        <v>32</v>
      </c>
      <c r="H4507" t="s">
        <v>33</v>
      </c>
      <c r="I4507" t="s">
        <v>43</v>
      </c>
      <c r="J4507" t="s">
        <v>35</v>
      </c>
      <c r="K4507" t="s">
        <v>36</v>
      </c>
      <c r="L4507" t="s">
        <v>45</v>
      </c>
      <c r="M4507">
        <v>0</v>
      </c>
      <c r="N4507">
        <v>1</v>
      </c>
      <c r="O4507">
        <v>39337</v>
      </c>
      <c r="P4507">
        <v>39338</v>
      </c>
      <c r="Q4507">
        <f>36-14</f>
        <v>22</v>
      </c>
      <c r="R4507" t="s">
        <v>1021</v>
      </c>
      <c r="S4507" t="s">
        <v>102</v>
      </c>
      <c r="AB4507" t="s">
        <v>47</v>
      </c>
      <c r="AC4507" t="s">
        <v>87</v>
      </c>
    </row>
    <row r="4508" spans="1:30" x14ac:dyDescent="0.35">
      <c r="A4508" s="7">
        <v>42931</v>
      </c>
      <c r="B4508" t="s">
        <v>30</v>
      </c>
      <c r="C4508">
        <v>202</v>
      </c>
      <c r="D4508">
        <v>7</v>
      </c>
      <c r="E4508">
        <v>1</v>
      </c>
      <c r="F4508" t="s">
        <v>1020</v>
      </c>
      <c r="G4508" t="s">
        <v>32</v>
      </c>
      <c r="H4508" t="s">
        <v>33</v>
      </c>
      <c r="I4508" t="s">
        <v>43</v>
      </c>
      <c r="J4508" t="s">
        <v>44</v>
      </c>
      <c r="K4508" t="s">
        <v>88</v>
      </c>
      <c r="L4508" t="s">
        <v>45</v>
      </c>
      <c r="M4508">
        <v>0</v>
      </c>
      <c r="N4508">
        <v>0</v>
      </c>
      <c r="O4508">
        <v>39329</v>
      </c>
      <c r="P4508">
        <v>39339</v>
      </c>
      <c r="Q4508">
        <f>30-14</f>
        <v>16</v>
      </c>
      <c r="R4508" t="s">
        <v>46</v>
      </c>
      <c r="S4508" t="s">
        <v>39</v>
      </c>
      <c r="AB4508" t="s">
        <v>47</v>
      </c>
      <c r="AC4508" t="s">
        <v>87</v>
      </c>
      <c r="AD4508" t="s">
        <v>1041</v>
      </c>
    </row>
    <row r="4509" spans="1:30" x14ac:dyDescent="0.35">
      <c r="A4509" s="7">
        <v>42931</v>
      </c>
      <c r="B4509" t="s">
        <v>30</v>
      </c>
      <c r="C4509">
        <v>202</v>
      </c>
      <c r="D4509">
        <v>7</v>
      </c>
      <c r="E4509">
        <v>2</v>
      </c>
      <c r="F4509" t="s">
        <v>1020</v>
      </c>
      <c r="G4509" t="s">
        <v>32</v>
      </c>
      <c r="H4509" t="s">
        <v>33</v>
      </c>
      <c r="I4509" t="s">
        <v>59</v>
      </c>
      <c r="AB4509" t="s">
        <v>47</v>
      </c>
      <c r="AC4509" t="s">
        <v>87</v>
      </c>
    </row>
    <row r="4510" spans="1:30" x14ac:dyDescent="0.35">
      <c r="A4510" s="7">
        <v>42931</v>
      </c>
      <c r="B4510" t="s">
        <v>30</v>
      </c>
      <c r="C4510">
        <v>202</v>
      </c>
      <c r="D4510">
        <v>8</v>
      </c>
      <c r="E4510">
        <v>1</v>
      </c>
      <c r="F4510" t="s">
        <v>1020</v>
      </c>
      <c r="G4510" t="s">
        <v>32</v>
      </c>
      <c r="H4510" t="s">
        <v>33</v>
      </c>
      <c r="I4510" t="s">
        <v>59</v>
      </c>
      <c r="AB4510" t="s">
        <v>47</v>
      </c>
      <c r="AC4510" t="s">
        <v>87</v>
      </c>
    </row>
    <row r="4511" spans="1:30" x14ac:dyDescent="0.35">
      <c r="A4511" s="7">
        <v>42931</v>
      </c>
      <c r="B4511" t="s">
        <v>30</v>
      </c>
      <c r="C4511">
        <v>202</v>
      </c>
      <c r="D4511">
        <v>8</v>
      </c>
      <c r="E4511">
        <v>2</v>
      </c>
      <c r="F4511" t="s">
        <v>1020</v>
      </c>
      <c r="G4511" t="s">
        <v>32</v>
      </c>
      <c r="H4511" t="s">
        <v>33</v>
      </c>
      <c r="I4511" t="s">
        <v>59</v>
      </c>
      <c r="AB4511" t="s">
        <v>47</v>
      </c>
      <c r="AC4511" t="s">
        <v>87</v>
      </c>
    </row>
    <row r="4512" spans="1:30" x14ac:dyDescent="0.35">
      <c r="A4512" s="7">
        <v>42931</v>
      </c>
      <c r="B4512" t="s">
        <v>30</v>
      </c>
      <c r="C4512">
        <v>202</v>
      </c>
      <c r="D4512">
        <v>9</v>
      </c>
      <c r="E4512">
        <v>1</v>
      </c>
      <c r="F4512" t="s">
        <v>1020</v>
      </c>
      <c r="G4512" t="s">
        <v>32</v>
      </c>
      <c r="H4512" t="s">
        <v>33</v>
      </c>
      <c r="I4512" t="s">
        <v>59</v>
      </c>
      <c r="AB4512" t="s">
        <v>47</v>
      </c>
      <c r="AC4512" t="s">
        <v>87</v>
      </c>
    </row>
    <row r="4513" spans="1:29" x14ac:dyDescent="0.35">
      <c r="A4513" s="7">
        <v>42931</v>
      </c>
      <c r="B4513" t="s">
        <v>30</v>
      </c>
      <c r="C4513">
        <v>202</v>
      </c>
      <c r="D4513">
        <v>9</v>
      </c>
      <c r="E4513">
        <v>2</v>
      </c>
      <c r="F4513" t="s">
        <v>1020</v>
      </c>
      <c r="G4513" t="s">
        <v>32</v>
      </c>
      <c r="H4513" t="s">
        <v>33</v>
      </c>
      <c r="I4513" t="s">
        <v>43</v>
      </c>
      <c r="J4513" t="s">
        <v>44</v>
      </c>
      <c r="K4513" t="s">
        <v>113</v>
      </c>
      <c r="L4513" t="s">
        <v>37</v>
      </c>
      <c r="M4513">
        <v>0</v>
      </c>
      <c r="N4513">
        <v>0</v>
      </c>
      <c r="O4513">
        <v>38946</v>
      </c>
      <c r="P4513">
        <v>38945</v>
      </c>
      <c r="Q4513">
        <f>32-14</f>
        <v>18</v>
      </c>
      <c r="R4513" t="s">
        <v>38</v>
      </c>
      <c r="AB4513" t="s">
        <v>47</v>
      </c>
      <c r="AC4513" t="s">
        <v>87</v>
      </c>
    </row>
    <row r="4514" spans="1:29" x14ac:dyDescent="0.35">
      <c r="A4514" s="7">
        <v>42931</v>
      </c>
      <c r="B4514" t="s">
        <v>30</v>
      </c>
      <c r="C4514">
        <v>202</v>
      </c>
      <c r="D4514">
        <v>10</v>
      </c>
      <c r="E4514">
        <v>1</v>
      </c>
      <c r="F4514" t="s">
        <v>1020</v>
      </c>
      <c r="G4514" t="s">
        <v>32</v>
      </c>
      <c r="H4514" t="s">
        <v>33</v>
      </c>
      <c r="I4514" t="s">
        <v>59</v>
      </c>
      <c r="AB4514" t="s">
        <v>47</v>
      </c>
      <c r="AC4514" t="s">
        <v>87</v>
      </c>
    </row>
    <row r="4515" spans="1:29" x14ac:dyDescent="0.35">
      <c r="A4515" s="7">
        <v>42931</v>
      </c>
      <c r="B4515" t="s">
        <v>30</v>
      </c>
      <c r="C4515">
        <v>202</v>
      </c>
      <c r="D4515">
        <v>10</v>
      </c>
      <c r="E4515">
        <v>2</v>
      </c>
      <c r="F4515" t="s">
        <v>1020</v>
      </c>
      <c r="G4515" t="s">
        <v>32</v>
      </c>
      <c r="H4515" t="s">
        <v>33</v>
      </c>
      <c r="I4515" t="s">
        <v>59</v>
      </c>
      <c r="AB4515" t="s">
        <v>47</v>
      </c>
      <c r="AC4515" t="s">
        <v>87</v>
      </c>
    </row>
    <row r="4516" spans="1:29" x14ac:dyDescent="0.35">
      <c r="A4516" s="7">
        <v>42931</v>
      </c>
      <c r="B4516" t="s">
        <v>30</v>
      </c>
      <c r="C4516">
        <v>203</v>
      </c>
      <c r="D4516">
        <v>1</v>
      </c>
      <c r="E4516">
        <v>1</v>
      </c>
      <c r="F4516" t="s">
        <v>1020</v>
      </c>
      <c r="G4516" t="s">
        <v>32</v>
      </c>
      <c r="H4516" t="s">
        <v>33</v>
      </c>
      <c r="I4516" t="s">
        <v>59</v>
      </c>
      <c r="AB4516" t="s">
        <v>47</v>
      </c>
      <c r="AC4516" t="s">
        <v>87</v>
      </c>
    </row>
    <row r="4517" spans="1:29" x14ac:dyDescent="0.35">
      <c r="A4517" s="7">
        <v>42931</v>
      </c>
      <c r="B4517" t="s">
        <v>30</v>
      </c>
      <c r="C4517">
        <v>203</v>
      </c>
      <c r="D4517">
        <v>2</v>
      </c>
      <c r="E4517">
        <v>1</v>
      </c>
      <c r="F4517" t="s">
        <v>1020</v>
      </c>
      <c r="G4517" t="s">
        <v>32</v>
      </c>
      <c r="H4517" t="s">
        <v>33</v>
      </c>
      <c r="I4517" t="s">
        <v>43</v>
      </c>
      <c r="J4517" t="s">
        <v>139</v>
      </c>
      <c r="AB4517" t="s">
        <v>47</v>
      </c>
      <c r="AC4517" t="s">
        <v>87</v>
      </c>
    </row>
    <row r="4518" spans="1:29" x14ac:dyDescent="0.35">
      <c r="A4518" s="7">
        <v>42931</v>
      </c>
      <c r="B4518" t="s">
        <v>30</v>
      </c>
      <c r="C4518">
        <v>203</v>
      </c>
      <c r="D4518">
        <v>3</v>
      </c>
      <c r="E4518">
        <v>1</v>
      </c>
      <c r="F4518" t="s">
        <v>1020</v>
      </c>
      <c r="G4518" t="s">
        <v>32</v>
      </c>
      <c r="H4518" t="s">
        <v>33</v>
      </c>
      <c r="I4518" t="s">
        <v>84</v>
      </c>
      <c r="AB4518" t="s">
        <v>47</v>
      </c>
      <c r="AC4518" t="s">
        <v>87</v>
      </c>
    </row>
    <row r="4519" spans="1:29" x14ac:dyDescent="0.35">
      <c r="A4519" s="7">
        <v>42931</v>
      </c>
      <c r="B4519" t="s">
        <v>30</v>
      </c>
      <c r="C4519">
        <v>203</v>
      </c>
      <c r="D4519">
        <v>3</v>
      </c>
      <c r="E4519">
        <v>2</v>
      </c>
      <c r="F4519" t="s">
        <v>1020</v>
      </c>
      <c r="G4519" t="s">
        <v>32</v>
      </c>
      <c r="H4519" t="s">
        <v>33</v>
      </c>
      <c r="I4519" t="s">
        <v>59</v>
      </c>
      <c r="AB4519" t="s">
        <v>47</v>
      </c>
      <c r="AC4519" t="s">
        <v>87</v>
      </c>
    </row>
    <row r="4520" spans="1:29" x14ac:dyDescent="0.35">
      <c r="A4520" s="7">
        <v>42931</v>
      </c>
      <c r="B4520" t="s">
        <v>30</v>
      </c>
      <c r="C4520">
        <v>203</v>
      </c>
      <c r="D4520">
        <v>4</v>
      </c>
      <c r="E4520">
        <v>1</v>
      </c>
      <c r="F4520" t="s">
        <v>1020</v>
      </c>
      <c r="G4520" t="s">
        <v>32</v>
      </c>
      <c r="H4520" t="s">
        <v>33</v>
      </c>
      <c r="I4520" t="s">
        <v>59</v>
      </c>
      <c r="AB4520" t="s">
        <v>47</v>
      </c>
      <c r="AC4520" t="s">
        <v>87</v>
      </c>
    </row>
    <row r="4521" spans="1:29" x14ac:dyDescent="0.35">
      <c r="A4521" s="7">
        <v>42931</v>
      </c>
      <c r="B4521" t="s">
        <v>30</v>
      </c>
      <c r="C4521">
        <v>203</v>
      </c>
      <c r="D4521">
        <v>8</v>
      </c>
      <c r="E4521">
        <v>1</v>
      </c>
      <c r="F4521" t="s">
        <v>1020</v>
      </c>
      <c r="G4521" t="s">
        <v>32</v>
      </c>
      <c r="H4521" t="s">
        <v>33</v>
      </c>
      <c r="I4521" t="s">
        <v>59</v>
      </c>
      <c r="AB4521" t="s">
        <v>47</v>
      </c>
      <c r="AC4521" t="s">
        <v>87</v>
      </c>
    </row>
    <row r="4522" spans="1:29" x14ac:dyDescent="0.35">
      <c r="A4522" s="7">
        <v>42931</v>
      </c>
      <c r="B4522" t="s">
        <v>30</v>
      </c>
      <c r="C4522">
        <v>203</v>
      </c>
      <c r="D4522">
        <v>9</v>
      </c>
      <c r="E4522">
        <v>1</v>
      </c>
      <c r="F4522" t="s">
        <v>1020</v>
      </c>
      <c r="G4522" t="s">
        <v>32</v>
      </c>
      <c r="H4522" t="s">
        <v>33</v>
      </c>
      <c r="I4522" t="s">
        <v>59</v>
      </c>
      <c r="AB4522" t="s">
        <v>47</v>
      </c>
      <c r="AC4522" t="s">
        <v>87</v>
      </c>
    </row>
    <row r="4523" spans="1:29" x14ac:dyDescent="0.35">
      <c r="A4523" s="7">
        <v>42931</v>
      </c>
      <c r="B4523" t="s">
        <v>30</v>
      </c>
      <c r="C4523">
        <v>203</v>
      </c>
      <c r="D4523">
        <v>9</v>
      </c>
      <c r="E4523">
        <v>2</v>
      </c>
      <c r="F4523" t="s">
        <v>1020</v>
      </c>
      <c r="G4523" t="s">
        <v>32</v>
      </c>
      <c r="H4523" t="s">
        <v>33</v>
      </c>
      <c r="I4523" t="s">
        <v>59</v>
      </c>
      <c r="AB4523" t="s">
        <v>47</v>
      </c>
      <c r="AC4523" t="s">
        <v>87</v>
      </c>
    </row>
    <row r="4524" spans="1:29" x14ac:dyDescent="0.35">
      <c r="A4524" s="7">
        <v>42931</v>
      </c>
      <c r="B4524" t="s">
        <v>30</v>
      </c>
      <c r="C4524">
        <v>203</v>
      </c>
      <c r="D4524">
        <v>10</v>
      </c>
      <c r="E4524">
        <v>1</v>
      </c>
      <c r="F4524" t="s">
        <v>1020</v>
      </c>
      <c r="G4524" t="s">
        <v>32</v>
      </c>
      <c r="H4524" t="s">
        <v>33</v>
      </c>
      <c r="I4524" t="s">
        <v>59</v>
      </c>
      <c r="AB4524" t="s">
        <v>47</v>
      </c>
      <c r="AC4524" t="s">
        <v>87</v>
      </c>
    </row>
    <row r="4525" spans="1:29" x14ac:dyDescent="0.35">
      <c r="A4525" s="7">
        <v>42931</v>
      </c>
      <c r="B4525" t="s">
        <v>30</v>
      </c>
      <c r="C4525">
        <v>304</v>
      </c>
      <c r="D4525">
        <v>1</v>
      </c>
      <c r="E4525">
        <v>1</v>
      </c>
      <c r="F4525" t="s">
        <v>1020</v>
      </c>
      <c r="G4525" t="s">
        <v>32</v>
      </c>
      <c r="H4525" t="s">
        <v>33</v>
      </c>
      <c r="I4525" t="s">
        <v>59</v>
      </c>
      <c r="AB4525" t="s">
        <v>47</v>
      </c>
      <c r="AC4525" t="s">
        <v>87</v>
      </c>
    </row>
    <row r="4526" spans="1:29" x14ac:dyDescent="0.35">
      <c r="A4526" s="7">
        <v>42931</v>
      </c>
      <c r="B4526" t="s">
        <v>30</v>
      </c>
      <c r="C4526">
        <v>304</v>
      </c>
      <c r="D4526">
        <v>1</v>
      </c>
      <c r="E4526">
        <v>2</v>
      </c>
      <c r="F4526" t="s">
        <v>1020</v>
      </c>
      <c r="G4526" t="s">
        <v>32</v>
      </c>
      <c r="H4526" t="s">
        <v>33</v>
      </c>
      <c r="I4526" t="s">
        <v>59</v>
      </c>
      <c r="AB4526" t="s">
        <v>47</v>
      </c>
      <c r="AC4526" t="s">
        <v>87</v>
      </c>
    </row>
    <row r="4527" spans="1:29" x14ac:dyDescent="0.35">
      <c r="A4527" s="7">
        <v>42931</v>
      </c>
      <c r="B4527" t="s">
        <v>30</v>
      </c>
      <c r="C4527">
        <v>304</v>
      </c>
      <c r="D4527">
        <v>2</v>
      </c>
      <c r="E4527">
        <v>1</v>
      </c>
      <c r="F4527" t="s">
        <v>1020</v>
      </c>
      <c r="G4527" t="s">
        <v>32</v>
      </c>
      <c r="H4527" t="s">
        <v>33</v>
      </c>
      <c r="I4527" t="s">
        <v>59</v>
      </c>
      <c r="AB4527" t="s">
        <v>47</v>
      </c>
      <c r="AC4527" t="s">
        <v>87</v>
      </c>
    </row>
    <row r="4528" spans="1:29" x14ac:dyDescent="0.35">
      <c r="A4528" s="7">
        <v>42931</v>
      </c>
      <c r="B4528" t="s">
        <v>30</v>
      </c>
      <c r="C4528">
        <v>304</v>
      </c>
      <c r="D4528">
        <v>2</v>
      </c>
      <c r="E4528">
        <v>2</v>
      </c>
      <c r="F4528" t="s">
        <v>1020</v>
      </c>
      <c r="G4528" t="s">
        <v>32</v>
      </c>
      <c r="H4528" t="s">
        <v>33</v>
      </c>
      <c r="I4528" t="s">
        <v>59</v>
      </c>
      <c r="AB4528" t="s">
        <v>47</v>
      </c>
      <c r="AC4528" t="s">
        <v>87</v>
      </c>
    </row>
    <row r="4529" spans="1:29" x14ac:dyDescent="0.35">
      <c r="A4529" s="7">
        <v>42931</v>
      </c>
      <c r="B4529" t="s">
        <v>30</v>
      </c>
      <c r="C4529">
        <v>304</v>
      </c>
      <c r="D4529">
        <v>3</v>
      </c>
      <c r="E4529">
        <v>1</v>
      </c>
      <c r="F4529" t="s">
        <v>1020</v>
      </c>
      <c r="G4529" t="s">
        <v>32</v>
      </c>
      <c r="H4529" t="s">
        <v>33</v>
      </c>
      <c r="I4529" t="s">
        <v>1029</v>
      </c>
      <c r="J4529" t="s">
        <v>56</v>
      </c>
      <c r="AB4529" t="s">
        <v>47</v>
      </c>
      <c r="AC4529" t="s">
        <v>87</v>
      </c>
    </row>
    <row r="4530" spans="1:29" x14ac:dyDescent="0.35">
      <c r="A4530" s="7">
        <v>42931</v>
      </c>
      <c r="B4530" t="s">
        <v>30</v>
      </c>
      <c r="C4530">
        <v>304</v>
      </c>
      <c r="D4530">
        <v>3</v>
      </c>
      <c r="E4530">
        <v>2</v>
      </c>
      <c r="F4530" t="s">
        <v>1020</v>
      </c>
      <c r="G4530" t="s">
        <v>32</v>
      </c>
      <c r="H4530" t="s">
        <v>33</v>
      </c>
      <c r="I4530" t="s">
        <v>59</v>
      </c>
      <c r="AB4530" t="s">
        <v>47</v>
      </c>
      <c r="AC4530" t="s">
        <v>87</v>
      </c>
    </row>
    <row r="4531" spans="1:29" x14ac:dyDescent="0.35">
      <c r="A4531" s="7">
        <v>42931</v>
      </c>
      <c r="B4531" t="s">
        <v>30</v>
      </c>
      <c r="C4531">
        <v>304</v>
      </c>
      <c r="D4531">
        <v>4</v>
      </c>
      <c r="E4531">
        <v>1</v>
      </c>
      <c r="F4531" t="s">
        <v>1020</v>
      </c>
      <c r="G4531" t="s">
        <v>32</v>
      </c>
      <c r="H4531" t="s">
        <v>33</v>
      </c>
      <c r="I4531" t="s">
        <v>43</v>
      </c>
      <c r="J4531" t="s">
        <v>35</v>
      </c>
      <c r="K4531" t="s">
        <v>36</v>
      </c>
      <c r="L4531" t="s">
        <v>37</v>
      </c>
      <c r="M4531">
        <v>0</v>
      </c>
      <c r="N4531">
        <v>1</v>
      </c>
      <c r="O4531">
        <v>39331</v>
      </c>
      <c r="P4531">
        <v>39332</v>
      </c>
      <c r="Q4531">
        <f>34-13</f>
        <v>21</v>
      </c>
      <c r="R4531" t="s">
        <v>38</v>
      </c>
      <c r="AB4531" t="s">
        <v>47</v>
      </c>
      <c r="AC4531" t="s">
        <v>87</v>
      </c>
    </row>
    <row r="4532" spans="1:29" x14ac:dyDescent="0.35">
      <c r="A4532" s="7">
        <v>42931</v>
      </c>
      <c r="B4532" t="s">
        <v>30</v>
      </c>
      <c r="C4532">
        <v>304</v>
      </c>
      <c r="D4532">
        <v>4</v>
      </c>
      <c r="E4532">
        <v>2</v>
      </c>
      <c r="F4532" t="s">
        <v>1020</v>
      </c>
      <c r="G4532" t="s">
        <v>32</v>
      </c>
      <c r="H4532" t="s">
        <v>33</v>
      </c>
      <c r="I4532" t="s">
        <v>59</v>
      </c>
      <c r="AB4532" t="s">
        <v>47</v>
      </c>
      <c r="AC4532" t="s">
        <v>87</v>
      </c>
    </row>
    <row r="4533" spans="1:29" x14ac:dyDescent="0.35">
      <c r="A4533" s="7">
        <v>42931</v>
      </c>
      <c r="B4533" t="s">
        <v>30</v>
      </c>
      <c r="C4533">
        <v>304</v>
      </c>
      <c r="D4533">
        <v>5</v>
      </c>
      <c r="E4533">
        <v>1</v>
      </c>
      <c r="F4533" t="s">
        <v>1020</v>
      </c>
      <c r="G4533" t="s">
        <v>32</v>
      </c>
      <c r="H4533" t="s">
        <v>33</v>
      </c>
      <c r="I4533" t="s">
        <v>43</v>
      </c>
      <c r="J4533" t="s">
        <v>44</v>
      </c>
      <c r="K4533" t="s">
        <v>88</v>
      </c>
      <c r="L4533" t="s">
        <v>45</v>
      </c>
      <c r="M4533">
        <v>0</v>
      </c>
      <c r="N4533">
        <v>0</v>
      </c>
      <c r="O4533">
        <v>38957</v>
      </c>
      <c r="P4533">
        <v>38956</v>
      </c>
      <c r="Q4533">
        <f>30-14</f>
        <v>16</v>
      </c>
      <c r="R4533" t="s">
        <v>46</v>
      </c>
      <c r="S4533" t="s">
        <v>39</v>
      </c>
      <c r="AB4533" t="s">
        <v>47</v>
      </c>
      <c r="AC4533" t="s">
        <v>87</v>
      </c>
    </row>
    <row r="4534" spans="1:29" x14ac:dyDescent="0.35">
      <c r="A4534" s="7">
        <v>42931</v>
      </c>
      <c r="B4534" t="s">
        <v>30</v>
      </c>
      <c r="C4534">
        <v>304</v>
      </c>
      <c r="D4534">
        <v>5</v>
      </c>
      <c r="E4534">
        <v>2</v>
      </c>
      <c r="F4534" t="s">
        <v>1020</v>
      </c>
      <c r="G4534" t="s">
        <v>32</v>
      </c>
      <c r="H4534" t="s">
        <v>33</v>
      </c>
      <c r="I4534" t="s">
        <v>59</v>
      </c>
      <c r="AB4534" t="s">
        <v>47</v>
      </c>
      <c r="AC4534" t="s">
        <v>87</v>
      </c>
    </row>
    <row r="4535" spans="1:29" x14ac:dyDescent="0.35">
      <c r="A4535" s="7">
        <v>42931</v>
      </c>
      <c r="B4535" t="s">
        <v>30</v>
      </c>
      <c r="C4535">
        <v>304</v>
      </c>
      <c r="D4535">
        <v>6</v>
      </c>
      <c r="E4535">
        <v>1</v>
      </c>
      <c r="F4535" t="s">
        <v>1020</v>
      </c>
      <c r="G4535" t="s">
        <v>32</v>
      </c>
      <c r="H4535" t="s">
        <v>33</v>
      </c>
      <c r="I4535" t="s">
        <v>43</v>
      </c>
      <c r="J4535" t="s">
        <v>35</v>
      </c>
      <c r="K4535" t="s">
        <v>113</v>
      </c>
      <c r="L4535" t="s">
        <v>45</v>
      </c>
      <c r="M4535">
        <v>0</v>
      </c>
      <c r="N4535">
        <v>1</v>
      </c>
      <c r="O4535">
        <v>39333</v>
      </c>
      <c r="P4535">
        <v>39334</v>
      </c>
      <c r="Q4535">
        <f>33-13</f>
        <v>20</v>
      </c>
      <c r="R4535" t="s">
        <v>46</v>
      </c>
      <c r="S4535" t="s">
        <v>39</v>
      </c>
      <c r="AB4535" t="s">
        <v>47</v>
      </c>
      <c r="AC4535" t="s">
        <v>87</v>
      </c>
    </row>
    <row r="4536" spans="1:29" x14ac:dyDescent="0.35">
      <c r="A4536" s="7">
        <v>42931</v>
      </c>
      <c r="B4536" t="s">
        <v>30</v>
      </c>
      <c r="C4536">
        <v>304</v>
      </c>
      <c r="D4536">
        <v>6</v>
      </c>
      <c r="E4536">
        <v>2</v>
      </c>
      <c r="F4536" t="s">
        <v>1020</v>
      </c>
      <c r="G4536" t="s">
        <v>32</v>
      </c>
      <c r="H4536" t="s">
        <v>33</v>
      </c>
      <c r="I4536" t="s">
        <v>59</v>
      </c>
      <c r="AB4536" t="s">
        <v>47</v>
      </c>
      <c r="AC4536" t="s">
        <v>87</v>
      </c>
    </row>
    <row r="4537" spans="1:29" x14ac:dyDescent="0.35">
      <c r="A4537" s="7">
        <v>42931</v>
      </c>
      <c r="B4537" t="s">
        <v>30</v>
      </c>
      <c r="C4537">
        <v>304</v>
      </c>
      <c r="D4537">
        <v>7</v>
      </c>
      <c r="E4537">
        <v>1</v>
      </c>
      <c r="F4537" t="s">
        <v>1020</v>
      </c>
      <c r="G4537" t="s">
        <v>32</v>
      </c>
      <c r="H4537" t="s">
        <v>33</v>
      </c>
      <c r="I4537" t="s">
        <v>59</v>
      </c>
      <c r="AB4537" t="s">
        <v>47</v>
      </c>
      <c r="AC4537" t="s">
        <v>87</v>
      </c>
    </row>
    <row r="4538" spans="1:29" x14ac:dyDescent="0.35">
      <c r="A4538" s="7">
        <v>42931</v>
      </c>
      <c r="B4538" t="s">
        <v>30</v>
      </c>
      <c r="C4538">
        <v>304</v>
      </c>
      <c r="D4538">
        <v>7</v>
      </c>
      <c r="E4538">
        <v>2</v>
      </c>
      <c r="F4538" t="s">
        <v>1020</v>
      </c>
      <c r="G4538" t="s">
        <v>32</v>
      </c>
      <c r="H4538" t="s">
        <v>33</v>
      </c>
      <c r="I4538" t="s">
        <v>43</v>
      </c>
      <c r="J4538" t="s">
        <v>35</v>
      </c>
      <c r="K4538" t="s">
        <v>113</v>
      </c>
      <c r="L4538" t="s">
        <v>45</v>
      </c>
      <c r="M4538">
        <v>0</v>
      </c>
      <c r="N4538">
        <v>1</v>
      </c>
      <c r="O4538">
        <v>39335</v>
      </c>
      <c r="P4538">
        <v>39336</v>
      </c>
      <c r="Q4538">
        <f>33-15</f>
        <v>18</v>
      </c>
      <c r="R4538" t="s">
        <v>46</v>
      </c>
      <c r="S4538" t="s">
        <v>39</v>
      </c>
      <c r="AB4538" t="s">
        <v>47</v>
      </c>
      <c r="AC4538" t="s">
        <v>87</v>
      </c>
    </row>
    <row r="4539" spans="1:29" x14ac:dyDescent="0.35">
      <c r="A4539" s="7">
        <v>42931</v>
      </c>
      <c r="B4539" t="s">
        <v>30</v>
      </c>
      <c r="C4539">
        <v>304</v>
      </c>
      <c r="D4539">
        <v>8</v>
      </c>
      <c r="E4539">
        <v>1</v>
      </c>
      <c r="F4539" t="s">
        <v>1020</v>
      </c>
      <c r="G4539" t="s">
        <v>32</v>
      </c>
      <c r="H4539" t="s">
        <v>33</v>
      </c>
      <c r="I4539" t="s">
        <v>59</v>
      </c>
      <c r="AB4539" t="s">
        <v>47</v>
      </c>
      <c r="AC4539" t="s">
        <v>87</v>
      </c>
    </row>
    <row r="4540" spans="1:29" x14ac:dyDescent="0.35">
      <c r="A4540" s="7">
        <v>42931</v>
      </c>
      <c r="B4540" t="s">
        <v>30</v>
      </c>
      <c r="C4540">
        <v>304</v>
      </c>
      <c r="D4540">
        <v>8</v>
      </c>
      <c r="E4540">
        <v>2</v>
      </c>
      <c r="F4540" t="s">
        <v>1020</v>
      </c>
      <c r="G4540" t="s">
        <v>32</v>
      </c>
      <c r="H4540" t="s">
        <v>33</v>
      </c>
      <c r="I4540" t="s">
        <v>59</v>
      </c>
      <c r="AB4540" t="s">
        <v>47</v>
      </c>
      <c r="AC4540" t="s">
        <v>87</v>
      </c>
    </row>
    <row r="4541" spans="1:29" x14ac:dyDescent="0.35">
      <c r="A4541" s="7">
        <v>42931</v>
      </c>
      <c r="B4541" t="s">
        <v>30</v>
      </c>
      <c r="C4541">
        <v>304</v>
      </c>
      <c r="D4541">
        <v>9</v>
      </c>
      <c r="E4541">
        <v>1</v>
      </c>
      <c r="F4541" t="s">
        <v>1020</v>
      </c>
      <c r="G4541" t="s">
        <v>32</v>
      </c>
      <c r="H4541" t="s">
        <v>33</v>
      </c>
      <c r="I4541" t="s">
        <v>59</v>
      </c>
      <c r="AB4541" t="s">
        <v>47</v>
      </c>
      <c r="AC4541" t="s">
        <v>87</v>
      </c>
    </row>
    <row r="4542" spans="1:29" x14ac:dyDescent="0.35">
      <c r="A4542" s="7">
        <v>42931</v>
      </c>
      <c r="B4542" t="s">
        <v>30</v>
      </c>
      <c r="C4542">
        <v>304</v>
      </c>
      <c r="D4542">
        <v>9</v>
      </c>
      <c r="E4542">
        <v>2</v>
      </c>
      <c r="F4542" t="s">
        <v>1020</v>
      </c>
      <c r="G4542" t="s">
        <v>32</v>
      </c>
      <c r="H4542" t="s">
        <v>33</v>
      </c>
      <c r="I4542" t="s">
        <v>59</v>
      </c>
      <c r="AB4542" t="s">
        <v>47</v>
      </c>
      <c r="AC4542" t="s">
        <v>87</v>
      </c>
    </row>
    <row r="4543" spans="1:29" x14ac:dyDescent="0.35">
      <c r="A4543" s="7">
        <v>42931</v>
      </c>
      <c r="B4543" t="s">
        <v>30</v>
      </c>
      <c r="C4543">
        <v>304</v>
      </c>
      <c r="D4543">
        <v>10</v>
      </c>
      <c r="E4543">
        <v>1</v>
      </c>
      <c r="F4543" t="s">
        <v>1020</v>
      </c>
      <c r="G4543" t="s">
        <v>32</v>
      </c>
      <c r="H4543" t="s">
        <v>33</v>
      </c>
      <c r="I4543" t="s">
        <v>59</v>
      </c>
      <c r="AB4543" t="s">
        <v>47</v>
      </c>
      <c r="AC4543" t="s">
        <v>87</v>
      </c>
    </row>
    <row r="4544" spans="1:29" x14ac:dyDescent="0.35">
      <c r="A4544" s="7">
        <v>42931</v>
      </c>
      <c r="B4544" t="s">
        <v>30</v>
      </c>
      <c r="C4544">
        <v>304</v>
      </c>
      <c r="D4544">
        <v>10</v>
      </c>
      <c r="E4544">
        <v>2</v>
      </c>
      <c r="F4544" t="s">
        <v>1020</v>
      </c>
      <c r="G4544" t="s">
        <v>32</v>
      </c>
      <c r="H4544" t="s">
        <v>33</v>
      </c>
      <c r="I4544" t="s">
        <v>59</v>
      </c>
      <c r="AB4544" t="s">
        <v>47</v>
      </c>
      <c r="AC4544" t="s">
        <v>87</v>
      </c>
    </row>
    <row r="4545" spans="1:29" x14ac:dyDescent="0.35">
      <c r="A4545" s="7">
        <v>42931</v>
      </c>
      <c r="B4545" t="s">
        <v>30</v>
      </c>
      <c r="C4545">
        <v>402</v>
      </c>
      <c r="D4545">
        <v>1</v>
      </c>
      <c r="E4545">
        <v>1</v>
      </c>
      <c r="F4545" t="s">
        <v>315</v>
      </c>
      <c r="G4545" t="s">
        <v>32</v>
      </c>
      <c r="H4545" t="s">
        <v>33</v>
      </c>
      <c r="I4545" t="s">
        <v>59</v>
      </c>
      <c r="AB4545" t="s">
        <v>60</v>
      </c>
      <c r="AC4545" t="s">
        <v>87</v>
      </c>
    </row>
    <row r="4546" spans="1:29" x14ac:dyDescent="0.35">
      <c r="A4546" s="7">
        <v>42931</v>
      </c>
      <c r="B4546" t="s">
        <v>30</v>
      </c>
      <c r="C4546">
        <v>402</v>
      </c>
      <c r="D4546">
        <v>2</v>
      </c>
      <c r="E4546">
        <v>1</v>
      </c>
      <c r="F4546" t="s">
        <v>315</v>
      </c>
      <c r="G4546" t="s">
        <v>32</v>
      </c>
      <c r="H4546" t="s">
        <v>33</v>
      </c>
      <c r="I4546" t="s">
        <v>43</v>
      </c>
      <c r="J4546" t="s">
        <v>44</v>
      </c>
      <c r="K4546" t="s">
        <v>113</v>
      </c>
      <c r="L4546" t="s">
        <v>37</v>
      </c>
      <c r="M4546">
        <v>0</v>
      </c>
      <c r="N4546">
        <v>0</v>
      </c>
      <c r="O4546">
        <v>39795</v>
      </c>
      <c r="P4546">
        <v>39794</v>
      </c>
      <c r="Q4546">
        <f>30-14</f>
        <v>16</v>
      </c>
      <c r="R4546" t="s">
        <v>38</v>
      </c>
      <c r="Z4546" t="s">
        <v>102</v>
      </c>
      <c r="AB4546" t="s">
        <v>60</v>
      </c>
      <c r="AC4546" t="s">
        <v>87</v>
      </c>
    </row>
    <row r="4547" spans="1:29" x14ac:dyDescent="0.35">
      <c r="A4547" s="7">
        <v>42931</v>
      </c>
      <c r="B4547" t="s">
        <v>30</v>
      </c>
      <c r="C4547">
        <v>402</v>
      </c>
      <c r="D4547">
        <v>3</v>
      </c>
      <c r="E4547">
        <v>1</v>
      </c>
      <c r="F4547" t="s">
        <v>315</v>
      </c>
      <c r="G4547" t="s">
        <v>32</v>
      </c>
      <c r="H4547" t="s">
        <v>33</v>
      </c>
      <c r="I4547" t="s">
        <v>59</v>
      </c>
      <c r="AB4547" t="s">
        <v>60</v>
      </c>
      <c r="AC4547" t="s">
        <v>87</v>
      </c>
    </row>
    <row r="4548" spans="1:29" x14ac:dyDescent="0.35">
      <c r="A4548" s="7">
        <v>42931</v>
      </c>
      <c r="B4548" t="s">
        <v>30</v>
      </c>
      <c r="C4548">
        <v>402</v>
      </c>
      <c r="D4548">
        <v>3</v>
      </c>
      <c r="E4548">
        <v>2</v>
      </c>
      <c r="F4548" t="s">
        <v>315</v>
      </c>
      <c r="G4548" t="s">
        <v>32</v>
      </c>
      <c r="H4548" t="s">
        <v>33</v>
      </c>
      <c r="I4548" t="s">
        <v>59</v>
      </c>
      <c r="AB4548" t="s">
        <v>60</v>
      </c>
      <c r="AC4548" t="s">
        <v>87</v>
      </c>
    </row>
    <row r="4549" spans="1:29" x14ac:dyDescent="0.35">
      <c r="A4549" s="7">
        <v>42931</v>
      </c>
      <c r="B4549" t="s">
        <v>30</v>
      </c>
      <c r="C4549">
        <v>402</v>
      </c>
      <c r="D4549">
        <v>4</v>
      </c>
      <c r="E4549">
        <v>1</v>
      </c>
      <c r="F4549" t="s">
        <v>315</v>
      </c>
      <c r="G4549" t="s">
        <v>32</v>
      </c>
      <c r="H4549" t="s">
        <v>33</v>
      </c>
      <c r="I4549" t="s">
        <v>59</v>
      </c>
      <c r="AB4549" t="s">
        <v>60</v>
      </c>
      <c r="AC4549" t="s">
        <v>87</v>
      </c>
    </row>
    <row r="4550" spans="1:29" x14ac:dyDescent="0.35">
      <c r="A4550" s="7">
        <v>42931</v>
      </c>
      <c r="B4550" t="s">
        <v>30</v>
      </c>
      <c r="C4550">
        <v>402</v>
      </c>
      <c r="D4550">
        <v>5</v>
      </c>
      <c r="E4550">
        <v>1</v>
      </c>
      <c r="F4550" t="s">
        <v>315</v>
      </c>
      <c r="G4550" t="s">
        <v>32</v>
      </c>
      <c r="H4550" t="s">
        <v>33</v>
      </c>
      <c r="I4550" t="s">
        <v>59</v>
      </c>
      <c r="AB4550" t="s">
        <v>60</v>
      </c>
      <c r="AC4550" t="s">
        <v>87</v>
      </c>
    </row>
    <row r="4551" spans="1:29" x14ac:dyDescent="0.35">
      <c r="A4551" s="7">
        <v>42931</v>
      </c>
      <c r="B4551" t="s">
        <v>30</v>
      </c>
      <c r="C4551">
        <v>402</v>
      </c>
      <c r="D4551">
        <v>5</v>
      </c>
      <c r="E4551">
        <v>2</v>
      </c>
      <c r="F4551" t="s">
        <v>315</v>
      </c>
      <c r="G4551" t="s">
        <v>32</v>
      </c>
      <c r="H4551" t="s">
        <v>33</v>
      </c>
      <c r="I4551" t="s">
        <v>43</v>
      </c>
      <c r="J4551" t="s">
        <v>44</v>
      </c>
      <c r="K4551" t="s">
        <v>113</v>
      </c>
      <c r="L4551" t="s">
        <v>37</v>
      </c>
      <c r="M4551">
        <v>0</v>
      </c>
      <c r="N4551">
        <v>0</v>
      </c>
      <c r="O4551">
        <v>38912</v>
      </c>
      <c r="P4551">
        <v>38913</v>
      </c>
      <c r="Q4551">
        <f>30-14</f>
        <v>16</v>
      </c>
      <c r="R4551" t="s">
        <v>38</v>
      </c>
      <c r="Z4551" t="s">
        <v>102</v>
      </c>
      <c r="AB4551" t="s">
        <v>60</v>
      </c>
      <c r="AC4551" t="s">
        <v>87</v>
      </c>
    </row>
    <row r="4552" spans="1:29" x14ac:dyDescent="0.35">
      <c r="A4552" s="7">
        <v>42931</v>
      </c>
      <c r="B4552" t="s">
        <v>30</v>
      </c>
      <c r="C4552">
        <v>402</v>
      </c>
      <c r="D4552">
        <v>6</v>
      </c>
      <c r="E4552">
        <v>1</v>
      </c>
      <c r="F4552" t="s">
        <v>315</v>
      </c>
      <c r="G4552" t="s">
        <v>32</v>
      </c>
      <c r="H4552" t="s">
        <v>33</v>
      </c>
      <c r="I4552" t="s">
        <v>43</v>
      </c>
      <c r="J4552" t="s">
        <v>35</v>
      </c>
      <c r="K4552" t="s">
        <v>113</v>
      </c>
      <c r="L4552" t="s">
        <v>45</v>
      </c>
      <c r="M4552">
        <v>0</v>
      </c>
      <c r="N4552">
        <v>1</v>
      </c>
      <c r="O4552">
        <v>39478</v>
      </c>
      <c r="P4552">
        <v>39477</v>
      </c>
      <c r="Q4552">
        <f>28-13.5</f>
        <v>14.5</v>
      </c>
      <c r="R4552" t="s">
        <v>79</v>
      </c>
      <c r="S4552" t="s">
        <v>39</v>
      </c>
      <c r="AB4552" t="s">
        <v>60</v>
      </c>
      <c r="AC4552" t="s">
        <v>87</v>
      </c>
    </row>
    <row r="4553" spans="1:29" x14ac:dyDescent="0.35">
      <c r="A4553" s="7">
        <v>42931</v>
      </c>
      <c r="B4553" t="s">
        <v>30</v>
      </c>
      <c r="C4553">
        <v>402</v>
      </c>
      <c r="D4553">
        <v>6</v>
      </c>
      <c r="E4553">
        <v>2</v>
      </c>
      <c r="F4553" t="s">
        <v>315</v>
      </c>
      <c r="G4553" t="s">
        <v>32</v>
      </c>
      <c r="H4553" t="s">
        <v>33</v>
      </c>
      <c r="I4553" t="s">
        <v>59</v>
      </c>
      <c r="AB4553" t="s">
        <v>60</v>
      </c>
      <c r="AC4553" t="s">
        <v>87</v>
      </c>
    </row>
    <row r="4554" spans="1:29" x14ac:dyDescent="0.35">
      <c r="A4554" s="7">
        <v>42931</v>
      </c>
      <c r="B4554" t="s">
        <v>30</v>
      </c>
      <c r="C4554">
        <v>402</v>
      </c>
      <c r="D4554">
        <v>7</v>
      </c>
      <c r="E4554">
        <v>1</v>
      </c>
      <c r="F4554" t="s">
        <v>315</v>
      </c>
      <c r="G4554" t="s">
        <v>32</v>
      </c>
      <c r="H4554" t="s">
        <v>33</v>
      </c>
      <c r="I4554" t="s">
        <v>58</v>
      </c>
      <c r="J4554" t="s">
        <v>44</v>
      </c>
      <c r="K4554" t="s">
        <v>36</v>
      </c>
      <c r="L4554" t="s">
        <v>45</v>
      </c>
      <c r="M4554">
        <v>0</v>
      </c>
      <c r="N4554">
        <v>0</v>
      </c>
      <c r="O4554">
        <v>15772</v>
      </c>
      <c r="Q4554">
        <f>43.5-14.5</f>
        <v>29</v>
      </c>
      <c r="R4554" t="s">
        <v>79</v>
      </c>
      <c r="S4554" t="s">
        <v>39</v>
      </c>
      <c r="Z4554" t="s">
        <v>102</v>
      </c>
      <c r="AB4554" t="s">
        <v>60</v>
      </c>
      <c r="AC4554" t="s">
        <v>87</v>
      </c>
    </row>
    <row r="4555" spans="1:29" x14ac:dyDescent="0.35">
      <c r="A4555" s="7">
        <v>42931</v>
      </c>
      <c r="B4555" t="s">
        <v>30</v>
      </c>
      <c r="C4555">
        <v>402</v>
      </c>
      <c r="D4555">
        <v>7</v>
      </c>
      <c r="E4555">
        <v>2</v>
      </c>
      <c r="F4555" t="s">
        <v>315</v>
      </c>
      <c r="G4555" t="s">
        <v>32</v>
      </c>
      <c r="H4555" t="s">
        <v>33</v>
      </c>
      <c r="I4555" t="s">
        <v>43</v>
      </c>
      <c r="J4555" t="s">
        <v>35</v>
      </c>
      <c r="K4555" t="s">
        <v>113</v>
      </c>
      <c r="L4555" t="s">
        <v>37</v>
      </c>
      <c r="M4555">
        <v>0</v>
      </c>
      <c r="N4555">
        <v>1</v>
      </c>
      <c r="O4555">
        <v>39480</v>
      </c>
      <c r="P4555">
        <v>39479</v>
      </c>
      <c r="Q4555">
        <f>28-14</f>
        <v>14</v>
      </c>
      <c r="R4555" t="s">
        <v>38</v>
      </c>
      <c r="AB4555" t="s">
        <v>60</v>
      </c>
      <c r="AC4555" t="s">
        <v>87</v>
      </c>
    </row>
    <row r="4556" spans="1:29" x14ac:dyDescent="0.35">
      <c r="A4556" s="7">
        <v>42931</v>
      </c>
      <c r="B4556" t="s">
        <v>30</v>
      </c>
      <c r="C4556">
        <v>402</v>
      </c>
      <c r="D4556">
        <v>8</v>
      </c>
      <c r="E4556">
        <v>1</v>
      </c>
      <c r="F4556" t="s">
        <v>315</v>
      </c>
      <c r="G4556" t="s">
        <v>32</v>
      </c>
      <c r="H4556" t="s">
        <v>33</v>
      </c>
      <c r="I4556" t="s">
        <v>58</v>
      </c>
      <c r="J4556" t="s">
        <v>44</v>
      </c>
      <c r="K4556" t="s">
        <v>36</v>
      </c>
      <c r="L4556" t="s">
        <v>37</v>
      </c>
      <c r="M4556">
        <v>0</v>
      </c>
      <c r="N4556">
        <v>0</v>
      </c>
      <c r="O4556">
        <v>39796</v>
      </c>
      <c r="Q4556">
        <f>38.5-15</f>
        <v>23.5</v>
      </c>
      <c r="R4556" t="s">
        <v>38</v>
      </c>
      <c r="Z4556" t="s">
        <v>102</v>
      </c>
      <c r="AB4556" t="s">
        <v>60</v>
      </c>
      <c r="AC4556" t="s">
        <v>87</v>
      </c>
    </row>
    <row r="4557" spans="1:29" x14ac:dyDescent="0.35">
      <c r="A4557" s="7">
        <v>42931</v>
      </c>
      <c r="B4557" t="s">
        <v>30</v>
      </c>
      <c r="C4557">
        <v>402</v>
      </c>
      <c r="D4557">
        <v>9</v>
      </c>
      <c r="E4557">
        <v>1</v>
      </c>
      <c r="F4557" t="s">
        <v>315</v>
      </c>
      <c r="G4557" t="s">
        <v>32</v>
      </c>
      <c r="H4557" t="s">
        <v>33</v>
      </c>
      <c r="I4557" t="s">
        <v>59</v>
      </c>
      <c r="AB4557" t="s">
        <v>60</v>
      </c>
      <c r="AC4557" t="s">
        <v>87</v>
      </c>
    </row>
    <row r="4558" spans="1:29" x14ac:dyDescent="0.35">
      <c r="A4558" s="7">
        <v>42931</v>
      </c>
      <c r="B4558" t="s">
        <v>30</v>
      </c>
      <c r="C4558">
        <v>402</v>
      </c>
      <c r="D4558">
        <v>9</v>
      </c>
      <c r="E4558">
        <v>2</v>
      </c>
      <c r="F4558" t="s">
        <v>315</v>
      </c>
      <c r="G4558" t="s">
        <v>32</v>
      </c>
      <c r="H4558" t="s">
        <v>33</v>
      </c>
      <c r="I4558" t="s">
        <v>59</v>
      </c>
      <c r="AB4558" t="s">
        <v>60</v>
      </c>
      <c r="AC4558" t="s">
        <v>87</v>
      </c>
    </row>
    <row r="4559" spans="1:29" x14ac:dyDescent="0.35">
      <c r="A4559" s="7">
        <v>42931</v>
      </c>
      <c r="B4559" t="s">
        <v>30</v>
      </c>
      <c r="C4559">
        <v>402</v>
      </c>
      <c r="D4559">
        <v>10</v>
      </c>
      <c r="E4559">
        <v>1</v>
      </c>
      <c r="F4559" t="s">
        <v>315</v>
      </c>
      <c r="G4559" t="s">
        <v>32</v>
      </c>
      <c r="H4559" t="s">
        <v>33</v>
      </c>
      <c r="I4559" t="s">
        <v>59</v>
      </c>
      <c r="AB4559" t="s">
        <v>60</v>
      </c>
      <c r="AC4559" t="s">
        <v>87</v>
      </c>
    </row>
    <row r="4560" spans="1:29" x14ac:dyDescent="0.35">
      <c r="A4560" s="7">
        <v>42931</v>
      </c>
      <c r="B4560" t="s">
        <v>30</v>
      </c>
      <c r="C4560">
        <v>402</v>
      </c>
      <c r="D4560">
        <v>10</v>
      </c>
      <c r="E4560">
        <v>2</v>
      </c>
      <c r="F4560" t="s">
        <v>315</v>
      </c>
      <c r="G4560" t="s">
        <v>32</v>
      </c>
      <c r="H4560" t="s">
        <v>33</v>
      </c>
      <c r="I4560" t="s">
        <v>43</v>
      </c>
      <c r="J4560" t="s">
        <v>35</v>
      </c>
      <c r="K4560" t="s">
        <v>113</v>
      </c>
      <c r="L4560" t="s">
        <v>37</v>
      </c>
      <c r="M4560">
        <v>0</v>
      </c>
      <c r="N4560">
        <v>1</v>
      </c>
      <c r="O4560">
        <v>39482</v>
      </c>
      <c r="P4560">
        <v>39483</v>
      </c>
      <c r="Q4560">
        <f>31-15</f>
        <v>16</v>
      </c>
      <c r="R4560" t="s">
        <v>38</v>
      </c>
      <c r="AB4560" t="s">
        <v>60</v>
      </c>
      <c r="AC4560" t="s">
        <v>87</v>
      </c>
    </row>
    <row r="4561" spans="1:29" x14ac:dyDescent="0.35">
      <c r="A4561" s="7">
        <v>42932</v>
      </c>
      <c r="B4561" t="s">
        <v>30</v>
      </c>
      <c r="C4561">
        <v>111</v>
      </c>
      <c r="D4561">
        <v>1</v>
      </c>
      <c r="E4561">
        <v>1</v>
      </c>
      <c r="F4561" t="s">
        <v>315</v>
      </c>
      <c r="G4561" t="s">
        <v>32</v>
      </c>
      <c r="H4561" t="s">
        <v>33</v>
      </c>
      <c r="I4561" t="s">
        <v>59</v>
      </c>
      <c r="AB4561" t="s">
        <v>60</v>
      </c>
      <c r="AC4561" t="s">
        <v>87</v>
      </c>
    </row>
    <row r="4562" spans="1:29" x14ac:dyDescent="0.35">
      <c r="A4562" s="7">
        <v>42932</v>
      </c>
      <c r="B4562" t="s">
        <v>30</v>
      </c>
      <c r="C4562">
        <v>111</v>
      </c>
      <c r="D4562">
        <v>1</v>
      </c>
      <c r="E4562">
        <v>2</v>
      </c>
      <c r="F4562" t="s">
        <v>315</v>
      </c>
      <c r="G4562" t="s">
        <v>32</v>
      </c>
      <c r="H4562" t="s">
        <v>33</v>
      </c>
      <c r="I4562" t="s">
        <v>43</v>
      </c>
      <c r="J4562" t="s">
        <v>44</v>
      </c>
      <c r="K4562" t="s">
        <v>36</v>
      </c>
      <c r="L4562" t="s">
        <v>45</v>
      </c>
      <c r="M4562">
        <v>0</v>
      </c>
      <c r="N4562">
        <v>0</v>
      </c>
      <c r="O4562">
        <v>39309</v>
      </c>
      <c r="P4562">
        <v>39310</v>
      </c>
      <c r="Q4562">
        <f>30.5-13</f>
        <v>17.5</v>
      </c>
      <c r="R4562" t="s">
        <v>1042</v>
      </c>
      <c r="S4562" t="s">
        <v>102</v>
      </c>
      <c r="AB4562" t="s">
        <v>60</v>
      </c>
      <c r="AC4562" t="s">
        <v>87</v>
      </c>
    </row>
    <row r="4563" spans="1:29" x14ac:dyDescent="0.35">
      <c r="A4563" s="7">
        <v>42932</v>
      </c>
      <c r="B4563" t="s">
        <v>30</v>
      </c>
      <c r="C4563">
        <v>111</v>
      </c>
      <c r="D4563">
        <v>2</v>
      </c>
      <c r="E4563">
        <v>1</v>
      </c>
      <c r="F4563" t="s">
        <v>315</v>
      </c>
      <c r="G4563" t="s">
        <v>32</v>
      </c>
      <c r="H4563" t="s">
        <v>33</v>
      </c>
      <c r="I4563" t="s">
        <v>59</v>
      </c>
      <c r="AB4563" t="s">
        <v>60</v>
      </c>
      <c r="AC4563" t="s">
        <v>87</v>
      </c>
    </row>
    <row r="4564" spans="1:29" x14ac:dyDescent="0.35">
      <c r="A4564" s="7">
        <v>42932</v>
      </c>
      <c r="B4564" t="s">
        <v>30</v>
      </c>
      <c r="C4564">
        <v>111</v>
      </c>
      <c r="D4564">
        <v>2</v>
      </c>
      <c r="E4564">
        <v>2</v>
      </c>
      <c r="F4564" t="s">
        <v>315</v>
      </c>
      <c r="G4564" t="s">
        <v>32</v>
      </c>
      <c r="H4564" t="s">
        <v>33</v>
      </c>
      <c r="I4564" t="s">
        <v>59</v>
      </c>
      <c r="AB4564" t="s">
        <v>60</v>
      </c>
      <c r="AC4564" t="s">
        <v>87</v>
      </c>
    </row>
    <row r="4565" spans="1:29" x14ac:dyDescent="0.35">
      <c r="A4565" s="7">
        <v>42932</v>
      </c>
      <c r="B4565" t="s">
        <v>30</v>
      </c>
      <c r="C4565">
        <v>111</v>
      </c>
      <c r="D4565">
        <v>3</v>
      </c>
      <c r="E4565">
        <v>1</v>
      </c>
      <c r="F4565" t="s">
        <v>315</v>
      </c>
      <c r="G4565" t="s">
        <v>32</v>
      </c>
      <c r="H4565" t="s">
        <v>33</v>
      </c>
      <c r="I4565" t="s">
        <v>59</v>
      </c>
      <c r="AB4565" t="s">
        <v>60</v>
      </c>
      <c r="AC4565" t="s">
        <v>87</v>
      </c>
    </row>
    <row r="4566" spans="1:29" x14ac:dyDescent="0.35">
      <c r="A4566" s="7">
        <v>42932</v>
      </c>
      <c r="B4566" t="s">
        <v>30</v>
      </c>
      <c r="C4566">
        <v>111</v>
      </c>
      <c r="D4566">
        <v>3</v>
      </c>
      <c r="E4566">
        <v>2</v>
      </c>
      <c r="F4566" t="s">
        <v>315</v>
      </c>
      <c r="G4566" t="s">
        <v>32</v>
      </c>
      <c r="H4566" t="s">
        <v>33</v>
      </c>
      <c r="I4566" t="s">
        <v>59</v>
      </c>
      <c r="AB4566" t="s">
        <v>60</v>
      </c>
      <c r="AC4566" t="s">
        <v>87</v>
      </c>
    </row>
    <row r="4567" spans="1:29" x14ac:dyDescent="0.35">
      <c r="A4567" s="7">
        <v>42932</v>
      </c>
      <c r="B4567" t="s">
        <v>30</v>
      </c>
      <c r="C4567">
        <v>111</v>
      </c>
      <c r="D4567">
        <v>4</v>
      </c>
      <c r="E4567">
        <v>1</v>
      </c>
      <c r="F4567" t="s">
        <v>315</v>
      </c>
      <c r="G4567" t="s">
        <v>32</v>
      </c>
      <c r="H4567" t="s">
        <v>33</v>
      </c>
      <c r="I4567" t="s">
        <v>59</v>
      </c>
      <c r="AB4567" t="s">
        <v>60</v>
      </c>
      <c r="AC4567" t="s">
        <v>87</v>
      </c>
    </row>
    <row r="4568" spans="1:29" x14ac:dyDescent="0.35">
      <c r="A4568" s="7">
        <v>42932</v>
      </c>
      <c r="B4568" t="s">
        <v>30</v>
      </c>
      <c r="C4568">
        <v>111</v>
      </c>
      <c r="D4568">
        <v>4</v>
      </c>
      <c r="E4568">
        <v>2</v>
      </c>
      <c r="F4568" t="s">
        <v>315</v>
      </c>
      <c r="G4568" t="s">
        <v>32</v>
      </c>
      <c r="H4568" t="s">
        <v>33</v>
      </c>
      <c r="I4568" t="s">
        <v>43</v>
      </c>
      <c r="J4568" t="s">
        <v>44</v>
      </c>
      <c r="K4568" t="s">
        <v>36</v>
      </c>
      <c r="L4568" t="s">
        <v>37</v>
      </c>
      <c r="M4568">
        <v>0</v>
      </c>
      <c r="N4568">
        <v>0</v>
      </c>
      <c r="O4568">
        <v>39307</v>
      </c>
      <c r="P4568">
        <v>39308</v>
      </c>
      <c r="Q4568">
        <f>35-13.5</f>
        <v>21.5</v>
      </c>
      <c r="R4568" t="s">
        <v>38</v>
      </c>
      <c r="AB4568" t="s">
        <v>60</v>
      </c>
      <c r="AC4568" t="s">
        <v>87</v>
      </c>
    </row>
    <row r="4569" spans="1:29" x14ac:dyDescent="0.35">
      <c r="A4569" s="7">
        <v>42932</v>
      </c>
      <c r="B4569" t="s">
        <v>30</v>
      </c>
      <c r="C4569">
        <v>111</v>
      </c>
      <c r="D4569">
        <v>5</v>
      </c>
      <c r="E4569">
        <v>1</v>
      </c>
      <c r="F4569" t="s">
        <v>315</v>
      </c>
      <c r="G4569" t="s">
        <v>32</v>
      </c>
      <c r="H4569" t="s">
        <v>33</v>
      </c>
      <c r="I4569" t="s">
        <v>43</v>
      </c>
      <c r="J4569" t="s">
        <v>44</v>
      </c>
      <c r="K4569" t="s">
        <v>36</v>
      </c>
      <c r="L4569" t="s">
        <v>45</v>
      </c>
      <c r="M4569">
        <v>0</v>
      </c>
      <c r="N4569">
        <v>0</v>
      </c>
      <c r="O4569">
        <v>39301</v>
      </c>
      <c r="P4569">
        <v>39302</v>
      </c>
      <c r="Q4569">
        <f>32.5-14</f>
        <v>18.5</v>
      </c>
      <c r="R4569" t="s">
        <v>79</v>
      </c>
      <c r="S4569" t="s">
        <v>39</v>
      </c>
      <c r="AB4569" t="s">
        <v>60</v>
      </c>
      <c r="AC4569" t="s">
        <v>87</v>
      </c>
    </row>
    <row r="4570" spans="1:29" x14ac:dyDescent="0.35">
      <c r="A4570" s="7">
        <v>42932</v>
      </c>
      <c r="B4570" t="s">
        <v>30</v>
      </c>
      <c r="C4570">
        <v>111</v>
      </c>
      <c r="D4570">
        <v>5</v>
      </c>
      <c r="E4570">
        <v>2</v>
      </c>
      <c r="F4570" t="s">
        <v>315</v>
      </c>
      <c r="G4570" t="s">
        <v>32</v>
      </c>
      <c r="H4570" t="s">
        <v>33</v>
      </c>
      <c r="I4570" t="s">
        <v>59</v>
      </c>
      <c r="AB4570" t="s">
        <v>60</v>
      </c>
      <c r="AC4570" t="s">
        <v>87</v>
      </c>
    </row>
    <row r="4571" spans="1:29" x14ac:dyDescent="0.35">
      <c r="A4571" s="7">
        <v>42932</v>
      </c>
      <c r="B4571" t="s">
        <v>30</v>
      </c>
      <c r="C4571">
        <v>111</v>
      </c>
      <c r="D4571">
        <v>6</v>
      </c>
      <c r="E4571">
        <v>1</v>
      </c>
      <c r="F4571" t="s">
        <v>315</v>
      </c>
      <c r="G4571" t="s">
        <v>32</v>
      </c>
      <c r="H4571" t="s">
        <v>33</v>
      </c>
      <c r="I4571" t="s">
        <v>43</v>
      </c>
      <c r="J4571" t="s">
        <v>44</v>
      </c>
      <c r="K4571" t="s">
        <v>113</v>
      </c>
      <c r="L4571" t="s">
        <v>45</v>
      </c>
      <c r="M4571">
        <v>0</v>
      </c>
      <c r="N4571">
        <v>0</v>
      </c>
      <c r="O4571">
        <v>2867</v>
      </c>
      <c r="P4571">
        <v>2866</v>
      </c>
      <c r="Q4571">
        <f>32.5-14</f>
        <v>18.5</v>
      </c>
      <c r="R4571" t="s">
        <v>79</v>
      </c>
      <c r="S4571" t="s">
        <v>39</v>
      </c>
      <c r="AB4571" t="s">
        <v>60</v>
      </c>
      <c r="AC4571" t="s">
        <v>87</v>
      </c>
    </row>
    <row r="4572" spans="1:29" x14ac:dyDescent="0.35">
      <c r="A4572" s="7">
        <v>42932</v>
      </c>
      <c r="B4572" t="s">
        <v>30</v>
      </c>
      <c r="C4572">
        <v>111</v>
      </c>
      <c r="D4572">
        <v>6</v>
      </c>
      <c r="E4572">
        <v>2</v>
      </c>
      <c r="F4572" t="s">
        <v>315</v>
      </c>
      <c r="G4572" t="s">
        <v>32</v>
      </c>
      <c r="H4572" t="s">
        <v>33</v>
      </c>
      <c r="I4572" t="s">
        <v>43</v>
      </c>
      <c r="J4572" t="s">
        <v>44</v>
      </c>
      <c r="K4572" t="s">
        <v>36</v>
      </c>
      <c r="L4572" t="s">
        <v>37</v>
      </c>
      <c r="M4572">
        <v>0</v>
      </c>
      <c r="N4572">
        <v>0</v>
      </c>
      <c r="O4572">
        <v>39799</v>
      </c>
      <c r="P4572">
        <v>39151</v>
      </c>
      <c r="Q4572">
        <f>35-14</f>
        <v>21</v>
      </c>
      <c r="R4572" t="s">
        <v>38</v>
      </c>
      <c r="AB4572" t="s">
        <v>60</v>
      </c>
      <c r="AC4572" t="s">
        <v>87</v>
      </c>
    </row>
    <row r="4573" spans="1:29" x14ac:dyDescent="0.35">
      <c r="A4573" s="7">
        <v>42932</v>
      </c>
      <c r="B4573" t="s">
        <v>30</v>
      </c>
      <c r="C4573">
        <v>111</v>
      </c>
      <c r="D4573">
        <v>7</v>
      </c>
      <c r="E4573">
        <v>1</v>
      </c>
      <c r="F4573" t="s">
        <v>315</v>
      </c>
      <c r="G4573" t="s">
        <v>32</v>
      </c>
      <c r="H4573" t="s">
        <v>33</v>
      </c>
      <c r="I4573" t="s">
        <v>43</v>
      </c>
      <c r="J4573" t="s">
        <v>35</v>
      </c>
      <c r="K4573" t="s">
        <v>36</v>
      </c>
      <c r="L4573" t="s">
        <v>37</v>
      </c>
      <c r="M4573">
        <v>0</v>
      </c>
      <c r="N4573">
        <v>1</v>
      </c>
      <c r="O4573">
        <v>39484</v>
      </c>
      <c r="P4573">
        <v>39485</v>
      </c>
      <c r="Q4573">
        <f>33.5-14.5</f>
        <v>19</v>
      </c>
      <c r="R4573" t="s">
        <v>1021</v>
      </c>
      <c r="S4573" t="s">
        <v>102</v>
      </c>
      <c r="AB4573" t="s">
        <v>60</v>
      </c>
      <c r="AC4573" t="s">
        <v>87</v>
      </c>
    </row>
    <row r="4574" spans="1:29" x14ac:dyDescent="0.35">
      <c r="A4574" s="7">
        <v>42932</v>
      </c>
      <c r="B4574" t="s">
        <v>30</v>
      </c>
      <c r="C4574">
        <v>111</v>
      </c>
      <c r="D4574">
        <v>7</v>
      </c>
      <c r="E4574">
        <v>2</v>
      </c>
      <c r="F4574" t="s">
        <v>315</v>
      </c>
      <c r="G4574" t="s">
        <v>32</v>
      </c>
      <c r="H4574" t="s">
        <v>33</v>
      </c>
      <c r="I4574" t="s">
        <v>59</v>
      </c>
      <c r="AB4574" t="s">
        <v>60</v>
      </c>
      <c r="AC4574" t="s">
        <v>87</v>
      </c>
    </row>
    <row r="4575" spans="1:29" x14ac:dyDescent="0.35">
      <c r="A4575" s="7">
        <v>42932</v>
      </c>
      <c r="B4575" t="s">
        <v>30</v>
      </c>
      <c r="C4575">
        <v>111</v>
      </c>
      <c r="D4575">
        <v>8</v>
      </c>
      <c r="E4575">
        <v>1</v>
      </c>
      <c r="F4575" t="s">
        <v>315</v>
      </c>
      <c r="G4575" t="s">
        <v>32</v>
      </c>
      <c r="H4575" t="s">
        <v>33</v>
      </c>
      <c r="I4575" t="s">
        <v>59</v>
      </c>
      <c r="AB4575" t="s">
        <v>60</v>
      </c>
      <c r="AC4575" t="s">
        <v>87</v>
      </c>
    </row>
    <row r="4576" spans="1:29" x14ac:dyDescent="0.35">
      <c r="A4576" s="7">
        <v>42932</v>
      </c>
      <c r="B4576" t="s">
        <v>30</v>
      </c>
      <c r="C4576">
        <v>111</v>
      </c>
      <c r="D4576">
        <v>8</v>
      </c>
      <c r="E4576">
        <v>2</v>
      </c>
      <c r="F4576" t="s">
        <v>315</v>
      </c>
      <c r="G4576" t="s">
        <v>32</v>
      </c>
      <c r="H4576" t="s">
        <v>33</v>
      </c>
      <c r="I4576" t="s">
        <v>43</v>
      </c>
      <c r="J4576" t="s">
        <v>44</v>
      </c>
      <c r="K4576" t="s">
        <v>36</v>
      </c>
      <c r="L4576" t="s">
        <v>45</v>
      </c>
      <c r="M4576">
        <v>0</v>
      </c>
      <c r="N4576">
        <v>0</v>
      </c>
      <c r="O4576">
        <v>38901</v>
      </c>
      <c r="P4576">
        <v>38902</v>
      </c>
      <c r="Q4576">
        <f>32.5-15</f>
        <v>17.5</v>
      </c>
      <c r="R4576" t="s">
        <v>79</v>
      </c>
      <c r="S4576" t="s">
        <v>39</v>
      </c>
      <c r="AB4576" t="s">
        <v>60</v>
      </c>
      <c r="AC4576" t="s">
        <v>87</v>
      </c>
    </row>
    <row r="4577" spans="1:29" x14ac:dyDescent="0.35">
      <c r="A4577" s="7">
        <v>42932</v>
      </c>
      <c r="B4577" t="s">
        <v>30</v>
      </c>
      <c r="C4577">
        <v>111</v>
      </c>
      <c r="D4577">
        <v>9</v>
      </c>
      <c r="E4577">
        <v>1</v>
      </c>
      <c r="F4577" t="s">
        <v>315</v>
      </c>
      <c r="G4577" t="s">
        <v>32</v>
      </c>
      <c r="H4577" t="s">
        <v>33</v>
      </c>
      <c r="I4577" t="s">
        <v>59</v>
      </c>
      <c r="AB4577" t="s">
        <v>60</v>
      </c>
      <c r="AC4577" t="s">
        <v>87</v>
      </c>
    </row>
    <row r="4578" spans="1:29" x14ac:dyDescent="0.35">
      <c r="A4578" s="7">
        <v>42932</v>
      </c>
      <c r="B4578" t="s">
        <v>30</v>
      </c>
      <c r="C4578">
        <v>111</v>
      </c>
      <c r="D4578">
        <v>9</v>
      </c>
      <c r="E4578">
        <v>2</v>
      </c>
      <c r="F4578" t="s">
        <v>315</v>
      </c>
      <c r="G4578" t="s">
        <v>32</v>
      </c>
      <c r="H4578" t="s">
        <v>33</v>
      </c>
      <c r="I4578" t="s">
        <v>59</v>
      </c>
      <c r="AB4578" t="s">
        <v>60</v>
      </c>
      <c r="AC4578" t="s">
        <v>87</v>
      </c>
    </row>
    <row r="4579" spans="1:29" x14ac:dyDescent="0.35">
      <c r="A4579" s="7">
        <v>42932</v>
      </c>
      <c r="B4579" t="s">
        <v>30</v>
      </c>
      <c r="C4579">
        <v>111</v>
      </c>
      <c r="D4579">
        <v>10</v>
      </c>
      <c r="E4579">
        <v>1</v>
      </c>
      <c r="F4579" t="s">
        <v>315</v>
      </c>
      <c r="G4579" t="s">
        <v>32</v>
      </c>
      <c r="H4579" t="s">
        <v>33</v>
      </c>
      <c r="I4579" t="s">
        <v>59</v>
      </c>
      <c r="AB4579" t="s">
        <v>60</v>
      </c>
      <c r="AC4579" t="s">
        <v>87</v>
      </c>
    </row>
    <row r="4580" spans="1:29" x14ac:dyDescent="0.35">
      <c r="A4580" s="7">
        <v>42932</v>
      </c>
      <c r="B4580" t="s">
        <v>30</v>
      </c>
      <c r="C4580">
        <v>111</v>
      </c>
      <c r="D4580">
        <v>10</v>
      </c>
      <c r="E4580">
        <v>2</v>
      </c>
      <c r="F4580" t="s">
        <v>315</v>
      </c>
      <c r="G4580" t="s">
        <v>32</v>
      </c>
      <c r="H4580" t="s">
        <v>33</v>
      </c>
      <c r="I4580" t="s">
        <v>43</v>
      </c>
      <c r="J4580" t="s">
        <v>44</v>
      </c>
      <c r="K4580" t="s">
        <v>36</v>
      </c>
      <c r="L4580" t="s">
        <v>37</v>
      </c>
      <c r="M4580">
        <v>0</v>
      </c>
      <c r="N4580">
        <v>0</v>
      </c>
      <c r="O4580">
        <v>2871</v>
      </c>
      <c r="P4580">
        <v>2870</v>
      </c>
      <c r="Q4580">
        <f>36.5-16</f>
        <v>20.5</v>
      </c>
      <c r="R4580" t="s">
        <v>38</v>
      </c>
      <c r="Y4580" t="s">
        <v>1043</v>
      </c>
      <c r="AB4580" t="s">
        <v>60</v>
      </c>
      <c r="AC4580" t="s">
        <v>87</v>
      </c>
    </row>
    <row r="4581" spans="1:29" x14ac:dyDescent="0.35">
      <c r="A4581" s="7">
        <v>42932</v>
      </c>
      <c r="B4581" t="s">
        <v>30</v>
      </c>
      <c r="C4581">
        <v>112</v>
      </c>
      <c r="D4581">
        <v>2</v>
      </c>
      <c r="E4581">
        <v>1</v>
      </c>
      <c r="F4581" t="s">
        <v>315</v>
      </c>
      <c r="G4581" t="s">
        <v>32</v>
      </c>
      <c r="H4581" t="s">
        <v>33</v>
      </c>
      <c r="I4581" t="s">
        <v>59</v>
      </c>
      <c r="AB4581" t="s">
        <v>60</v>
      </c>
      <c r="AC4581" t="s">
        <v>87</v>
      </c>
    </row>
    <row r="4582" spans="1:29" x14ac:dyDescent="0.35">
      <c r="A4582" s="7">
        <v>42932</v>
      </c>
      <c r="B4582" t="s">
        <v>30</v>
      </c>
      <c r="C4582">
        <v>112</v>
      </c>
      <c r="D4582">
        <v>2</v>
      </c>
      <c r="E4582">
        <v>2</v>
      </c>
      <c r="F4582" t="s">
        <v>315</v>
      </c>
      <c r="G4582" t="s">
        <v>32</v>
      </c>
      <c r="H4582" t="s">
        <v>33</v>
      </c>
      <c r="I4582" t="s">
        <v>59</v>
      </c>
      <c r="AB4582" t="s">
        <v>60</v>
      </c>
      <c r="AC4582" t="s">
        <v>87</v>
      </c>
    </row>
    <row r="4583" spans="1:29" x14ac:dyDescent="0.35">
      <c r="A4583" s="7">
        <v>42932</v>
      </c>
      <c r="B4583" t="s">
        <v>30</v>
      </c>
      <c r="C4583">
        <v>112</v>
      </c>
      <c r="D4583">
        <v>3</v>
      </c>
      <c r="E4583">
        <v>1</v>
      </c>
      <c r="F4583" t="s">
        <v>315</v>
      </c>
      <c r="G4583" t="s">
        <v>32</v>
      </c>
      <c r="H4583" t="s">
        <v>33</v>
      </c>
      <c r="I4583" t="s">
        <v>59</v>
      </c>
      <c r="AB4583" t="s">
        <v>60</v>
      </c>
      <c r="AC4583" t="s">
        <v>87</v>
      </c>
    </row>
    <row r="4584" spans="1:29" x14ac:dyDescent="0.35">
      <c r="A4584" s="7">
        <v>42932</v>
      </c>
      <c r="B4584" t="s">
        <v>30</v>
      </c>
      <c r="C4584">
        <v>112</v>
      </c>
      <c r="D4584">
        <v>4</v>
      </c>
      <c r="E4584">
        <v>1</v>
      </c>
      <c r="F4584" t="s">
        <v>315</v>
      </c>
      <c r="G4584" t="s">
        <v>32</v>
      </c>
      <c r="H4584" t="s">
        <v>33</v>
      </c>
      <c r="I4584" t="s">
        <v>59</v>
      </c>
      <c r="AB4584" t="s">
        <v>60</v>
      </c>
      <c r="AC4584" t="s">
        <v>87</v>
      </c>
    </row>
    <row r="4585" spans="1:29" x14ac:dyDescent="0.35">
      <c r="A4585" s="7">
        <v>42932</v>
      </c>
      <c r="B4585" t="s">
        <v>30</v>
      </c>
      <c r="C4585">
        <v>112</v>
      </c>
      <c r="D4585">
        <v>4</v>
      </c>
      <c r="E4585">
        <v>2</v>
      </c>
      <c r="F4585" t="s">
        <v>315</v>
      </c>
      <c r="G4585" t="s">
        <v>32</v>
      </c>
      <c r="H4585" t="s">
        <v>33</v>
      </c>
      <c r="I4585" t="s">
        <v>59</v>
      </c>
      <c r="AB4585" t="s">
        <v>60</v>
      </c>
      <c r="AC4585" t="s">
        <v>87</v>
      </c>
    </row>
    <row r="4586" spans="1:29" x14ac:dyDescent="0.35">
      <c r="A4586" s="7">
        <v>42932</v>
      </c>
      <c r="B4586" t="s">
        <v>30</v>
      </c>
      <c r="C4586">
        <v>112</v>
      </c>
      <c r="D4586">
        <v>5</v>
      </c>
      <c r="E4586">
        <v>1</v>
      </c>
      <c r="F4586" t="s">
        <v>315</v>
      </c>
      <c r="G4586" t="s">
        <v>32</v>
      </c>
      <c r="H4586" t="s">
        <v>33</v>
      </c>
      <c r="I4586" t="s">
        <v>59</v>
      </c>
      <c r="AB4586" t="s">
        <v>60</v>
      </c>
      <c r="AC4586" t="s">
        <v>87</v>
      </c>
    </row>
    <row r="4587" spans="1:29" x14ac:dyDescent="0.35">
      <c r="A4587" s="7">
        <v>42932</v>
      </c>
      <c r="B4587" t="s">
        <v>30</v>
      </c>
      <c r="C4587">
        <v>112</v>
      </c>
      <c r="D4587">
        <v>5</v>
      </c>
      <c r="E4587">
        <v>2</v>
      </c>
      <c r="F4587" t="s">
        <v>315</v>
      </c>
      <c r="G4587" t="s">
        <v>32</v>
      </c>
      <c r="H4587" t="s">
        <v>33</v>
      </c>
      <c r="I4587" t="s">
        <v>59</v>
      </c>
      <c r="AB4587" t="s">
        <v>60</v>
      </c>
      <c r="AC4587" t="s">
        <v>87</v>
      </c>
    </row>
    <row r="4588" spans="1:29" x14ac:dyDescent="0.35">
      <c r="A4588" s="7">
        <v>42932</v>
      </c>
      <c r="B4588" t="s">
        <v>30</v>
      </c>
      <c r="C4588">
        <v>112</v>
      </c>
      <c r="D4588">
        <v>7</v>
      </c>
      <c r="E4588">
        <v>1</v>
      </c>
      <c r="F4588" t="s">
        <v>315</v>
      </c>
      <c r="G4588" t="s">
        <v>32</v>
      </c>
      <c r="H4588" t="s">
        <v>33</v>
      </c>
      <c r="I4588" t="s">
        <v>72</v>
      </c>
      <c r="J4588" t="s">
        <v>56</v>
      </c>
      <c r="AB4588" t="s">
        <v>60</v>
      </c>
      <c r="AC4588" t="s">
        <v>87</v>
      </c>
    </row>
    <row r="4589" spans="1:29" x14ac:dyDescent="0.35">
      <c r="A4589" s="7">
        <v>42932</v>
      </c>
      <c r="B4589" t="s">
        <v>30</v>
      </c>
      <c r="C4589">
        <v>112</v>
      </c>
      <c r="D4589">
        <v>8</v>
      </c>
      <c r="E4589">
        <v>1</v>
      </c>
      <c r="F4589" t="s">
        <v>315</v>
      </c>
      <c r="G4589" t="s">
        <v>32</v>
      </c>
      <c r="H4589" t="s">
        <v>33</v>
      </c>
      <c r="I4589" t="s">
        <v>59</v>
      </c>
      <c r="AB4589" t="s">
        <v>60</v>
      </c>
      <c r="AC4589" t="s">
        <v>87</v>
      </c>
    </row>
    <row r="4590" spans="1:29" x14ac:dyDescent="0.35">
      <c r="A4590" s="7">
        <v>42932</v>
      </c>
      <c r="B4590" t="s">
        <v>30</v>
      </c>
      <c r="C4590">
        <v>112</v>
      </c>
      <c r="D4590">
        <v>8</v>
      </c>
      <c r="E4590">
        <v>2</v>
      </c>
      <c r="F4590" t="s">
        <v>315</v>
      </c>
      <c r="G4590" t="s">
        <v>32</v>
      </c>
      <c r="H4590" t="s">
        <v>33</v>
      </c>
      <c r="I4590" t="s">
        <v>59</v>
      </c>
      <c r="AB4590" t="s">
        <v>60</v>
      </c>
      <c r="AC4590" t="s">
        <v>87</v>
      </c>
    </row>
    <row r="4591" spans="1:29" x14ac:dyDescent="0.35">
      <c r="A4591" s="7">
        <v>42932</v>
      </c>
      <c r="B4591" t="s">
        <v>30</v>
      </c>
      <c r="C4591">
        <v>112</v>
      </c>
      <c r="D4591">
        <v>9</v>
      </c>
      <c r="E4591">
        <v>1</v>
      </c>
      <c r="F4591" t="s">
        <v>315</v>
      </c>
      <c r="G4591" t="s">
        <v>32</v>
      </c>
      <c r="H4591" t="s">
        <v>33</v>
      </c>
      <c r="I4591" t="s">
        <v>59</v>
      </c>
      <c r="AB4591" t="s">
        <v>60</v>
      </c>
      <c r="AC4591" t="s">
        <v>87</v>
      </c>
    </row>
    <row r="4592" spans="1:29" x14ac:dyDescent="0.35">
      <c r="A4592" s="7">
        <v>42932</v>
      </c>
      <c r="B4592" t="s">
        <v>30</v>
      </c>
      <c r="C4592">
        <v>112</v>
      </c>
      <c r="D4592">
        <v>9</v>
      </c>
      <c r="E4592">
        <v>2</v>
      </c>
      <c r="F4592" t="s">
        <v>315</v>
      </c>
      <c r="G4592" t="s">
        <v>32</v>
      </c>
      <c r="H4592" t="s">
        <v>33</v>
      </c>
      <c r="I4592" t="s">
        <v>59</v>
      </c>
      <c r="AB4592" t="s">
        <v>60</v>
      </c>
      <c r="AC4592" t="s">
        <v>87</v>
      </c>
    </row>
    <row r="4593" spans="1:29" x14ac:dyDescent="0.35">
      <c r="A4593" s="7">
        <v>42932</v>
      </c>
      <c r="B4593" t="s">
        <v>30</v>
      </c>
      <c r="C4593">
        <v>112</v>
      </c>
      <c r="D4593">
        <v>10</v>
      </c>
      <c r="E4593">
        <v>1</v>
      </c>
      <c r="F4593" t="s">
        <v>315</v>
      </c>
      <c r="G4593" t="s">
        <v>32</v>
      </c>
      <c r="H4593" t="s">
        <v>33</v>
      </c>
      <c r="I4593" t="s">
        <v>59</v>
      </c>
      <c r="AB4593" t="s">
        <v>60</v>
      </c>
      <c r="AC4593" t="s">
        <v>87</v>
      </c>
    </row>
    <row r="4594" spans="1:29" x14ac:dyDescent="0.35">
      <c r="A4594" s="7">
        <v>42932</v>
      </c>
      <c r="B4594" t="s">
        <v>30</v>
      </c>
      <c r="C4594">
        <v>112</v>
      </c>
      <c r="D4594">
        <v>10</v>
      </c>
      <c r="E4594">
        <v>2</v>
      </c>
      <c r="F4594" t="s">
        <v>315</v>
      </c>
      <c r="G4594" t="s">
        <v>32</v>
      </c>
      <c r="H4594" t="s">
        <v>33</v>
      </c>
      <c r="I4594" t="s">
        <v>43</v>
      </c>
      <c r="J4594" t="s">
        <v>92</v>
      </c>
      <c r="AB4594" t="s">
        <v>60</v>
      </c>
      <c r="AC4594" t="s">
        <v>87</v>
      </c>
    </row>
    <row r="4595" spans="1:29" x14ac:dyDescent="0.35">
      <c r="A4595" s="7">
        <v>42932</v>
      </c>
      <c r="B4595" t="s">
        <v>30</v>
      </c>
      <c r="C4595">
        <v>113</v>
      </c>
      <c r="D4595">
        <v>8</v>
      </c>
      <c r="E4595">
        <v>1</v>
      </c>
      <c r="F4595" t="s">
        <v>315</v>
      </c>
      <c r="G4595" t="s">
        <v>32</v>
      </c>
      <c r="H4595" t="s">
        <v>33</v>
      </c>
      <c r="I4595" t="s">
        <v>59</v>
      </c>
      <c r="AB4595" t="s">
        <v>60</v>
      </c>
      <c r="AC4595" t="s">
        <v>87</v>
      </c>
    </row>
    <row r="4596" spans="1:29" x14ac:dyDescent="0.35">
      <c r="A4596" s="7">
        <v>42932</v>
      </c>
      <c r="B4596" t="s">
        <v>30</v>
      </c>
      <c r="C4596">
        <v>113</v>
      </c>
      <c r="D4596">
        <v>9</v>
      </c>
      <c r="E4596">
        <v>1</v>
      </c>
      <c r="F4596" t="s">
        <v>315</v>
      </c>
      <c r="G4596" t="s">
        <v>32</v>
      </c>
      <c r="H4596" t="s">
        <v>33</v>
      </c>
      <c r="I4596" t="s">
        <v>59</v>
      </c>
      <c r="AB4596" t="s">
        <v>60</v>
      </c>
      <c r="AC4596" t="s">
        <v>87</v>
      </c>
    </row>
    <row r="4597" spans="1:29" x14ac:dyDescent="0.35">
      <c r="A4597" s="7">
        <v>42932</v>
      </c>
      <c r="B4597" t="s">
        <v>30</v>
      </c>
      <c r="C4597">
        <v>113</v>
      </c>
      <c r="D4597">
        <v>10</v>
      </c>
      <c r="E4597">
        <v>1</v>
      </c>
      <c r="F4597" t="s">
        <v>315</v>
      </c>
      <c r="G4597" t="s">
        <v>32</v>
      </c>
      <c r="H4597" t="s">
        <v>33</v>
      </c>
      <c r="I4597" t="s">
        <v>34</v>
      </c>
      <c r="J4597" t="s">
        <v>35</v>
      </c>
      <c r="K4597" t="s">
        <v>36</v>
      </c>
      <c r="L4597" t="s">
        <v>45</v>
      </c>
      <c r="M4597">
        <v>0</v>
      </c>
      <c r="N4597">
        <v>1</v>
      </c>
      <c r="O4597">
        <v>39486</v>
      </c>
      <c r="Q4597">
        <f>156-60</f>
        <v>96</v>
      </c>
      <c r="R4597" t="s">
        <v>1021</v>
      </c>
      <c r="S4597" t="s">
        <v>102</v>
      </c>
      <c r="AB4597" t="s">
        <v>60</v>
      </c>
      <c r="AC4597" t="s">
        <v>87</v>
      </c>
    </row>
    <row r="4598" spans="1:29" x14ac:dyDescent="0.35">
      <c r="A4598" s="7">
        <v>42932</v>
      </c>
      <c r="B4598" t="s">
        <v>30</v>
      </c>
      <c r="C4598">
        <v>201</v>
      </c>
      <c r="D4598">
        <v>1</v>
      </c>
      <c r="E4598">
        <v>1</v>
      </c>
      <c r="F4598" t="s">
        <v>1020</v>
      </c>
      <c r="G4598" t="s">
        <v>32</v>
      </c>
      <c r="H4598" t="s">
        <v>33</v>
      </c>
      <c r="I4598" t="s">
        <v>59</v>
      </c>
      <c r="AB4598" t="s">
        <v>60</v>
      </c>
      <c r="AC4598" t="s">
        <v>87</v>
      </c>
    </row>
    <row r="4599" spans="1:29" x14ac:dyDescent="0.35">
      <c r="A4599" s="7">
        <v>42932</v>
      </c>
      <c r="B4599" t="s">
        <v>30</v>
      </c>
      <c r="C4599">
        <v>201</v>
      </c>
      <c r="D4599">
        <v>1</v>
      </c>
      <c r="E4599">
        <v>2</v>
      </c>
      <c r="F4599" t="s">
        <v>1020</v>
      </c>
      <c r="G4599" t="s">
        <v>32</v>
      </c>
      <c r="H4599" t="s">
        <v>33</v>
      </c>
      <c r="I4599" t="s">
        <v>59</v>
      </c>
      <c r="AB4599" t="s">
        <v>60</v>
      </c>
      <c r="AC4599" t="s">
        <v>87</v>
      </c>
    </row>
    <row r="4600" spans="1:29" x14ac:dyDescent="0.35">
      <c r="A4600" s="7">
        <v>42932</v>
      </c>
      <c r="B4600" t="s">
        <v>30</v>
      </c>
      <c r="C4600">
        <v>201</v>
      </c>
      <c r="D4600">
        <v>2</v>
      </c>
      <c r="E4600">
        <v>1</v>
      </c>
      <c r="F4600" t="s">
        <v>1020</v>
      </c>
      <c r="G4600" t="s">
        <v>32</v>
      </c>
      <c r="H4600" t="s">
        <v>33</v>
      </c>
      <c r="I4600" t="s">
        <v>59</v>
      </c>
      <c r="AB4600" t="s">
        <v>60</v>
      </c>
      <c r="AC4600" t="s">
        <v>87</v>
      </c>
    </row>
    <row r="4601" spans="1:29" x14ac:dyDescent="0.35">
      <c r="A4601" s="7">
        <v>42932</v>
      </c>
      <c r="B4601" t="s">
        <v>30</v>
      </c>
      <c r="C4601">
        <v>201</v>
      </c>
      <c r="D4601">
        <v>2</v>
      </c>
      <c r="E4601">
        <v>2</v>
      </c>
      <c r="F4601" t="s">
        <v>1020</v>
      </c>
      <c r="G4601" t="s">
        <v>32</v>
      </c>
      <c r="H4601" t="s">
        <v>33</v>
      </c>
      <c r="I4601" t="s">
        <v>59</v>
      </c>
      <c r="AB4601" t="s">
        <v>60</v>
      </c>
      <c r="AC4601" t="s">
        <v>87</v>
      </c>
    </row>
    <row r="4602" spans="1:29" x14ac:dyDescent="0.35">
      <c r="A4602" s="7">
        <v>42932</v>
      </c>
      <c r="B4602" t="s">
        <v>30</v>
      </c>
      <c r="C4602">
        <v>201</v>
      </c>
      <c r="D4602">
        <v>3</v>
      </c>
      <c r="E4602">
        <v>1</v>
      </c>
      <c r="F4602" t="s">
        <v>1020</v>
      </c>
      <c r="G4602" t="s">
        <v>32</v>
      </c>
      <c r="H4602" t="s">
        <v>33</v>
      </c>
      <c r="I4602" t="s">
        <v>59</v>
      </c>
      <c r="AB4602" t="s">
        <v>60</v>
      </c>
      <c r="AC4602" t="s">
        <v>87</v>
      </c>
    </row>
    <row r="4603" spans="1:29" x14ac:dyDescent="0.35">
      <c r="A4603" s="7">
        <v>42932</v>
      </c>
      <c r="B4603" t="s">
        <v>30</v>
      </c>
      <c r="C4603">
        <v>201</v>
      </c>
      <c r="D4603">
        <v>3</v>
      </c>
      <c r="E4603">
        <v>2</v>
      </c>
      <c r="F4603" t="s">
        <v>1020</v>
      </c>
      <c r="G4603" t="s">
        <v>32</v>
      </c>
      <c r="H4603" t="s">
        <v>33</v>
      </c>
      <c r="I4603" t="s">
        <v>59</v>
      </c>
      <c r="AB4603" t="s">
        <v>60</v>
      </c>
      <c r="AC4603" t="s">
        <v>87</v>
      </c>
    </row>
    <row r="4604" spans="1:29" x14ac:dyDescent="0.35">
      <c r="A4604" s="7">
        <v>42932</v>
      </c>
      <c r="B4604" t="s">
        <v>30</v>
      </c>
      <c r="C4604">
        <v>201</v>
      </c>
      <c r="D4604">
        <v>4</v>
      </c>
      <c r="E4604">
        <v>1</v>
      </c>
      <c r="F4604" t="s">
        <v>1020</v>
      </c>
      <c r="G4604" t="s">
        <v>32</v>
      </c>
      <c r="H4604" t="s">
        <v>33</v>
      </c>
      <c r="I4604" t="s">
        <v>59</v>
      </c>
      <c r="AB4604" t="s">
        <v>60</v>
      </c>
      <c r="AC4604" t="s">
        <v>87</v>
      </c>
    </row>
    <row r="4605" spans="1:29" x14ac:dyDescent="0.35">
      <c r="A4605" s="7">
        <v>42932</v>
      </c>
      <c r="B4605" t="s">
        <v>30</v>
      </c>
      <c r="C4605">
        <v>201</v>
      </c>
      <c r="D4605">
        <v>4</v>
      </c>
      <c r="E4605">
        <v>2</v>
      </c>
      <c r="F4605" t="s">
        <v>1020</v>
      </c>
      <c r="G4605" t="s">
        <v>32</v>
      </c>
      <c r="H4605" t="s">
        <v>33</v>
      </c>
      <c r="I4605" t="s">
        <v>59</v>
      </c>
      <c r="AB4605" t="s">
        <v>60</v>
      </c>
      <c r="AC4605" t="s">
        <v>87</v>
      </c>
    </row>
    <row r="4606" spans="1:29" x14ac:dyDescent="0.35">
      <c r="A4606" s="7">
        <v>42932</v>
      </c>
      <c r="B4606" t="s">
        <v>30</v>
      </c>
      <c r="C4606">
        <v>201</v>
      </c>
      <c r="D4606">
        <v>5</v>
      </c>
      <c r="E4606">
        <v>1</v>
      </c>
      <c r="F4606" t="s">
        <v>1020</v>
      </c>
      <c r="G4606" t="s">
        <v>32</v>
      </c>
      <c r="H4606" t="s">
        <v>33</v>
      </c>
      <c r="I4606" t="s">
        <v>43</v>
      </c>
      <c r="J4606" t="s">
        <v>139</v>
      </c>
      <c r="AB4606" t="s">
        <v>60</v>
      </c>
      <c r="AC4606" t="s">
        <v>87</v>
      </c>
    </row>
    <row r="4607" spans="1:29" x14ac:dyDescent="0.35">
      <c r="A4607" s="7">
        <v>42932</v>
      </c>
      <c r="B4607" t="s">
        <v>30</v>
      </c>
      <c r="C4607">
        <v>201</v>
      </c>
      <c r="D4607">
        <v>5</v>
      </c>
      <c r="E4607">
        <v>2</v>
      </c>
      <c r="F4607" t="s">
        <v>1020</v>
      </c>
      <c r="G4607" t="s">
        <v>32</v>
      </c>
      <c r="H4607" t="s">
        <v>33</v>
      </c>
      <c r="I4607" t="s">
        <v>59</v>
      </c>
      <c r="AB4607" t="s">
        <v>60</v>
      </c>
      <c r="AC4607" t="s">
        <v>87</v>
      </c>
    </row>
    <row r="4608" spans="1:29" x14ac:dyDescent="0.35">
      <c r="A4608" s="7">
        <v>42932</v>
      </c>
      <c r="B4608" t="s">
        <v>30</v>
      </c>
      <c r="C4608">
        <v>201</v>
      </c>
      <c r="D4608">
        <v>6</v>
      </c>
      <c r="E4608">
        <v>1</v>
      </c>
      <c r="F4608" t="s">
        <v>1020</v>
      </c>
      <c r="G4608" t="s">
        <v>32</v>
      </c>
      <c r="H4608" t="s">
        <v>33</v>
      </c>
      <c r="I4608" t="s">
        <v>59</v>
      </c>
      <c r="AB4608" t="s">
        <v>60</v>
      </c>
      <c r="AC4608" t="s">
        <v>87</v>
      </c>
    </row>
    <row r="4609" spans="1:29" x14ac:dyDescent="0.35">
      <c r="A4609" s="7">
        <v>42932</v>
      </c>
      <c r="B4609" t="s">
        <v>30</v>
      </c>
      <c r="C4609">
        <v>201</v>
      </c>
      <c r="D4609">
        <v>6</v>
      </c>
      <c r="E4609">
        <v>2</v>
      </c>
      <c r="F4609" t="s">
        <v>1020</v>
      </c>
      <c r="G4609" t="s">
        <v>32</v>
      </c>
      <c r="H4609" t="s">
        <v>33</v>
      </c>
      <c r="I4609" t="s">
        <v>59</v>
      </c>
      <c r="AB4609" t="s">
        <v>60</v>
      </c>
      <c r="AC4609" t="s">
        <v>87</v>
      </c>
    </row>
    <row r="4610" spans="1:29" x14ac:dyDescent="0.35">
      <c r="A4610" s="7">
        <v>42932</v>
      </c>
      <c r="B4610" t="s">
        <v>30</v>
      </c>
      <c r="C4610">
        <v>201</v>
      </c>
      <c r="D4610">
        <v>7</v>
      </c>
      <c r="E4610">
        <v>1</v>
      </c>
      <c r="F4610" t="s">
        <v>1020</v>
      </c>
      <c r="G4610" t="s">
        <v>32</v>
      </c>
      <c r="H4610" t="s">
        <v>33</v>
      </c>
      <c r="I4610" t="s">
        <v>59</v>
      </c>
      <c r="AB4610" t="s">
        <v>60</v>
      </c>
      <c r="AC4610" t="s">
        <v>87</v>
      </c>
    </row>
    <row r="4611" spans="1:29" x14ac:dyDescent="0.35">
      <c r="A4611" s="7">
        <v>42932</v>
      </c>
      <c r="B4611" t="s">
        <v>30</v>
      </c>
      <c r="C4611">
        <v>201</v>
      </c>
      <c r="D4611">
        <v>7</v>
      </c>
      <c r="E4611">
        <v>2</v>
      </c>
      <c r="F4611" t="s">
        <v>1020</v>
      </c>
      <c r="G4611" t="s">
        <v>32</v>
      </c>
      <c r="H4611" t="s">
        <v>33</v>
      </c>
      <c r="I4611" t="s">
        <v>59</v>
      </c>
      <c r="AB4611" t="s">
        <v>60</v>
      </c>
      <c r="AC4611" t="s">
        <v>87</v>
      </c>
    </row>
    <row r="4612" spans="1:29" x14ac:dyDescent="0.35">
      <c r="A4612" s="7">
        <v>42932</v>
      </c>
      <c r="B4612" t="s">
        <v>30</v>
      </c>
      <c r="C4612">
        <v>201</v>
      </c>
      <c r="D4612">
        <v>8</v>
      </c>
      <c r="E4612">
        <v>1</v>
      </c>
      <c r="F4612" t="s">
        <v>1020</v>
      </c>
      <c r="G4612" t="s">
        <v>32</v>
      </c>
      <c r="H4612" t="s">
        <v>33</v>
      </c>
      <c r="I4612" t="s">
        <v>59</v>
      </c>
      <c r="AB4612" t="s">
        <v>60</v>
      </c>
      <c r="AC4612" t="s">
        <v>87</v>
      </c>
    </row>
    <row r="4613" spans="1:29" x14ac:dyDescent="0.35">
      <c r="A4613" s="7">
        <v>42932</v>
      </c>
      <c r="B4613" t="s">
        <v>30</v>
      </c>
      <c r="C4613">
        <v>201</v>
      </c>
      <c r="D4613">
        <v>8</v>
      </c>
      <c r="E4613">
        <v>2</v>
      </c>
      <c r="F4613" t="s">
        <v>1020</v>
      </c>
      <c r="G4613" t="s">
        <v>32</v>
      </c>
      <c r="H4613" t="s">
        <v>33</v>
      </c>
      <c r="I4613" t="s">
        <v>59</v>
      </c>
      <c r="AB4613" t="s">
        <v>60</v>
      </c>
      <c r="AC4613" t="s">
        <v>87</v>
      </c>
    </row>
    <row r="4614" spans="1:29" x14ac:dyDescent="0.35">
      <c r="A4614" s="7">
        <v>42932</v>
      </c>
      <c r="B4614" t="s">
        <v>30</v>
      </c>
      <c r="C4614">
        <v>201</v>
      </c>
      <c r="D4614">
        <v>9</v>
      </c>
      <c r="E4614">
        <v>1</v>
      </c>
      <c r="F4614" t="s">
        <v>1020</v>
      </c>
      <c r="G4614" t="s">
        <v>32</v>
      </c>
      <c r="H4614" t="s">
        <v>33</v>
      </c>
      <c r="I4614" t="s">
        <v>59</v>
      </c>
      <c r="AB4614" t="s">
        <v>60</v>
      </c>
      <c r="AC4614" t="s">
        <v>87</v>
      </c>
    </row>
    <row r="4615" spans="1:29" x14ac:dyDescent="0.35">
      <c r="A4615" s="7">
        <v>42932</v>
      </c>
      <c r="B4615" t="s">
        <v>30</v>
      </c>
      <c r="C4615">
        <v>201</v>
      </c>
      <c r="D4615">
        <v>9</v>
      </c>
      <c r="E4615">
        <v>2</v>
      </c>
      <c r="F4615" t="s">
        <v>1020</v>
      </c>
      <c r="G4615" t="s">
        <v>32</v>
      </c>
      <c r="H4615" t="s">
        <v>33</v>
      </c>
      <c r="I4615" t="s">
        <v>59</v>
      </c>
      <c r="AB4615" t="s">
        <v>60</v>
      </c>
      <c r="AC4615" t="s">
        <v>87</v>
      </c>
    </row>
    <row r="4616" spans="1:29" x14ac:dyDescent="0.35">
      <c r="A4616" s="7">
        <v>42932</v>
      </c>
      <c r="B4616" t="s">
        <v>30</v>
      </c>
      <c r="C4616">
        <v>201</v>
      </c>
      <c r="D4616">
        <v>10</v>
      </c>
      <c r="E4616">
        <v>1</v>
      </c>
      <c r="F4616" t="s">
        <v>1020</v>
      </c>
      <c r="G4616" t="s">
        <v>32</v>
      </c>
      <c r="H4616" t="s">
        <v>33</v>
      </c>
      <c r="I4616" t="s">
        <v>59</v>
      </c>
      <c r="AB4616" t="s">
        <v>60</v>
      </c>
      <c r="AC4616" t="s">
        <v>87</v>
      </c>
    </row>
    <row r="4617" spans="1:29" x14ac:dyDescent="0.35">
      <c r="A4617" s="7">
        <v>42932</v>
      </c>
      <c r="B4617" t="s">
        <v>30</v>
      </c>
      <c r="C4617">
        <v>201</v>
      </c>
      <c r="D4617">
        <v>10</v>
      </c>
      <c r="E4617">
        <v>2</v>
      </c>
      <c r="F4617" t="s">
        <v>1020</v>
      </c>
      <c r="G4617" t="s">
        <v>32</v>
      </c>
      <c r="H4617" t="s">
        <v>33</v>
      </c>
      <c r="I4617" t="s">
        <v>59</v>
      </c>
      <c r="AB4617" t="s">
        <v>60</v>
      </c>
      <c r="AC4617" t="s">
        <v>87</v>
      </c>
    </row>
    <row r="4618" spans="1:29" x14ac:dyDescent="0.35">
      <c r="A4618" s="7">
        <v>42932</v>
      </c>
      <c r="B4618" t="s">
        <v>30</v>
      </c>
      <c r="C4618">
        <v>202</v>
      </c>
      <c r="D4618">
        <v>1</v>
      </c>
      <c r="E4618">
        <v>1</v>
      </c>
      <c r="F4618" t="s">
        <v>1020</v>
      </c>
      <c r="G4618" t="s">
        <v>32</v>
      </c>
      <c r="H4618" t="s">
        <v>33</v>
      </c>
      <c r="I4618" t="s">
        <v>59</v>
      </c>
      <c r="AB4618" t="s">
        <v>60</v>
      </c>
      <c r="AC4618" t="s">
        <v>87</v>
      </c>
    </row>
    <row r="4619" spans="1:29" x14ac:dyDescent="0.35">
      <c r="A4619" s="7">
        <v>42932</v>
      </c>
      <c r="B4619" t="s">
        <v>30</v>
      </c>
      <c r="C4619">
        <v>202</v>
      </c>
      <c r="D4619">
        <v>1</v>
      </c>
      <c r="E4619">
        <v>2</v>
      </c>
      <c r="F4619" t="s">
        <v>1020</v>
      </c>
      <c r="G4619" t="s">
        <v>32</v>
      </c>
      <c r="H4619" t="s">
        <v>33</v>
      </c>
      <c r="I4619" t="s">
        <v>59</v>
      </c>
      <c r="AB4619" t="s">
        <v>60</v>
      </c>
      <c r="AC4619" t="s">
        <v>87</v>
      </c>
    </row>
    <row r="4620" spans="1:29" x14ac:dyDescent="0.35">
      <c r="A4620" s="7">
        <v>42932</v>
      </c>
      <c r="B4620" t="s">
        <v>30</v>
      </c>
      <c r="C4620">
        <v>202</v>
      </c>
      <c r="D4620">
        <v>2</v>
      </c>
      <c r="E4620">
        <v>1</v>
      </c>
      <c r="F4620" t="s">
        <v>1020</v>
      </c>
      <c r="G4620" t="s">
        <v>32</v>
      </c>
      <c r="H4620" t="s">
        <v>33</v>
      </c>
      <c r="I4620" t="s">
        <v>59</v>
      </c>
      <c r="AB4620" t="s">
        <v>60</v>
      </c>
      <c r="AC4620" t="s">
        <v>87</v>
      </c>
    </row>
    <row r="4621" spans="1:29" x14ac:dyDescent="0.35">
      <c r="A4621" s="7">
        <v>42932</v>
      </c>
      <c r="B4621" t="s">
        <v>30</v>
      </c>
      <c r="C4621">
        <v>202</v>
      </c>
      <c r="D4621">
        <v>2</v>
      </c>
      <c r="E4621">
        <v>2</v>
      </c>
      <c r="F4621" t="s">
        <v>1020</v>
      </c>
      <c r="G4621" t="s">
        <v>32</v>
      </c>
      <c r="H4621" t="s">
        <v>33</v>
      </c>
      <c r="I4621" t="s">
        <v>59</v>
      </c>
      <c r="AB4621" t="s">
        <v>60</v>
      </c>
      <c r="AC4621" t="s">
        <v>87</v>
      </c>
    </row>
    <row r="4622" spans="1:29" x14ac:dyDescent="0.35">
      <c r="A4622" s="7">
        <v>42932</v>
      </c>
      <c r="B4622" t="s">
        <v>30</v>
      </c>
      <c r="C4622">
        <v>202</v>
      </c>
      <c r="D4622">
        <v>3</v>
      </c>
      <c r="E4622">
        <v>1</v>
      </c>
      <c r="F4622" t="s">
        <v>1020</v>
      </c>
      <c r="G4622" t="s">
        <v>32</v>
      </c>
      <c r="H4622" t="s">
        <v>33</v>
      </c>
      <c r="I4622" t="s">
        <v>59</v>
      </c>
      <c r="AB4622" t="s">
        <v>60</v>
      </c>
      <c r="AC4622" t="s">
        <v>87</v>
      </c>
    </row>
    <row r="4623" spans="1:29" x14ac:dyDescent="0.35">
      <c r="A4623" s="7">
        <v>42932</v>
      </c>
      <c r="B4623" t="s">
        <v>30</v>
      </c>
      <c r="C4623">
        <v>202</v>
      </c>
      <c r="D4623">
        <v>3</v>
      </c>
      <c r="E4623">
        <v>2</v>
      </c>
      <c r="F4623" t="s">
        <v>1020</v>
      </c>
      <c r="G4623" t="s">
        <v>32</v>
      </c>
      <c r="H4623" t="s">
        <v>33</v>
      </c>
      <c r="I4623" t="s">
        <v>59</v>
      </c>
      <c r="AB4623" t="s">
        <v>60</v>
      </c>
      <c r="AC4623" t="s">
        <v>87</v>
      </c>
    </row>
    <row r="4624" spans="1:29" x14ac:dyDescent="0.35">
      <c r="A4624" s="7">
        <v>42932</v>
      </c>
      <c r="B4624" t="s">
        <v>30</v>
      </c>
      <c r="C4624">
        <v>202</v>
      </c>
      <c r="D4624">
        <v>4</v>
      </c>
      <c r="E4624">
        <v>1</v>
      </c>
      <c r="F4624" t="s">
        <v>1020</v>
      </c>
      <c r="G4624" t="s">
        <v>32</v>
      </c>
      <c r="H4624" t="s">
        <v>33</v>
      </c>
      <c r="I4624" t="s">
        <v>59</v>
      </c>
      <c r="AB4624" t="s">
        <v>60</v>
      </c>
      <c r="AC4624" t="s">
        <v>87</v>
      </c>
    </row>
    <row r="4625" spans="1:29" x14ac:dyDescent="0.35">
      <c r="A4625" s="7">
        <v>42932</v>
      </c>
      <c r="B4625" t="s">
        <v>30</v>
      </c>
      <c r="C4625">
        <v>202</v>
      </c>
      <c r="D4625">
        <v>4</v>
      </c>
      <c r="E4625">
        <v>2</v>
      </c>
      <c r="F4625" t="s">
        <v>1020</v>
      </c>
      <c r="G4625" t="s">
        <v>32</v>
      </c>
      <c r="H4625" t="s">
        <v>33</v>
      </c>
      <c r="I4625" t="s">
        <v>59</v>
      </c>
      <c r="AB4625" t="s">
        <v>60</v>
      </c>
      <c r="AC4625" t="s">
        <v>87</v>
      </c>
    </row>
    <row r="4626" spans="1:29" x14ac:dyDescent="0.35">
      <c r="A4626" s="7">
        <v>42932</v>
      </c>
      <c r="B4626" t="s">
        <v>30</v>
      </c>
      <c r="C4626">
        <v>202</v>
      </c>
      <c r="D4626">
        <v>5</v>
      </c>
      <c r="E4626">
        <v>1</v>
      </c>
      <c r="F4626" t="s">
        <v>1020</v>
      </c>
      <c r="G4626" t="s">
        <v>32</v>
      </c>
      <c r="H4626" t="s">
        <v>33</v>
      </c>
      <c r="I4626" t="s">
        <v>59</v>
      </c>
      <c r="AB4626" t="s">
        <v>60</v>
      </c>
      <c r="AC4626" t="s">
        <v>87</v>
      </c>
    </row>
    <row r="4627" spans="1:29" x14ac:dyDescent="0.35">
      <c r="A4627" s="7">
        <v>42932</v>
      </c>
      <c r="B4627" t="s">
        <v>30</v>
      </c>
      <c r="C4627">
        <v>202</v>
      </c>
      <c r="D4627">
        <v>5</v>
      </c>
      <c r="E4627">
        <v>2</v>
      </c>
      <c r="F4627" t="s">
        <v>1020</v>
      </c>
      <c r="G4627" t="s">
        <v>32</v>
      </c>
      <c r="H4627" t="s">
        <v>33</v>
      </c>
      <c r="I4627" t="s">
        <v>59</v>
      </c>
      <c r="AB4627" t="s">
        <v>60</v>
      </c>
      <c r="AC4627" t="s">
        <v>87</v>
      </c>
    </row>
    <row r="4628" spans="1:29" x14ac:dyDescent="0.35">
      <c r="A4628" s="7">
        <v>42932</v>
      </c>
      <c r="B4628" t="s">
        <v>30</v>
      </c>
      <c r="C4628">
        <v>202</v>
      </c>
      <c r="D4628">
        <v>6</v>
      </c>
      <c r="E4628">
        <v>1</v>
      </c>
      <c r="F4628" t="s">
        <v>1020</v>
      </c>
      <c r="G4628" t="s">
        <v>32</v>
      </c>
      <c r="H4628" t="s">
        <v>33</v>
      </c>
      <c r="I4628" t="s">
        <v>59</v>
      </c>
      <c r="AB4628" t="s">
        <v>60</v>
      </c>
      <c r="AC4628" t="s">
        <v>87</v>
      </c>
    </row>
    <row r="4629" spans="1:29" x14ac:dyDescent="0.35">
      <c r="A4629" s="7">
        <v>42932</v>
      </c>
      <c r="B4629" t="s">
        <v>30</v>
      </c>
      <c r="C4629">
        <v>202</v>
      </c>
      <c r="D4629">
        <v>6</v>
      </c>
      <c r="E4629">
        <v>2</v>
      </c>
      <c r="F4629" t="s">
        <v>1020</v>
      </c>
      <c r="G4629" t="s">
        <v>32</v>
      </c>
      <c r="H4629" t="s">
        <v>33</v>
      </c>
      <c r="I4629" t="s">
        <v>59</v>
      </c>
      <c r="AB4629" t="s">
        <v>60</v>
      </c>
      <c r="AC4629" t="s">
        <v>87</v>
      </c>
    </row>
    <row r="4630" spans="1:29" x14ac:dyDescent="0.35">
      <c r="A4630" s="7">
        <v>42932</v>
      </c>
      <c r="B4630" t="s">
        <v>30</v>
      </c>
      <c r="C4630">
        <v>202</v>
      </c>
      <c r="D4630">
        <v>7</v>
      </c>
      <c r="E4630">
        <v>1</v>
      </c>
      <c r="F4630" t="s">
        <v>1020</v>
      </c>
      <c r="G4630" t="s">
        <v>32</v>
      </c>
      <c r="H4630" t="s">
        <v>33</v>
      </c>
      <c r="I4630" t="s">
        <v>59</v>
      </c>
      <c r="AB4630" t="s">
        <v>60</v>
      </c>
      <c r="AC4630" t="s">
        <v>87</v>
      </c>
    </row>
    <row r="4631" spans="1:29" x14ac:dyDescent="0.35">
      <c r="A4631" s="7">
        <v>42932</v>
      </c>
      <c r="B4631" t="s">
        <v>30</v>
      </c>
      <c r="C4631">
        <v>202</v>
      </c>
      <c r="D4631">
        <v>7</v>
      </c>
      <c r="E4631">
        <v>2</v>
      </c>
      <c r="F4631" t="s">
        <v>1020</v>
      </c>
      <c r="G4631" t="s">
        <v>32</v>
      </c>
      <c r="H4631" t="s">
        <v>33</v>
      </c>
      <c r="I4631" t="s">
        <v>43</v>
      </c>
      <c r="J4631" t="s">
        <v>139</v>
      </c>
      <c r="AB4631" t="s">
        <v>60</v>
      </c>
      <c r="AC4631" t="s">
        <v>87</v>
      </c>
    </row>
    <row r="4632" spans="1:29" x14ac:dyDescent="0.35">
      <c r="A4632" s="7">
        <v>42932</v>
      </c>
      <c r="B4632" t="s">
        <v>30</v>
      </c>
      <c r="C4632">
        <v>202</v>
      </c>
      <c r="D4632">
        <v>8</v>
      </c>
      <c r="E4632">
        <v>1</v>
      </c>
      <c r="F4632" t="s">
        <v>1020</v>
      </c>
      <c r="G4632" t="s">
        <v>32</v>
      </c>
      <c r="H4632" t="s">
        <v>33</v>
      </c>
      <c r="I4632" t="s">
        <v>84</v>
      </c>
      <c r="AB4632" t="s">
        <v>60</v>
      </c>
      <c r="AC4632" t="s">
        <v>87</v>
      </c>
    </row>
    <row r="4633" spans="1:29" x14ac:dyDescent="0.35">
      <c r="A4633" s="7">
        <v>42932</v>
      </c>
      <c r="B4633" t="s">
        <v>30</v>
      </c>
      <c r="C4633">
        <v>202</v>
      </c>
      <c r="D4633">
        <v>8</v>
      </c>
      <c r="E4633">
        <v>2</v>
      </c>
      <c r="F4633" t="s">
        <v>1020</v>
      </c>
      <c r="G4633" t="s">
        <v>32</v>
      </c>
      <c r="H4633" t="s">
        <v>33</v>
      </c>
      <c r="I4633" t="s">
        <v>59</v>
      </c>
      <c r="AB4633" t="s">
        <v>60</v>
      </c>
      <c r="AC4633" t="s">
        <v>87</v>
      </c>
    </row>
    <row r="4634" spans="1:29" x14ac:dyDescent="0.35">
      <c r="A4634" s="7">
        <v>42932</v>
      </c>
      <c r="B4634" t="s">
        <v>30</v>
      </c>
      <c r="C4634">
        <v>202</v>
      </c>
      <c r="D4634">
        <v>9</v>
      </c>
      <c r="E4634">
        <v>1</v>
      </c>
      <c r="F4634" t="s">
        <v>1020</v>
      </c>
      <c r="G4634" t="s">
        <v>32</v>
      </c>
      <c r="H4634" t="s">
        <v>33</v>
      </c>
      <c r="I4634" t="s">
        <v>59</v>
      </c>
      <c r="AB4634" t="s">
        <v>60</v>
      </c>
      <c r="AC4634" t="s">
        <v>87</v>
      </c>
    </row>
    <row r="4635" spans="1:29" x14ac:dyDescent="0.35">
      <c r="A4635" s="7">
        <v>42932</v>
      </c>
      <c r="B4635" t="s">
        <v>30</v>
      </c>
      <c r="C4635">
        <v>202</v>
      </c>
      <c r="D4635">
        <v>9</v>
      </c>
      <c r="E4635">
        <v>2</v>
      </c>
      <c r="F4635" t="s">
        <v>1020</v>
      </c>
      <c r="G4635" t="s">
        <v>32</v>
      </c>
      <c r="H4635" t="s">
        <v>33</v>
      </c>
      <c r="I4635" t="s">
        <v>43</v>
      </c>
      <c r="J4635" t="s">
        <v>139</v>
      </c>
      <c r="AB4635" t="s">
        <v>60</v>
      </c>
      <c r="AC4635" t="s">
        <v>87</v>
      </c>
    </row>
    <row r="4636" spans="1:29" x14ac:dyDescent="0.35">
      <c r="A4636" s="7">
        <v>42932</v>
      </c>
      <c r="B4636" t="s">
        <v>30</v>
      </c>
      <c r="C4636">
        <v>202</v>
      </c>
      <c r="D4636">
        <v>10</v>
      </c>
      <c r="E4636">
        <v>1</v>
      </c>
      <c r="F4636" t="s">
        <v>1020</v>
      </c>
      <c r="G4636" t="s">
        <v>32</v>
      </c>
      <c r="H4636" t="s">
        <v>33</v>
      </c>
      <c r="I4636" t="s">
        <v>59</v>
      </c>
      <c r="AB4636" t="s">
        <v>60</v>
      </c>
      <c r="AC4636" t="s">
        <v>87</v>
      </c>
    </row>
    <row r="4637" spans="1:29" x14ac:dyDescent="0.35">
      <c r="A4637" s="7">
        <v>42932</v>
      </c>
      <c r="B4637" t="s">
        <v>30</v>
      </c>
      <c r="C4637">
        <v>202</v>
      </c>
      <c r="D4637">
        <v>10</v>
      </c>
      <c r="E4637">
        <v>2</v>
      </c>
      <c r="F4637" t="s">
        <v>1020</v>
      </c>
      <c r="G4637" t="s">
        <v>32</v>
      </c>
      <c r="H4637" t="s">
        <v>33</v>
      </c>
      <c r="I4637" t="s">
        <v>59</v>
      </c>
      <c r="AB4637" t="s">
        <v>60</v>
      </c>
      <c r="AC4637" t="s">
        <v>87</v>
      </c>
    </row>
    <row r="4638" spans="1:29" x14ac:dyDescent="0.35">
      <c r="A4638" s="7">
        <v>42932</v>
      </c>
      <c r="B4638" t="s">
        <v>30</v>
      </c>
      <c r="C4638">
        <v>203</v>
      </c>
      <c r="D4638">
        <v>1</v>
      </c>
      <c r="E4638">
        <v>1</v>
      </c>
      <c r="F4638" t="s">
        <v>1020</v>
      </c>
      <c r="G4638" t="s">
        <v>32</v>
      </c>
      <c r="H4638" t="s">
        <v>33</v>
      </c>
      <c r="I4638" t="s">
        <v>59</v>
      </c>
      <c r="AB4638" t="s">
        <v>60</v>
      </c>
      <c r="AC4638" t="s">
        <v>87</v>
      </c>
    </row>
    <row r="4639" spans="1:29" x14ac:dyDescent="0.35">
      <c r="A4639" s="7">
        <v>42932</v>
      </c>
      <c r="B4639" t="s">
        <v>30</v>
      </c>
      <c r="C4639">
        <v>203</v>
      </c>
      <c r="D4639">
        <v>1</v>
      </c>
      <c r="E4639">
        <v>2</v>
      </c>
      <c r="F4639" t="s">
        <v>1020</v>
      </c>
      <c r="G4639" t="s">
        <v>32</v>
      </c>
      <c r="H4639" t="s">
        <v>33</v>
      </c>
      <c r="I4639" t="s">
        <v>59</v>
      </c>
      <c r="AB4639" t="s">
        <v>60</v>
      </c>
      <c r="AC4639" t="s">
        <v>87</v>
      </c>
    </row>
    <row r="4640" spans="1:29" x14ac:dyDescent="0.35">
      <c r="A4640" s="7">
        <v>42932</v>
      </c>
      <c r="B4640" t="s">
        <v>30</v>
      </c>
      <c r="C4640">
        <v>203</v>
      </c>
      <c r="D4640">
        <v>2</v>
      </c>
      <c r="E4640">
        <v>1</v>
      </c>
      <c r="F4640" t="s">
        <v>1020</v>
      </c>
      <c r="G4640" t="s">
        <v>32</v>
      </c>
      <c r="H4640" t="s">
        <v>33</v>
      </c>
      <c r="I4640" t="s">
        <v>59</v>
      </c>
      <c r="AB4640" t="s">
        <v>60</v>
      </c>
      <c r="AC4640" t="s">
        <v>87</v>
      </c>
    </row>
    <row r="4641" spans="1:29" x14ac:dyDescent="0.35">
      <c r="A4641" s="7">
        <v>42932</v>
      </c>
      <c r="B4641" t="s">
        <v>30</v>
      </c>
      <c r="C4641">
        <v>203</v>
      </c>
      <c r="D4641">
        <v>2</v>
      </c>
      <c r="E4641">
        <v>2</v>
      </c>
      <c r="F4641" t="s">
        <v>1020</v>
      </c>
      <c r="G4641" t="s">
        <v>32</v>
      </c>
      <c r="H4641" t="s">
        <v>33</v>
      </c>
      <c r="I4641" t="s">
        <v>43</v>
      </c>
      <c r="J4641" t="s">
        <v>139</v>
      </c>
      <c r="AB4641" t="s">
        <v>60</v>
      </c>
      <c r="AC4641" t="s">
        <v>87</v>
      </c>
    </row>
    <row r="4642" spans="1:29" x14ac:dyDescent="0.35">
      <c r="A4642" s="7">
        <v>42932</v>
      </c>
      <c r="B4642" t="s">
        <v>30</v>
      </c>
      <c r="C4642">
        <v>203</v>
      </c>
      <c r="D4642">
        <v>3</v>
      </c>
      <c r="E4642">
        <v>1</v>
      </c>
      <c r="F4642" t="s">
        <v>1020</v>
      </c>
      <c r="G4642" t="s">
        <v>32</v>
      </c>
      <c r="H4642" t="s">
        <v>33</v>
      </c>
      <c r="I4642" t="s">
        <v>59</v>
      </c>
      <c r="AB4642" t="s">
        <v>60</v>
      </c>
      <c r="AC4642" t="s">
        <v>87</v>
      </c>
    </row>
    <row r="4643" spans="1:29" x14ac:dyDescent="0.35">
      <c r="A4643" s="7">
        <v>42932</v>
      </c>
      <c r="B4643" t="s">
        <v>30</v>
      </c>
      <c r="C4643">
        <v>203</v>
      </c>
      <c r="D4643">
        <v>3</v>
      </c>
      <c r="E4643">
        <v>2</v>
      </c>
      <c r="F4643" t="s">
        <v>1020</v>
      </c>
      <c r="G4643" t="s">
        <v>32</v>
      </c>
      <c r="H4643" t="s">
        <v>33</v>
      </c>
      <c r="I4643" t="s">
        <v>59</v>
      </c>
      <c r="AB4643" t="s">
        <v>60</v>
      </c>
      <c r="AC4643" t="s">
        <v>87</v>
      </c>
    </row>
    <row r="4644" spans="1:29" x14ac:dyDescent="0.35">
      <c r="A4644" s="7">
        <v>42932</v>
      </c>
      <c r="B4644" t="s">
        <v>30</v>
      </c>
      <c r="C4644">
        <v>203</v>
      </c>
      <c r="D4644">
        <v>4</v>
      </c>
      <c r="E4644">
        <v>1</v>
      </c>
      <c r="F4644" t="s">
        <v>1020</v>
      </c>
      <c r="G4644" t="s">
        <v>32</v>
      </c>
      <c r="H4644" t="s">
        <v>33</v>
      </c>
      <c r="I4644" t="s">
        <v>59</v>
      </c>
      <c r="AB4644" t="s">
        <v>60</v>
      </c>
      <c r="AC4644" t="s">
        <v>87</v>
      </c>
    </row>
    <row r="4645" spans="1:29" x14ac:dyDescent="0.35">
      <c r="A4645" s="7">
        <v>42932</v>
      </c>
      <c r="B4645" t="s">
        <v>30</v>
      </c>
      <c r="C4645">
        <v>203</v>
      </c>
      <c r="D4645">
        <v>6</v>
      </c>
      <c r="E4645">
        <v>1</v>
      </c>
      <c r="F4645" t="s">
        <v>1020</v>
      </c>
      <c r="G4645" t="s">
        <v>32</v>
      </c>
      <c r="H4645" t="s">
        <v>33</v>
      </c>
      <c r="I4645" t="s">
        <v>59</v>
      </c>
      <c r="AB4645" t="s">
        <v>60</v>
      </c>
      <c r="AC4645" t="s">
        <v>87</v>
      </c>
    </row>
    <row r="4646" spans="1:29" x14ac:dyDescent="0.35">
      <c r="A4646" s="7">
        <v>42932</v>
      </c>
      <c r="B4646" t="s">
        <v>30</v>
      </c>
      <c r="C4646">
        <v>304</v>
      </c>
      <c r="D4646">
        <v>1</v>
      </c>
      <c r="E4646">
        <v>1</v>
      </c>
      <c r="F4646" t="s">
        <v>1020</v>
      </c>
      <c r="G4646" t="s">
        <v>32</v>
      </c>
      <c r="H4646" t="s">
        <v>33</v>
      </c>
      <c r="I4646" t="s">
        <v>43</v>
      </c>
      <c r="J4646" t="s">
        <v>139</v>
      </c>
      <c r="AB4646" t="s">
        <v>60</v>
      </c>
      <c r="AC4646" t="s">
        <v>87</v>
      </c>
    </row>
    <row r="4647" spans="1:29" x14ac:dyDescent="0.35">
      <c r="A4647" s="7">
        <v>42932</v>
      </c>
      <c r="B4647" t="s">
        <v>30</v>
      </c>
      <c r="C4647">
        <v>304</v>
      </c>
      <c r="D4647">
        <v>1</v>
      </c>
      <c r="E4647">
        <v>2</v>
      </c>
      <c r="F4647" t="s">
        <v>1020</v>
      </c>
      <c r="G4647" t="s">
        <v>32</v>
      </c>
      <c r="H4647" t="s">
        <v>33</v>
      </c>
      <c r="I4647" t="s">
        <v>59</v>
      </c>
      <c r="AB4647" t="s">
        <v>60</v>
      </c>
      <c r="AC4647" t="s">
        <v>87</v>
      </c>
    </row>
    <row r="4648" spans="1:29" x14ac:dyDescent="0.35">
      <c r="A4648" s="7">
        <v>42932</v>
      </c>
      <c r="B4648" t="s">
        <v>30</v>
      </c>
      <c r="C4648">
        <v>304</v>
      </c>
      <c r="D4648">
        <v>2</v>
      </c>
      <c r="E4648">
        <v>1</v>
      </c>
      <c r="F4648" t="s">
        <v>1020</v>
      </c>
      <c r="G4648" t="s">
        <v>32</v>
      </c>
      <c r="H4648" t="s">
        <v>33</v>
      </c>
      <c r="I4648" t="s">
        <v>59</v>
      </c>
      <c r="AB4648" t="s">
        <v>60</v>
      </c>
      <c r="AC4648" t="s">
        <v>87</v>
      </c>
    </row>
    <row r="4649" spans="1:29" x14ac:dyDescent="0.35">
      <c r="A4649" s="7">
        <v>42932</v>
      </c>
      <c r="B4649" t="s">
        <v>30</v>
      </c>
      <c r="C4649">
        <v>304</v>
      </c>
      <c r="D4649">
        <v>2</v>
      </c>
      <c r="E4649">
        <v>2</v>
      </c>
      <c r="F4649" t="s">
        <v>1020</v>
      </c>
      <c r="G4649" t="s">
        <v>32</v>
      </c>
      <c r="H4649" t="s">
        <v>33</v>
      </c>
      <c r="I4649" t="s">
        <v>59</v>
      </c>
      <c r="AB4649" t="s">
        <v>60</v>
      </c>
      <c r="AC4649" t="s">
        <v>87</v>
      </c>
    </row>
    <row r="4650" spans="1:29" x14ac:dyDescent="0.35">
      <c r="A4650" s="7">
        <v>42932</v>
      </c>
      <c r="B4650" t="s">
        <v>30</v>
      </c>
      <c r="C4650">
        <v>304</v>
      </c>
      <c r="D4650">
        <v>3</v>
      </c>
      <c r="E4650">
        <v>1</v>
      </c>
      <c r="F4650" t="s">
        <v>1020</v>
      </c>
      <c r="G4650" t="s">
        <v>32</v>
      </c>
      <c r="H4650" t="s">
        <v>33</v>
      </c>
      <c r="I4650" t="s">
        <v>59</v>
      </c>
      <c r="AB4650" t="s">
        <v>60</v>
      </c>
      <c r="AC4650" t="s">
        <v>87</v>
      </c>
    </row>
    <row r="4651" spans="1:29" x14ac:dyDescent="0.35">
      <c r="A4651" s="7">
        <v>42932</v>
      </c>
      <c r="B4651" t="s">
        <v>30</v>
      </c>
      <c r="C4651">
        <v>304</v>
      </c>
      <c r="D4651">
        <v>3</v>
      </c>
      <c r="E4651">
        <v>2</v>
      </c>
      <c r="F4651" t="s">
        <v>1020</v>
      </c>
      <c r="G4651" t="s">
        <v>32</v>
      </c>
      <c r="H4651" t="s">
        <v>33</v>
      </c>
      <c r="I4651" t="s">
        <v>59</v>
      </c>
      <c r="AB4651" t="s">
        <v>60</v>
      </c>
      <c r="AC4651" t="s">
        <v>87</v>
      </c>
    </row>
    <row r="4652" spans="1:29" x14ac:dyDescent="0.35">
      <c r="A4652" s="7">
        <v>42932</v>
      </c>
      <c r="B4652" t="s">
        <v>30</v>
      </c>
      <c r="C4652">
        <v>304</v>
      </c>
      <c r="D4652">
        <v>4</v>
      </c>
      <c r="E4652">
        <v>1</v>
      </c>
      <c r="F4652" t="s">
        <v>1020</v>
      </c>
      <c r="G4652" t="s">
        <v>32</v>
      </c>
      <c r="H4652" t="s">
        <v>33</v>
      </c>
      <c r="I4652" t="s">
        <v>59</v>
      </c>
      <c r="AB4652" t="s">
        <v>60</v>
      </c>
      <c r="AC4652" t="s">
        <v>87</v>
      </c>
    </row>
    <row r="4653" spans="1:29" x14ac:dyDescent="0.35">
      <c r="A4653" s="7">
        <v>42932</v>
      </c>
      <c r="B4653" t="s">
        <v>30</v>
      </c>
      <c r="C4653">
        <v>304</v>
      </c>
      <c r="D4653">
        <v>4</v>
      </c>
      <c r="E4653">
        <v>2</v>
      </c>
      <c r="F4653" t="s">
        <v>1020</v>
      </c>
      <c r="G4653" t="s">
        <v>32</v>
      </c>
      <c r="H4653" t="s">
        <v>33</v>
      </c>
      <c r="I4653" t="s">
        <v>59</v>
      </c>
      <c r="AB4653" t="s">
        <v>60</v>
      </c>
      <c r="AC4653" t="s">
        <v>87</v>
      </c>
    </row>
    <row r="4654" spans="1:29" x14ac:dyDescent="0.35">
      <c r="A4654" s="7">
        <v>42932</v>
      </c>
      <c r="B4654" t="s">
        <v>30</v>
      </c>
      <c r="C4654">
        <v>304</v>
      </c>
      <c r="D4654">
        <v>5</v>
      </c>
      <c r="E4654">
        <v>1</v>
      </c>
      <c r="F4654" t="s">
        <v>1020</v>
      </c>
      <c r="G4654" t="s">
        <v>32</v>
      </c>
      <c r="H4654" t="s">
        <v>33</v>
      </c>
      <c r="I4654" t="s">
        <v>59</v>
      </c>
      <c r="AB4654" t="s">
        <v>60</v>
      </c>
      <c r="AC4654" t="s">
        <v>87</v>
      </c>
    </row>
    <row r="4655" spans="1:29" x14ac:dyDescent="0.35">
      <c r="A4655" s="7">
        <v>42932</v>
      </c>
      <c r="B4655" t="s">
        <v>30</v>
      </c>
      <c r="C4655">
        <v>304</v>
      </c>
      <c r="D4655">
        <v>5</v>
      </c>
      <c r="E4655">
        <v>2</v>
      </c>
      <c r="F4655" t="s">
        <v>1020</v>
      </c>
      <c r="G4655" t="s">
        <v>32</v>
      </c>
      <c r="H4655" t="s">
        <v>33</v>
      </c>
      <c r="I4655" t="s">
        <v>59</v>
      </c>
      <c r="AB4655" t="s">
        <v>60</v>
      </c>
      <c r="AC4655" t="s">
        <v>87</v>
      </c>
    </row>
    <row r="4656" spans="1:29" x14ac:dyDescent="0.35">
      <c r="A4656" s="7">
        <v>42932</v>
      </c>
      <c r="B4656" t="s">
        <v>30</v>
      </c>
      <c r="C4656">
        <v>304</v>
      </c>
      <c r="D4656">
        <v>6</v>
      </c>
      <c r="E4656">
        <v>1</v>
      </c>
      <c r="F4656" t="s">
        <v>1020</v>
      </c>
      <c r="G4656" t="s">
        <v>32</v>
      </c>
      <c r="H4656" t="s">
        <v>33</v>
      </c>
      <c r="I4656" t="s">
        <v>84</v>
      </c>
      <c r="AB4656" t="s">
        <v>60</v>
      </c>
      <c r="AC4656" t="s">
        <v>87</v>
      </c>
    </row>
    <row r="4657" spans="1:29" x14ac:dyDescent="0.35">
      <c r="A4657" s="7">
        <v>42932</v>
      </c>
      <c r="B4657" t="s">
        <v>30</v>
      </c>
      <c r="C4657">
        <v>304</v>
      </c>
      <c r="D4657">
        <v>7</v>
      </c>
      <c r="E4657">
        <v>1</v>
      </c>
      <c r="F4657" t="s">
        <v>1020</v>
      </c>
      <c r="G4657" t="s">
        <v>32</v>
      </c>
      <c r="H4657" t="s">
        <v>33</v>
      </c>
      <c r="I4657" t="s">
        <v>59</v>
      </c>
      <c r="AB4657" t="s">
        <v>60</v>
      </c>
      <c r="AC4657" t="s">
        <v>87</v>
      </c>
    </row>
    <row r="4658" spans="1:29" x14ac:dyDescent="0.35">
      <c r="A4658" s="7">
        <v>42932</v>
      </c>
      <c r="B4658" t="s">
        <v>30</v>
      </c>
      <c r="C4658">
        <v>304</v>
      </c>
      <c r="D4658">
        <v>7</v>
      </c>
      <c r="E4658">
        <v>2</v>
      </c>
      <c r="F4658" t="s">
        <v>1020</v>
      </c>
      <c r="G4658" t="s">
        <v>32</v>
      </c>
      <c r="H4658" t="s">
        <v>33</v>
      </c>
      <c r="I4658" t="s">
        <v>59</v>
      </c>
      <c r="AB4658" t="s">
        <v>60</v>
      </c>
      <c r="AC4658" t="s">
        <v>87</v>
      </c>
    </row>
    <row r="4659" spans="1:29" x14ac:dyDescent="0.35">
      <c r="A4659" s="7">
        <v>42932</v>
      </c>
      <c r="B4659" t="s">
        <v>30</v>
      </c>
      <c r="C4659">
        <v>304</v>
      </c>
      <c r="D4659">
        <v>8</v>
      </c>
      <c r="E4659">
        <v>1</v>
      </c>
      <c r="F4659" t="s">
        <v>1020</v>
      </c>
      <c r="G4659" t="s">
        <v>32</v>
      </c>
      <c r="H4659" t="s">
        <v>33</v>
      </c>
      <c r="I4659" t="s">
        <v>59</v>
      </c>
      <c r="AB4659" t="s">
        <v>60</v>
      </c>
      <c r="AC4659" t="s">
        <v>87</v>
      </c>
    </row>
    <row r="4660" spans="1:29" x14ac:dyDescent="0.35">
      <c r="A4660" s="7">
        <v>42932</v>
      </c>
      <c r="B4660" t="s">
        <v>30</v>
      </c>
      <c r="C4660">
        <v>304</v>
      </c>
      <c r="D4660">
        <v>8</v>
      </c>
      <c r="E4660">
        <v>2</v>
      </c>
      <c r="F4660" t="s">
        <v>1020</v>
      </c>
      <c r="G4660" t="s">
        <v>32</v>
      </c>
      <c r="H4660" t="s">
        <v>33</v>
      </c>
      <c r="I4660" t="s">
        <v>59</v>
      </c>
      <c r="AB4660" t="s">
        <v>60</v>
      </c>
      <c r="AC4660" t="s">
        <v>87</v>
      </c>
    </row>
    <row r="4661" spans="1:29" x14ac:dyDescent="0.35">
      <c r="A4661" s="7">
        <v>42932</v>
      </c>
      <c r="B4661" t="s">
        <v>30</v>
      </c>
      <c r="C4661">
        <v>304</v>
      </c>
      <c r="D4661">
        <v>9</v>
      </c>
      <c r="E4661">
        <v>1</v>
      </c>
      <c r="F4661" t="s">
        <v>1020</v>
      </c>
      <c r="G4661" t="s">
        <v>32</v>
      </c>
      <c r="H4661" t="s">
        <v>33</v>
      </c>
      <c r="I4661" t="s">
        <v>59</v>
      </c>
      <c r="AB4661" t="s">
        <v>60</v>
      </c>
      <c r="AC4661" t="s">
        <v>87</v>
      </c>
    </row>
    <row r="4662" spans="1:29" x14ac:dyDescent="0.35">
      <c r="A4662" s="7">
        <v>42932</v>
      </c>
      <c r="B4662" t="s">
        <v>30</v>
      </c>
      <c r="C4662">
        <v>304</v>
      </c>
      <c r="D4662">
        <v>9</v>
      </c>
      <c r="E4662">
        <v>2</v>
      </c>
      <c r="F4662" t="s">
        <v>1020</v>
      </c>
      <c r="G4662" t="s">
        <v>32</v>
      </c>
      <c r="H4662" t="s">
        <v>33</v>
      </c>
      <c r="I4662" t="s">
        <v>84</v>
      </c>
      <c r="AB4662" t="s">
        <v>60</v>
      </c>
      <c r="AC4662" t="s">
        <v>87</v>
      </c>
    </row>
    <row r="4663" spans="1:29" x14ac:dyDescent="0.35">
      <c r="A4663" s="7">
        <v>42932</v>
      </c>
      <c r="B4663" t="s">
        <v>30</v>
      </c>
      <c r="C4663">
        <v>304</v>
      </c>
      <c r="D4663">
        <v>10</v>
      </c>
      <c r="E4663">
        <v>1</v>
      </c>
      <c r="F4663" t="s">
        <v>1020</v>
      </c>
      <c r="G4663" t="s">
        <v>32</v>
      </c>
      <c r="H4663" t="s">
        <v>33</v>
      </c>
      <c r="I4663" t="s">
        <v>59</v>
      </c>
      <c r="AB4663" t="s">
        <v>60</v>
      </c>
      <c r="AC4663" t="s">
        <v>87</v>
      </c>
    </row>
    <row r="4664" spans="1:29" x14ac:dyDescent="0.35">
      <c r="A4664" s="7">
        <v>42932</v>
      </c>
      <c r="B4664" t="s">
        <v>30</v>
      </c>
      <c r="C4664">
        <v>304</v>
      </c>
      <c r="D4664">
        <v>10</v>
      </c>
      <c r="E4664">
        <v>2</v>
      </c>
      <c r="F4664" t="s">
        <v>1020</v>
      </c>
      <c r="G4664" t="s">
        <v>32</v>
      </c>
      <c r="H4664" t="s">
        <v>33</v>
      </c>
      <c r="I4664" t="s">
        <v>59</v>
      </c>
      <c r="AB4664" t="s">
        <v>60</v>
      </c>
      <c r="AC4664" t="s">
        <v>87</v>
      </c>
    </row>
    <row r="4665" spans="1:29" x14ac:dyDescent="0.35">
      <c r="A4665" s="7">
        <v>42932</v>
      </c>
      <c r="B4665" t="s">
        <v>30</v>
      </c>
      <c r="C4665">
        <v>402</v>
      </c>
      <c r="D4665">
        <v>1</v>
      </c>
      <c r="E4665">
        <v>1</v>
      </c>
      <c r="F4665" t="s">
        <v>315</v>
      </c>
      <c r="G4665" t="s">
        <v>32</v>
      </c>
      <c r="H4665" t="s">
        <v>33</v>
      </c>
      <c r="I4665" t="s">
        <v>43</v>
      </c>
      <c r="J4665" t="s">
        <v>44</v>
      </c>
      <c r="K4665" t="s">
        <v>113</v>
      </c>
      <c r="L4665" t="s">
        <v>37</v>
      </c>
      <c r="M4665">
        <v>0</v>
      </c>
      <c r="N4665">
        <v>0</v>
      </c>
      <c r="O4665">
        <v>39795</v>
      </c>
      <c r="P4665">
        <v>39794</v>
      </c>
      <c r="Q4665">
        <f>28-13</f>
        <v>15</v>
      </c>
      <c r="R4665" t="s">
        <v>38</v>
      </c>
      <c r="Z4665" t="s">
        <v>102</v>
      </c>
      <c r="AB4665" t="s">
        <v>60</v>
      </c>
      <c r="AC4665" t="s">
        <v>87</v>
      </c>
    </row>
    <row r="4666" spans="1:29" x14ac:dyDescent="0.35">
      <c r="A4666" s="7">
        <v>42932</v>
      </c>
      <c r="B4666" t="s">
        <v>30</v>
      </c>
      <c r="C4666">
        <v>402</v>
      </c>
      <c r="D4666">
        <v>1</v>
      </c>
      <c r="E4666">
        <v>2</v>
      </c>
      <c r="F4666" t="s">
        <v>315</v>
      </c>
      <c r="G4666" t="s">
        <v>32</v>
      </c>
      <c r="H4666" t="s">
        <v>33</v>
      </c>
      <c r="I4666" t="s">
        <v>59</v>
      </c>
      <c r="AB4666" t="s">
        <v>60</v>
      </c>
      <c r="AC4666" t="s">
        <v>87</v>
      </c>
    </row>
    <row r="4667" spans="1:29" x14ac:dyDescent="0.35">
      <c r="A4667" s="7">
        <v>42932</v>
      </c>
      <c r="B4667" t="s">
        <v>30</v>
      </c>
      <c r="C4667">
        <v>402</v>
      </c>
      <c r="D4667">
        <v>2</v>
      </c>
      <c r="E4667">
        <v>1</v>
      </c>
      <c r="F4667" t="s">
        <v>315</v>
      </c>
      <c r="G4667" t="s">
        <v>32</v>
      </c>
      <c r="H4667" t="s">
        <v>33</v>
      </c>
      <c r="I4667" t="s">
        <v>58</v>
      </c>
      <c r="J4667" t="s">
        <v>44</v>
      </c>
      <c r="K4667" t="s">
        <v>36</v>
      </c>
      <c r="L4667" t="s">
        <v>45</v>
      </c>
      <c r="M4667">
        <v>0</v>
      </c>
      <c r="N4667">
        <v>0</v>
      </c>
      <c r="O4667">
        <v>39154</v>
      </c>
      <c r="Q4667">
        <f>47-13.5</f>
        <v>33.5</v>
      </c>
      <c r="R4667" t="s">
        <v>1028</v>
      </c>
      <c r="S4667" t="s">
        <v>102</v>
      </c>
      <c r="Z4667" t="s">
        <v>102</v>
      </c>
      <c r="AB4667" t="s">
        <v>60</v>
      </c>
      <c r="AC4667" t="s">
        <v>87</v>
      </c>
    </row>
    <row r="4668" spans="1:29" x14ac:dyDescent="0.35">
      <c r="A4668" s="7">
        <v>42932</v>
      </c>
      <c r="B4668" t="s">
        <v>30</v>
      </c>
      <c r="C4668">
        <v>402</v>
      </c>
      <c r="D4668">
        <v>2</v>
      </c>
      <c r="E4668">
        <v>2</v>
      </c>
      <c r="F4668" t="s">
        <v>315</v>
      </c>
      <c r="G4668" t="s">
        <v>32</v>
      </c>
      <c r="H4668" t="s">
        <v>33</v>
      </c>
      <c r="I4668" t="s">
        <v>34</v>
      </c>
      <c r="J4668" t="s">
        <v>44</v>
      </c>
      <c r="K4668" t="s">
        <v>36</v>
      </c>
      <c r="M4668">
        <v>0</v>
      </c>
      <c r="N4668">
        <v>0</v>
      </c>
      <c r="O4668">
        <v>2854</v>
      </c>
      <c r="Z4668" t="s">
        <v>102</v>
      </c>
      <c r="AB4668" t="s">
        <v>60</v>
      </c>
      <c r="AC4668" t="s">
        <v>87</v>
      </c>
    </row>
    <row r="4669" spans="1:29" x14ac:dyDescent="0.35">
      <c r="A4669" s="7">
        <v>42932</v>
      </c>
      <c r="B4669" t="s">
        <v>30</v>
      </c>
      <c r="C4669">
        <v>402</v>
      </c>
      <c r="D4669">
        <v>3</v>
      </c>
      <c r="E4669">
        <v>1</v>
      </c>
      <c r="F4669" t="s">
        <v>315</v>
      </c>
      <c r="G4669" t="s">
        <v>32</v>
      </c>
      <c r="H4669" t="s">
        <v>33</v>
      </c>
      <c r="I4669" t="s">
        <v>58</v>
      </c>
      <c r="J4669" t="s">
        <v>44</v>
      </c>
      <c r="K4669" t="s">
        <v>36</v>
      </c>
      <c r="L4669" t="s">
        <v>45</v>
      </c>
      <c r="M4669">
        <v>0</v>
      </c>
      <c r="N4669">
        <v>0</v>
      </c>
      <c r="O4669">
        <v>15729</v>
      </c>
      <c r="Q4669">
        <f>36.5-14.5</f>
        <v>22</v>
      </c>
      <c r="R4669" t="s">
        <v>79</v>
      </c>
      <c r="S4669" t="s">
        <v>39</v>
      </c>
      <c r="Z4669" t="s">
        <v>102</v>
      </c>
      <c r="AB4669" t="s">
        <v>60</v>
      </c>
      <c r="AC4669" t="s">
        <v>87</v>
      </c>
    </row>
    <row r="4670" spans="1:29" x14ac:dyDescent="0.35">
      <c r="A4670" s="7">
        <v>42932</v>
      </c>
      <c r="B4670" t="s">
        <v>30</v>
      </c>
      <c r="C4670">
        <v>402</v>
      </c>
      <c r="D4670">
        <v>3</v>
      </c>
      <c r="E4670">
        <v>2</v>
      </c>
      <c r="F4670" t="s">
        <v>315</v>
      </c>
      <c r="G4670" t="s">
        <v>32</v>
      </c>
      <c r="H4670" t="s">
        <v>33</v>
      </c>
      <c r="I4670" t="s">
        <v>59</v>
      </c>
      <c r="AB4670" t="s">
        <v>60</v>
      </c>
      <c r="AC4670" t="s">
        <v>87</v>
      </c>
    </row>
    <row r="4671" spans="1:29" x14ac:dyDescent="0.35">
      <c r="A4671" s="7">
        <v>42932</v>
      </c>
      <c r="B4671" t="s">
        <v>30</v>
      </c>
      <c r="C4671">
        <v>402</v>
      </c>
      <c r="D4671">
        <v>4</v>
      </c>
      <c r="E4671">
        <v>1</v>
      </c>
      <c r="F4671" t="s">
        <v>315</v>
      </c>
      <c r="G4671" t="s">
        <v>32</v>
      </c>
      <c r="H4671" t="s">
        <v>33</v>
      </c>
      <c r="I4671" t="s">
        <v>59</v>
      </c>
      <c r="AB4671" t="s">
        <v>60</v>
      </c>
      <c r="AC4671" t="s">
        <v>87</v>
      </c>
    </row>
    <row r="4672" spans="1:29" x14ac:dyDescent="0.35">
      <c r="A4672" s="7">
        <v>42932</v>
      </c>
      <c r="B4672" t="s">
        <v>30</v>
      </c>
      <c r="C4672">
        <v>402</v>
      </c>
      <c r="D4672">
        <v>4</v>
      </c>
      <c r="E4672">
        <v>2</v>
      </c>
      <c r="F4672" t="s">
        <v>315</v>
      </c>
      <c r="G4672" t="s">
        <v>32</v>
      </c>
      <c r="H4672" t="s">
        <v>33</v>
      </c>
      <c r="I4672" t="s">
        <v>43</v>
      </c>
      <c r="J4672" t="s">
        <v>44</v>
      </c>
      <c r="K4672" t="s">
        <v>113</v>
      </c>
      <c r="L4672" t="s">
        <v>45</v>
      </c>
      <c r="M4672">
        <v>0</v>
      </c>
      <c r="N4672">
        <v>0</v>
      </c>
      <c r="O4672">
        <v>39478</v>
      </c>
      <c r="P4672">
        <v>39477</v>
      </c>
      <c r="Q4672">
        <f>31-15.5</f>
        <v>15.5</v>
      </c>
      <c r="R4672" t="s">
        <v>79</v>
      </c>
      <c r="S4672" t="s">
        <v>39</v>
      </c>
      <c r="AB4672" t="s">
        <v>60</v>
      </c>
      <c r="AC4672" t="s">
        <v>87</v>
      </c>
    </row>
    <row r="4673" spans="1:30" x14ac:dyDescent="0.35">
      <c r="A4673" s="7">
        <v>42932</v>
      </c>
      <c r="B4673" t="s">
        <v>30</v>
      </c>
      <c r="C4673">
        <v>402</v>
      </c>
      <c r="D4673">
        <v>5</v>
      </c>
      <c r="E4673">
        <v>1</v>
      </c>
      <c r="F4673" t="s">
        <v>315</v>
      </c>
      <c r="G4673" t="s">
        <v>32</v>
      </c>
      <c r="H4673" t="s">
        <v>33</v>
      </c>
      <c r="I4673" t="s">
        <v>43</v>
      </c>
      <c r="J4673" t="s">
        <v>44</v>
      </c>
      <c r="K4673" t="s">
        <v>113</v>
      </c>
      <c r="L4673" t="s">
        <v>37</v>
      </c>
      <c r="M4673">
        <v>0</v>
      </c>
      <c r="N4673">
        <v>0</v>
      </c>
      <c r="O4673">
        <v>38912</v>
      </c>
      <c r="P4673">
        <v>38913</v>
      </c>
      <c r="Q4673">
        <f>30-14</f>
        <v>16</v>
      </c>
      <c r="R4673" t="s">
        <v>64</v>
      </c>
      <c r="Z4673" t="s">
        <v>102</v>
      </c>
      <c r="AB4673" t="s">
        <v>60</v>
      </c>
      <c r="AC4673" t="s">
        <v>87</v>
      </c>
    </row>
    <row r="4674" spans="1:30" x14ac:dyDescent="0.35">
      <c r="A4674" s="7">
        <v>42932</v>
      </c>
      <c r="B4674" t="s">
        <v>30</v>
      </c>
      <c r="C4674">
        <v>402</v>
      </c>
      <c r="D4674">
        <v>5</v>
      </c>
      <c r="E4674">
        <v>2</v>
      </c>
      <c r="F4674" t="s">
        <v>315</v>
      </c>
      <c r="G4674" t="s">
        <v>32</v>
      </c>
      <c r="H4674" t="s">
        <v>33</v>
      </c>
      <c r="I4674" t="s">
        <v>59</v>
      </c>
      <c r="AB4674" t="s">
        <v>60</v>
      </c>
      <c r="AC4674" t="s">
        <v>87</v>
      </c>
    </row>
    <row r="4675" spans="1:30" x14ac:dyDescent="0.35">
      <c r="A4675" s="7">
        <v>42932</v>
      </c>
      <c r="B4675" t="s">
        <v>30</v>
      </c>
      <c r="C4675">
        <v>402</v>
      </c>
      <c r="D4675">
        <v>6</v>
      </c>
      <c r="E4675">
        <v>1</v>
      </c>
      <c r="F4675" t="s">
        <v>315</v>
      </c>
      <c r="G4675" t="s">
        <v>32</v>
      </c>
      <c r="H4675" t="s">
        <v>33</v>
      </c>
      <c r="I4675" t="s">
        <v>59</v>
      </c>
      <c r="AB4675" t="s">
        <v>60</v>
      </c>
      <c r="AC4675" t="s">
        <v>87</v>
      </c>
    </row>
    <row r="4676" spans="1:30" x14ac:dyDescent="0.35">
      <c r="A4676" s="7">
        <v>42932</v>
      </c>
      <c r="B4676" t="s">
        <v>30</v>
      </c>
      <c r="C4676">
        <v>402</v>
      </c>
      <c r="D4676">
        <v>6</v>
      </c>
      <c r="E4676">
        <v>2</v>
      </c>
      <c r="F4676" t="s">
        <v>315</v>
      </c>
      <c r="G4676" t="s">
        <v>32</v>
      </c>
      <c r="H4676" t="s">
        <v>33</v>
      </c>
      <c r="I4676" t="s">
        <v>43</v>
      </c>
      <c r="J4676" t="s">
        <v>44</v>
      </c>
      <c r="K4676" t="s">
        <v>36</v>
      </c>
      <c r="L4676" t="s">
        <v>37</v>
      </c>
      <c r="M4676">
        <v>0</v>
      </c>
      <c r="N4676">
        <v>0</v>
      </c>
      <c r="O4676">
        <v>39480</v>
      </c>
      <c r="P4676">
        <v>39479</v>
      </c>
      <c r="Q4676">
        <f>33-16.5</f>
        <v>16.5</v>
      </c>
      <c r="R4676" t="s">
        <v>38</v>
      </c>
      <c r="Z4676" t="s">
        <v>102</v>
      </c>
      <c r="AB4676" t="s">
        <v>60</v>
      </c>
      <c r="AC4676" t="s">
        <v>87</v>
      </c>
    </row>
    <row r="4677" spans="1:30" x14ac:dyDescent="0.35">
      <c r="A4677" s="7">
        <v>42932</v>
      </c>
      <c r="B4677" t="s">
        <v>30</v>
      </c>
      <c r="C4677">
        <v>402</v>
      </c>
      <c r="D4677">
        <v>7</v>
      </c>
      <c r="E4677">
        <v>1</v>
      </c>
      <c r="F4677" t="s">
        <v>315</v>
      </c>
      <c r="G4677" t="s">
        <v>32</v>
      </c>
      <c r="H4677" t="s">
        <v>33</v>
      </c>
      <c r="I4677" t="s">
        <v>43</v>
      </c>
      <c r="J4677" t="s">
        <v>44</v>
      </c>
      <c r="K4677" t="s">
        <v>36</v>
      </c>
      <c r="L4677" t="s">
        <v>45</v>
      </c>
      <c r="M4677">
        <v>0</v>
      </c>
      <c r="N4677">
        <v>0</v>
      </c>
      <c r="Q4677">
        <f>36-13.5</f>
        <v>22.5</v>
      </c>
      <c r="R4677" t="s">
        <v>79</v>
      </c>
      <c r="S4677" t="s">
        <v>39</v>
      </c>
      <c r="Z4677" t="s">
        <v>102</v>
      </c>
      <c r="AB4677" t="s">
        <v>60</v>
      </c>
      <c r="AC4677" t="s">
        <v>87</v>
      </c>
      <c r="AD4677" t="s">
        <v>1044</v>
      </c>
    </row>
    <row r="4678" spans="1:30" x14ac:dyDescent="0.35">
      <c r="A4678" s="7">
        <v>42932</v>
      </c>
      <c r="B4678" t="s">
        <v>30</v>
      </c>
      <c r="C4678">
        <v>402</v>
      </c>
      <c r="D4678">
        <v>7</v>
      </c>
      <c r="E4678">
        <v>2</v>
      </c>
      <c r="F4678" t="s">
        <v>315</v>
      </c>
      <c r="G4678" t="s">
        <v>32</v>
      </c>
      <c r="H4678" t="s">
        <v>33</v>
      </c>
      <c r="I4678" t="s">
        <v>59</v>
      </c>
      <c r="AB4678" t="s">
        <v>60</v>
      </c>
      <c r="AC4678" t="s">
        <v>87</v>
      </c>
    </row>
    <row r="4679" spans="1:30" x14ac:dyDescent="0.35">
      <c r="A4679" s="7">
        <v>42932</v>
      </c>
      <c r="B4679" t="s">
        <v>30</v>
      </c>
      <c r="C4679">
        <v>402</v>
      </c>
      <c r="D4679">
        <v>8</v>
      </c>
      <c r="E4679">
        <v>1</v>
      </c>
      <c r="F4679" t="s">
        <v>315</v>
      </c>
      <c r="G4679" t="s">
        <v>32</v>
      </c>
      <c r="H4679" t="s">
        <v>33</v>
      </c>
      <c r="I4679" t="s">
        <v>59</v>
      </c>
      <c r="AB4679" t="s">
        <v>60</v>
      </c>
      <c r="AC4679" t="s">
        <v>87</v>
      </c>
    </row>
    <row r="4680" spans="1:30" x14ac:dyDescent="0.35">
      <c r="A4680" s="7">
        <v>42932</v>
      </c>
      <c r="B4680" t="s">
        <v>30</v>
      </c>
      <c r="C4680">
        <v>402</v>
      </c>
      <c r="D4680">
        <v>8</v>
      </c>
      <c r="E4680">
        <v>2</v>
      </c>
      <c r="F4680" t="s">
        <v>315</v>
      </c>
      <c r="G4680" t="s">
        <v>32</v>
      </c>
      <c r="H4680" t="s">
        <v>33</v>
      </c>
      <c r="I4680" t="s">
        <v>58</v>
      </c>
      <c r="J4680" t="s">
        <v>35</v>
      </c>
      <c r="K4680" t="s">
        <v>36</v>
      </c>
      <c r="L4680" t="s">
        <v>37</v>
      </c>
      <c r="M4680">
        <v>0</v>
      </c>
      <c r="N4680">
        <v>1</v>
      </c>
      <c r="O4680">
        <v>39487</v>
      </c>
      <c r="Q4680">
        <f>35.5-15.5</f>
        <v>20</v>
      </c>
      <c r="R4680" t="s">
        <v>38</v>
      </c>
      <c r="Z4680" t="s">
        <v>102</v>
      </c>
      <c r="AB4680" t="s">
        <v>60</v>
      </c>
      <c r="AC4680" t="s">
        <v>87</v>
      </c>
    </row>
    <row r="4681" spans="1:30" x14ac:dyDescent="0.35">
      <c r="A4681" s="7">
        <v>42932</v>
      </c>
      <c r="B4681" t="s">
        <v>30</v>
      </c>
      <c r="C4681">
        <v>402</v>
      </c>
      <c r="D4681">
        <v>9</v>
      </c>
      <c r="E4681">
        <v>1</v>
      </c>
      <c r="F4681" t="s">
        <v>315</v>
      </c>
      <c r="G4681" t="s">
        <v>32</v>
      </c>
      <c r="H4681" t="s">
        <v>33</v>
      </c>
      <c r="I4681" t="s">
        <v>59</v>
      </c>
      <c r="AB4681" t="s">
        <v>60</v>
      </c>
      <c r="AC4681" t="s">
        <v>87</v>
      </c>
    </row>
    <row r="4682" spans="1:30" x14ac:dyDescent="0.35">
      <c r="A4682" s="7">
        <v>42932</v>
      </c>
      <c r="B4682" t="s">
        <v>30</v>
      </c>
      <c r="C4682">
        <v>402</v>
      </c>
      <c r="D4682">
        <v>9</v>
      </c>
      <c r="E4682">
        <v>2</v>
      </c>
      <c r="F4682" t="s">
        <v>315</v>
      </c>
      <c r="G4682" t="s">
        <v>32</v>
      </c>
      <c r="H4682" t="s">
        <v>33</v>
      </c>
      <c r="I4682" t="s">
        <v>59</v>
      </c>
      <c r="AB4682" t="s">
        <v>60</v>
      </c>
      <c r="AC4682" t="s">
        <v>87</v>
      </c>
    </row>
    <row r="4683" spans="1:30" x14ac:dyDescent="0.35">
      <c r="A4683" s="7">
        <v>42932</v>
      </c>
      <c r="B4683" t="s">
        <v>30</v>
      </c>
      <c r="C4683">
        <v>402</v>
      </c>
      <c r="D4683">
        <v>10</v>
      </c>
      <c r="E4683">
        <v>1</v>
      </c>
      <c r="F4683" t="s">
        <v>315</v>
      </c>
      <c r="G4683" t="s">
        <v>32</v>
      </c>
      <c r="H4683" t="s">
        <v>33</v>
      </c>
      <c r="I4683" t="s">
        <v>59</v>
      </c>
      <c r="AB4683" t="s">
        <v>60</v>
      </c>
      <c r="AC4683" t="s">
        <v>87</v>
      </c>
    </row>
    <row r="4684" spans="1:30" x14ac:dyDescent="0.35">
      <c r="A4684" s="7">
        <v>42932</v>
      </c>
      <c r="B4684" t="s">
        <v>30</v>
      </c>
      <c r="C4684">
        <v>402</v>
      </c>
      <c r="D4684">
        <v>10</v>
      </c>
      <c r="E4684">
        <v>2</v>
      </c>
      <c r="F4684" t="s">
        <v>315</v>
      </c>
      <c r="G4684" t="s">
        <v>32</v>
      </c>
      <c r="H4684" t="s">
        <v>33</v>
      </c>
      <c r="I4684" t="s">
        <v>43</v>
      </c>
      <c r="J4684" t="s">
        <v>44</v>
      </c>
      <c r="K4684" t="s">
        <v>36</v>
      </c>
      <c r="L4684" t="s">
        <v>37</v>
      </c>
      <c r="M4684">
        <v>0</v>
      </c>
      <c r="N4684">
        <v>0</v>
      </c>
      <c r="O4684">
        <v>39482</v>
      </c>
      <c r="P4684">
        <v>39483</v>
      </c>
      <c r="Q4684">
        <f>31.5-15.5</f>
        <v>16</v>
      </c>
      <c r="R4684" t="s">
        <v>38</v>
      </c>
      <c r="Y4684" t="s">
        <v>1045</v>
      </c>
      <c r="AB4684" t="s">
        <v>60</v>
      </c>
      <c r="AC4684" t="s">
        <v>87</v>
      </c>
    </row>
    <row r="4685" spans="1:30" x14ac:dyDescent="0.35">
      <c r="A4685" s="7">
        <v>42935</v>
      </c>
      <c r="B4685" t="s">
        <v>30</v>
      </c>
      <c r="C4685">
        <v>303</v>
      </c>
      <c r="D4685">
        <v>1</v>
      </c>
      <c r="E4685">
        <v>1</v>
      </c>
      <c r="F4685" t="s">
        <v>315</v>
      </c>
      <c r="G4685" t="s">
        <v>32</v>
      </c>
      <c r="H4685" t="s">
        <v>33</v>
      </c>
      <c r="I4685" t="s">
        <v>59</v>
      </c>
      <c r="AB4685" t="s">
        <v>60</v>
      </c>
      <c r="AC4685" t="s">
        <v>87</v>
      </c>
    </row>
    <row r="4686" spans="1:30" x14ac:dyDescent="0.35">
      <c r="A4686" s="7">
        <v>42935</v>
      </c>
      <c r="B4686" t="s">
        <v>30</v>
      </c>
      <c r="C4686">
        <v>303</v>
      </c>
      <c r="D4686">
        <v>1</v>
      </c>
      <c r="E4686">
        <v>2</v>
      </c>
      <c r="F4686" t="s">
        <v>315</v>
      </c>
      <c r="G4686" t="s">
        <v>32</v>
      </c>
      <c r="H4686" t="s">
        <v>33</v>
      </c>
      <c r="I4686" t="s">
        <v>59</v>
      </c>
      <c r="AB4686" t="s">
        <v>60</v>
      </c>
      <c r="AC4686" t="s">
        <v>87</v>
      </c>
    </row>
    <row r="4687" spans="1:30" x14ac:dyDescent="0.35">
      <c r="A4687" s="7">
        <v>42935</v>
      </c>
      <c r="B4687" t="s">
        <v>30</v>
      </c>
      <c r="C4687">
        <v>303</v>
      </c>
      <c r="D4687">
        <v>2</v>
      </c>
      <c r="E4687">
        <v>1</v>
      </c>
      <c r="F4687" t="s">
        <v>315</v>
      </c>
      <c r="G4687" t="s">
        <v>32</v>
      </c>
      <c r="H4687" t="s">
        <v>33</v>
      </c>
      <c r="I4687" t="s">
        <v>59</v>
      </c>
      <c r="AB4687" t="s">
        <v>60</v>
      </c>
      <c r="AC4687" t="s">
        <v>87</v>
      </c>
    </row>
    <row r="4688" spans="1:30" x14ac:dyDescent="0.35">
      <c r="A4688" s="7">
        <v>42935</v>
      </c>
      <c r="B4688" t="s">
        <v>30</v>
      </c>
      <c r="C4688">
        <v>303</v>
      </c>
      <c r="D4688">
        <v>2</v>
      </c>
      <c r="E4688">
        <v>2</v>
      </c>
      <c r="F4688" t="s">
        <v>315</v>
      </c>
      <c r="G4688" t="s">
        <v>32</v>
      </c>
      <c r="H4688" t="s">
        <v>33</v>
      </c>
      <c r="I4688" t="s">
        <v>59</v>
      </c>
      <c r="AB4688" t="s">
        <v>60</v>
      </c>
      <c r="AC4688" t="s">
        <v>87</v>
      </c>
    </row>
    <row r="4689" spans="1:30" x14ac:dyDescent="0.35">
      <c r="A4689" s="7">
        <v>42935</v>
      </c>
      <c r="B4689" t="s">
        <v>30</v>
      </c>
      <c r="C4689">
        <v>303</v>
      </c>
      <c r="D4689">
        <v>3</v>
      </c>
      <c r="E4689">
        <v>1</v>
      </c>
      <c r="F4689" t="s">
        <v>315</v>
      </c>
      <c r="G4689" t="s">
        <v>32</v>
      </c>
      <c r="H4689" t="s">
        <v>33</v>
      </c>
      <c r="I4689" t="s">
        <v>59</v>
      </c>
      <c r="AB4689" t="s">
        <v>60</v>
      </c>
      <c r="AC4689" t="s">
        <v>87</v>
      </c>
    </row>
    <row r="4690" spans="1:30" x14ac:dyDescent="0.35">
      <c r="A4690" s="7">
        <v>42935</v>
      </c>
      <c r="B4690" t="s">
        <v>30</v>
      </c>
      <c r="C4690">
        <v>303</v>
      </c>
      <c r="D4690">
        <v>3</v>
      </c>
      <c r="E4690">
        <v>2</v>
      </c>
      <c r="F4690" t="s">
        <v>315</v>
      </c>
      <c r="G4690" t="s">
        <v>32</v>
      </c>
      <c r="H4690" t="s">
        <v>33</v>
      </c>
      <c r="I4690" t="s">
        <v>43</v>
      </c>
      <c r="J4690" t="s">
        <v>44</v>
      </c>
      <c r="K4690" t="s">
        <v>113</v>
      </c>
      <c r="L4690" t="s">
        <v>37</v>
      </c>
      <c r="M4690">
        <v>0</v>
      </c>
      <c r="N4690">
        <v>0</v>
      </c>
      <c r="O4690">
        <v>39191</v>
      </c>
      <c r="P4690">
        <v>39190</v>
      </c>
      <c r="Q4690">
        <f>31-14</f>
        <v>17</v>
      </c>
      <c r="R4690" t="s">
        <v>38</v>
      </c>
      <c r="Y4690" t="s">
        <v>1046</v>
      </c>
      <c r="Z4690" t="s">
        <v>102</v>
      </c>
      <c r="AB4690" t="s">
        <v>60</v>
      </c>
      <c r="AC4690" t="s">
        <v>87</v>
      </c>
    </row>
    <row r="4691" spans="1:30" x14ac:dyDescent="0.35">
      <c r="A4691" s="7">
        <v>42935</v>
      </c>
      <c r="B4691" t="s">
        <v>30</v>
      </c>
      <c r="C4691">
        <v>303</v>
      </c>
      <c r="D4691">
        <v>5</v>
      </c>
      <c r="E4691">
        <v>1</v>
      </c>
      <c r="F4691" t="s">
        <v>315</v>
      </c>
      <c r="G4691" t="s">
        <v>32</v>
      </c>
      <c r="H4691" t="s">
        <v>33</v>
      </c>
      <c r="I4691" t="s">
        <v>59</v>
      </c>
      <c r="AB4691" t="s">
        <v>60</v>
      </c>
      <c r="AC4691" t="s">
        <v>87</v>
      </c>
    </row>
    <row r="4692" spans="1:30" x14ac:dyDescent="0.35">
      <c r="A4692" s="7">
        <v>42935</v>
      </c>
      <c r="B4692" t="s">
        <v>30</v>
      </c>
      <c r="C4692">
        <v>303</v>
      </c>
      <c r="D4692">
        <v>6</v>
      </c>
      <c r="E4692">
        <v>1</v>
      </c>
      <c r="F4692" t="s">
        <v>315</v>
      </c>
      <c r="G4692" t="s">
        <v>32</v>
      </c>
      <c r="H4692" t="s">
        <v>33</v>
      </c>
      <c r="I4692" t="s">
        <v>43</v>
      </c>
      <c r="J4692" t="s">
        <v>44</v>
      </c>
      <c r="K4692" t="s">
        <v>88</v>
      </c>
      <c r="L4692" t="s">
        <v>45</v>
      </c>
      <c r="M4692">
        <v>0</v>
      </c>
      <c r="N4692">
        <v>0</v>
      </c>
      <c r="O4692">
        <v>38989</v>
      </c>
      <c r="P4692">
        <v>38988</v>
      </c>
      <c r="Q4692">
        <f>30-14</f>
        <v>16</v>
      </c>
      <c r="R4692" t="s">
        <v>46</v>
      </c>
      <c r="S4692" t="s">
        <v>39</v>
      </c>
      <c r="Z4692" t="s">
        <v>102</v>
      </c>
      <c r="AB4692" t="s">
        <v>60</v>
      </c>
      <c r="AC4692" t="s">
        <v>87</v>
      </c>
    </row>
    <row r="4693" spans="1:30" x14ac:dyDescent="0.35">
      <c r="A4693" s="7">
        <v>42935</v>
      </c>
      <c r="B4693" t="s">
        <v>30</v>
      </c>
      <c r="C4693">
        <v>303</v>
      </c>
      <c r="D4693">
        <v>8</v>
      </c>
      <c r="E4693">
        <v>1</v>
      </c>
      <c r="F4693" t="s">
        <v>315</v>
      </c>
      <c r="G4693" t="s">
        <v>32</v>
      </c>
      <c r="H4693" t="s">
        <v>33</v>
      </c>
      <c r="I4693" t="s">
        <v>43</v>
      </c>
      <c r="J4693" t="s">
        <v>35</v>
      </c>
      <c r="K4693" t="s">
        <v>88</v>
      </c>
      <c r="L4693" t="s">
        <v>37</v>
      </c>
      <c r="M4693">
        <v>0</v>
      </c>
      <c r="N4693">
        <v>1</v>
      </c>
      <c r="O4693">
        <v>39494</v>
      </c>
      <c r="P4693">
        <v>39493</v>
      </c>
      <c r="Q4693">
        <f>28-14</f>
        <v>14</v>
      </c>
      <c r="R4693" t="s">
        <v>64</v>
      </c>
      <c r="AB4693" t="s">
        <v>60</v>
      </c>
      <c r="AC4693" t="s">
        <v>87</v>
      </c>
    </row>
    <row r="4694" spans="1:30" x14ac:dyDescent="0.35">
      <c r="A4694" s="7">
        <v>42935</v>
      </c>
      <c r="B4694" t="s">
        <v>30</v>
      </c>
      <c r="C4694">
        <v>303</v>
      </c>
      <c r="D4694">
        <v>9</v>
      </c>
      <c r="E4694">
        <v>1</v>
      </c>
      <c r="F4694" t="s">
        <v>315</v>
      </c>
      <c r="G4694" t="s">
        <v>32</v>
      </c>
      <c r="H4694" t="s">
        <v>33</v>
      </c>
      <c r="I4694" t="s">
        <v>43</v>
      </c>
      <c r="J4694" t="s">
        <v>44</v>
      </c>
      <c r="K4694" t="s">
        <v>113</v>
      </c>
      <c r="L4694" t="s">
        <v>37</v>
      </c>
      <c r="M4694">
        <v>0</v>
      </c>
      <c r="N4694">
        <v>0</v>
      </c>
      <c r="O4694">
        <v>39318</v>
      </c>
      <c r="P4694">
        <v>39319</v>
      </c>
      <c r="Q4694">
        <f>30.5-14.5</f>
        <v>16</v>
      </c>
      <c r="R4694" t="s">
        <v>38</v>
      </c>
      <c r="Z4694" t="s">
        <v>102</v>
      </c>
      <c r="AB4694" t="s">
        <v>60</v>
      </c>
      <c r="AC4694" t="s">
        <v>87</v>
      </c>
    </row>
    <row r="4695" spans="1:30" x14ac:dyDescent="0.35">
      <c r="A4695" s="7">
        <v>42935</v>
      </c>
      <c r="B4695" t="s">
        <v>30</v>
      </c>
      <c r="C4695">
        <v>401</v>
      </c>
      <c r="D4695">
        <v>4</v>
      </c>
      <c r="E4695">
        <v>1</v>
      </c>
      <c r="F4695" t="s">
        <v>315</v>
      </c>
      <c r="G4695" t="s">
        <v>32</v>
      </c>
      <c r="H4695" t="s">
        <v>33</v>
      </c>
      <c r="I4695" t="s">
        <v>1029</v>
      </c>
      <c r="J4695" t="s">
        <v>66</v>
      </c>
      <c r="AB4695" t="s">
        <v>60</v>
      </c>
      <c r="AC4695" t="s">
        <v>87</v>
      </c>
    </row>
    <row r="4696" spans="1:30" x14ac:dyDescent="0.35">
      <c r="A4696" s="7">
        <v>42935</v>
      </c>
      <c r="B4696" t="s">
        <v>30</v>
      </c>
      <c r="C4696">
        <v>401</v>
      </c>
      <c r="D4696">
        <v>5</v>
      </c>
      <c r="E4696">
        <v>1</v>
      </c>
      <c r="F4696" t="s">
        <v>315</v>
      </c>
      <c r="G4696" t="s">
        <v>32</v>
      </c>
      <c r="H4696" t="s">
        <v>33</v>
      </c>
      <c r="I4696" t="s">
        <v>58</v>
      </c>
      <c r="J4696" t="s">
        <v>44</v>
      </c>
      <c r="K4696" t="s">
        <v>36</v>
      </c>
      <c r="L4696" t="s">
        <v>45</v>
      </c>
      <c r="M4696">
        <v>0</v>
      </c>
      <c r="N4696">
        <v>0</v>
      </c>
      <c r="O4696">
        <v>39325</v>
      </c>
      <c r="Q4696">
        <f>44.5-13.5</f>
        <v>31</v>
      </c>
      <c r="R4696" t="s">
        <v>77</v>
      </c>
      <c r="S4696" t="s">
        <v>39</v>
      </c>
      <c r="Z4696" t="s">
        <v>102</v>
      </c>
      <c r="AB4696" t="s">
        <v>60</v>
      </c>
      <c r="AC4696" t="s">
        <v>87</v>
      </c>
      <c r="AD4696" t="s">
        <v>1047</v>
      </c>
    </row>
    <row r="4697" spans="1:30" x14ac:dyDescent="0.35">
      <c r="A4697" s="7">
        <v>42935</v>
      </c>
      <c r="B4697" t="s">
        <v>30</v>
      </c>
      <c r="C4697">
        <v>401</v>
      </c>
      <c r="D4697">
        <v>5</v>
      </c>
      <c r="E4697">
        <v>2</v>
      </c>
      <c r="F4697" t="s">
        <v>315</v>
      </c>
      <c r="G4697" t="s">
        <v>32</v>
      </c>
      <c r="H4697" t="s">
        <v>33</v>
      </c>
      <c r="I4697" t="s">
        <v>59</v>
      </c>
      <c r="AB4697" t="s">
        <v>60</v>
      </c>
      <c r="AC4697" t="s">
        <v>87</v>
      </c>
    </row>
    <row r="4698" spans="1:30" x14ac:dyDescent="0.35">
      <c r="A4698" s="7">
        <v>42935</v>
      </c>
      <c r="B4698" t="s">
        <v>30</v>
      </c>
      <c r="C4698">
        <v>401</v>
      </c>
      <c r="D4698">
        <v>6</v>
      </c>
      <c r="E4698">
        <v>1</v>
      </c>
      <c r="F4698" t="s">
        <v>315</v>
      </c>
      <c r="G4698" t="s">
        <v>32</v>
      </c>
      <c r="H4698" t="s">
        <v>33</v>
      </c>
      <c r="I4698" t="s">
        <v>59</v>
      </c>
      <c r="AB4698" t="s">
        <v>60</v>
      </c>
      <c r="AC4698" t="s">
        <v>87</v>
      </c>
    </row>
    <row r="4699" spans="1:30" x14ac:dyDescent="0.35">
      <c r="A4699" s="7">
        <v>42935</v>
      </c>
      <c r="B4699" t="s">
        <v>30</v>
      </c>
      <c r="C4699">
        <v>401</v>
      </c>
      <c r="D4699">
        <v>6</v>
      </c>
      <c r="E4699">
        <v>2</v>
      </c>
      <c r="F4699" t="s">
        <v>315</v>
      </c>
      <c r="G4699" t="s">
        <v>32</v>
      </c>
      <c r="H4699" t="s">
        <v>33</v>
      </c>
      <c r="I4699" t="s">
        <v>58</v>
      </c>
      <c r="J4699" t="s">
        <v>44</v>
      </c>
      <c r="K4699" t="s">
        <v>36</v>
      </c>
      <c r="L4699" t="s">
        <v>37</v>
      </c>
      <c r="M4699">
        <v>0</v>
      </c>
      <c r="N4699">
        <v>0</v>
      </c>
      <c r="O4699">
        <v>39195</v>
      </c>
      <c r="Q4699">
        <f>43.5-25.5</f>
        <v>18</v>
      </c>
      <c r="R4699" t="s">
        <v>38</v>
      </c>
      <c r="Z4699" t="s">
        <v>102</v>
      </c>
      <c r="AB4699" t="s">
        <v>60</v>
      </c>
      <c r="AC4699" t="s">
        <v>87</v>
      </c>
    </row>
    <row r="4700" spans="1:30" x14ac:dyDescent="0.35">
      <c r="A4700" s="7">
        <v>42935</v>
      </c>
      <c r="B4700" t="s">
        <v>30</v>
      </c>
      <c r="C4700">
        <v>401</v>
      </c>
      <c r="D4700">
        <v>7</v>
      </c>
      <c r="E4700">
        <v>1</v>
      </c>
      <c r="F4700" t="s">
        <v>315</v>
      </c>
      <c r="G4700" t="s">
        <v>32</v>
      </c>
      <c r="H4700" t="s">
        <v>33</v>
      </c>
      <c r="I4700" t="s">
        <v>1029</v>
      </c>
      <c r="J4700" t="s">
        <v>66</v>
      </c>
      <c r="AB4700" t="s">
        <v>60</v>
      </c>
      <c r="AC4700" t="s">
        <v>87</v>
      </c>
    </row>
    <row r="4701" spans="1:30" x14ac:dyDescent="0.35">
      <c r="A4701" s="7">
        <v>42935</v>
      </c>
      <c r="B4701" t="s">
        <v>30</v>
      </c>
      <c r="C4701">
        <v>401</v>
      </c>
      <c r="D4701">
        <v>10</v>
      </c>
      <c r="E4701">
        <v>1</v>
      </c>
      <c r="F4701" t="s">
        <v>315</v>
      </c>
      <c r="G4701" t="s">
        <v>32</v>
      </c>
      <c r="H4701" t="s">
        <v>33</v>
      </c>
      <c r="I4701" t="s">
        <v>59</v>
      </c>
      <c r="AB4701" t="s">
        <v>60</v>
      </c>
      <c r="AC4701" t="s">
        <v>87</v>
      </c>
    </row>
    <row r="4702" spans="1:30" x14ac:dyDescent="0.35">
      <c r="A4702" s="7">
        <v>42935</v>
      </c>
      <c r="B4702" t="s">
        <v>30</v>
      </c>
      <c r="C4702">
        <v>401</v>
      </c>
      <c r="D4702">
        <v>10</v>
      </c>
      <c r="E4702">
        <v>2</v>
      </c>
      <c r="F4702" t="s">
        <v>315</v>
      </c>
      <c r="G4702" t="s">
        <v>32</v>
      </c>
      <c r="H4702" t="s">
        <v>33</v>
      </c>
      <c r="I4702" t="s">
        <v>94</v>
      </c>
      <c r="J4702" t="s">
        <v>44</v>
      </c>
      <c r="K4702" t="s">
        <v>36</v>
      </c>
      <c r="L4702" t="s">
        <v>45</v>
      </c>
      <c r="M4702">
        <v>0</v>
      </c>
      <c r="N4702">
        <v>0</v>
      </c>
      <c r="O4702">
        <v>50957</v>
      </c>
      <c r="Q4702">
        <f>46-15.5</f>
        <v>30.5</v>
      </c>
      <c r="R4702" t="s">
        <v>1028</v>
      </c>
      <c r="S4702" t="s">
        <v>102</v>
      </c>
      <c r="AB4702" t="s">
        <v>60</v>
      </c>
      <c r="AC4702" t="s">
        <v>87</v>
      </c>
    </row>
    <row r="4703" spans="1:30" x14ac:dyDescent="0.35">
      <c r="A4703" s="7">
        <v>42935</v>
      </c>
      <c r="B4703" t="s">
        <v>30</v>
      </c>
      <c r="C4703">
        <v>501</v>
      </c>
      <c r="D4703">
        <v>1</v>
      </c>
      <c r="E4703">
        <v>1</v>
      </c>
      <c r="F4703" t="s">
        <v>315</v>
      </c>
      <c r="G4703" t="s">
        <v>32</v>
      </c>
      <c r="H4703" t="s">
        <v>33</v>
      </c>
      <c r="I4703" t="s">
        <v>43</v>
      </c>
      <c r="J4703" t="s">
        <v>66</v>
      </c>
      <c r="O4703">
        <v>38982</v>
      </c>
      <c r="P4703">
        <v>38981</v>
      </c>
      <c r="Z4703" t="s">
        <v>102</v>
      </c>
      <c r="AB4703" t="s">
        <v>60</v>
      </c>
      <c r="AC4703" t="s">
        <v>87</v>
      </c>
      <c r="AD4703" t="s">
        <v>1033</v>
      </c>
    </row>
    <row r="4704" spans="1:30" x14ac:dyDescent="0.35">
      <c r="A4704" s="7">
        <v>42935</v>
      </c>
      <c r="B4704" t="s">
        <v>30</v>
      </c>
      <c r="C4704">
        <v>501</v>
      </c>
      <c r="D4704">
        <v>1</v>
      </c>
      <c r="E4704">
        <v>1</v>
      </c>
      <c r="F4704" t="s">
        <v>315</v>
      </c>
      <c r="G4704" t="s">
        <v>32</v>
      </c>
      <c r="H4704" t="s">
        <v>33</v>
      </c>
      <c r="I4704" t="s">
        <v>59</v>
      </c>
      <c r="AB4704" t="s">
        <v>60</v>
      </c>
      <c r="AC4704" t="s">
        <v>87</v>
      </c>
    </row>
    <row r="4705" spans="1:30" x14ac:dyDescent="0.35">
      <c r="A4705" s="7">
        <v>42935</v>
      </c>
      <c r="B4705" t="s">
        <v>30</v>
      </c>
      <c r="C4705">
        <v>501</v>
      </c>
      <c r="D4705">
        <v>2</v>
      </c>
      <c r="E4705">
        <v>1</v>
      </c>
      <c r="F4705" t="s">
        <v>315</v>
      </c>
      <c r="G4705" t="s">
        <v>32</v>
      </c>
      <c r="H4705" t="s">
        <v>33</v>
      </c>
      <c r="I4705" t="s">
        <v>43</v>
      </c>
      <c r="J4705" t="s">
        <v>35</v>
      </c>
      <c r="K4705" t="s">
        <v>113</v>
      </c>
      <c r="L4705" t="s">
        <v>37</v>
      </c>
      <c r="M4705">
        <v>0</v>
      </c>
      <c r="N4705">
        <v>1</v>
      </c>
      <c r="O4705">
        <v>39489</v>
      </c>
      <c r="P4705">
        <v>39488</v>
      </c>
      <c r="Q4705">
        <f>30-13</f>
        <v>17</v>
      </c>
      <c r="R4705" t="s">
        <v>38</v>
      </c>
      <c r="AB4705" t="s">
        <v>60</v>
      </c>
      <c r="AC4705" t="s">
        <v>87</v>
      </c>
    </row>
    <row r="4706" spans="1:30" x14ac:dyDescent="0.35">
      <c r="A4706" s="7">
        <v>42935</v>
      </c>
      <c r="B4706" t="s">
        <v>30</v>
      </c>
      <c r="C4706">
        <v>501</v>
      </c>
      <c r="D4706">
        <v>3</v>
      </c>
      <c r="E4706">
        <v>1</v>
      </c>
      <c r="F4706" t="s">
        <v>315</v>
      </c>
      <c r="G4706" t="s">
        <v>32</v>
      </c>
      <c r="H4706" t="s">
        <v>33</v>
      </c>
      <c r="I4706" t="s">
        <v>59</v>
      </c>
      <c r="AB4706" t="s">
        <v>60</v>
      </c>
      <c r="AC4706" t="s">
        <v>87</v>
      </c>
    </row>
    <row r="4707" spans="1:30" x14ac:dyDescent="0.35">
      <c r="A4707" s="7">
        <v>42935</v>
      </c>
      <c r="B4707" t="s">
        <v>30</v>
      </c>
      <c r="C4707">
        <v>501</v>
      </c>
      <c r="D4707">
        <v>4</v>
      </c>
      <c r="E4707">
        <v>1</v>
      </c>
      <c r="F4707" t="s">
        <v>315</v>
      </c>
      <c r="G4707" t="s">
        <v>32</v>
      </c>
      <c r="H4707" t="s">
        <v>33</v>
      </c>
      <c r="I4707" t="s">
        <v>59</v>
      </c>
      <c r="AB4707" t="s">
        <v>60</v>
      </c>
      <c r="AC4707" t="s">
        <v>87</v>
      </c>
    </row>
    <row r="4708" spans="1:30" x14ac:dyDescent="0.35">
      <c r="A4708" s="7">
        <v>42935</v>
      </c>
      <c r="B4708" t="s">
        <v>30</v>
      </c>
      <c r="C4708">
        <v>501</v>
      </c>
      <c r="D4708">
        <v>4</v>
      </c>
      <c r="E4708">
        <v>2</v>
      </c>
      <c r="F4708" t="s">
        <v>315</v>
      </c>
      <c r="G4708" t="s">
        <v>32</v>
      </c>
      <c r="H4708" t="s">
        <v>33</v>
      </c>
      <c r="I4708" t="s">
        <v>43</v>
      </c>
      <c r="J4708" t="s">
        <v>35</v>
      </c>
      <c r="K4708" t="s">
        <v>36</v>
      </c>
      <c r="L4708" t="s">
        <v>45</v>
      </c>
      <c r="M4708">
        <v>0</v>
      </c>
      <c r="N4708">
        <v>1</v>
      </c>
      <c r="O4708">
        <v>39491</v>
      </c>
      <c r="P4708">
        <v>39490</v>
      </c>
      <c r="Q4708">
        <f>34.5-13</f>
        <v>21.5</v>
      </c>
      <c r="R4708" t="s">
        <v>77</v>
      </c>
      <c r="S4708" t="s">
        <v>39</v>
      </c>
      <c r="AB4708" t="s">
        <v>60</v>
      </c>
      <c r="AC4708" t="s">
        <v>87</v>
      </c>
    </row>
    <row r="4709" spans="1:30" x14ac:dyDescent="0.35">
      <c r="A4709" s="7">
        <v>42935</v>
      </c>
      <c r="B4709" t="s">
        <v>30</v>
      </c>
      <c r="C4709">
        <v>501</v>
      </c>
      <c r="D4709">
        <v>5</v>
      </c>
      <c r="E4709">
        <v>1</v>
      </c>
      <c r="F4709" t="s">
        <v>315</v>
      </c>
      <c r="G4709" t="s">
        <v>32</v>
      </c>
      <c r="H4709" t="s">
        <v>33</v>
      </c>
      <c r="I4709" t="s">
        <v>34</v>
      </c>
      <c r="J4709" t="s">
        <v>92</v>
      </c>
      <c r="AB4709" t="s">
        <v>60</v>
      </c>
      <c r="AC4709" t="s">
        <v>87</v>
      </c>
    </row>
    <row r="4710" spans="1:30" x14ac:dyDescent="0.35">
      <c r="A4710" s="7">
        <v>42935</v>
      </c>
      <c r="B4710" t="s">
        <v>30</v>
      </c>
      <c r="C4710">
        <v>501</v>
      </c>
      <c r="D4710">
        <v>7</v>
      </c>
      <c r="E4710">
        <v>1</v>
      </c>
      <c r="F4710" t="s">
        <v>315</v>
      </c>
      <c r="G4710" t="s">
        <v>32</v>
      </c>
      <c r="H4710" t="s">
        <v>33</v>
      </c>
      <c r="I4710" t="s">
        <v>59</v>
      </c>
      <c r="AB4710" t="s">
        <v>60</v>
      </c>
      <c r="AC4710" t="s">
        <v>87</v>
      </c>
    </row>
    <row r="4711" spans="1:30" x14ac:dyDescent="0.35">
      <c r="A4711" s="7">
        <v>42935</v>
      </c>
      <c r="B4711" t="s">
        <v>30</v>
      </c>
      <c r="C4711">
        <v>501</v>
      </c>
      <c r="D4711">
        <v>8</v>
      </c>
      <c r="E4711">
        <v>1</v>
      </c>
      <c r="F4711" t="s">
        <v>315</v>
      </c>
      <c r="G4711" t="s">
        <v>32</v>
      </c>
      <c r="H4711" t="s">
        <v>33</v>
      </c>
      <c r="I4711" t="s">
        <v>65</v>
      </c>
      <c r="J4711" t="s">
        <v>35</v>
      </c>
      <c r="K4711" t="s">
        <v>36</v>
      </c>
      <c r="L4711" t="s">
        <v>45</v>
      </c>
      <c r="M4711">
        <v>0</v>
      </c>
      <c r="N4711">
        <v>1</v>
      </c>
      <c r="O4711">
        <v>39492</v>
      </c>
      <c r="Q4711">
        <f>203-83</f>
        <v>120</v>
      </c>
      <c r="R4711" t="s">
        <v>79</v>
      </c>
      <c r="S4711" t="s">
        <v>39</v>
      </c>
      <c r="Z4711" t="s">
        <v>102</v>
      </c>
      <c r="AB4711" t="s">
        <v>60</v>
      </c>
      <c r="AC4711" t="s">
        <v>87</v>
      </c>
      <c r="AD4711" t="s">
        <v>1048</v>
      </c>
    </row>
    <row r="4712" spans="1:30" x14ac:dyDescent="0.35">
      <c r="A4712" s="7">
        <v>42935</v>
      </c>
      <c r="B4712" t="s">
        <v>30</v>
      </c>
      <c r="C4712">
        <v>501</v>
      </c>
      <c r="D4712">
        <v>9</v>
      </c>
      <c r="E4712">
        <v>1</v>
      </c>
      <c r="F4712" t="s">
        <v>315</v>
      </c>
      <c r="G4712" t="s">
        <v>32</v>
      </c>
      <c r="H4712" t="s">
        <v>33</v>
      </c>
      <c r="I4712" t="s">
        <v>1029</v>
      </c>
      <c r="J4712" t="s">
        <v>56</v>
      </c>
      <c r="AB4712" t="s">
        <v>60</v>
      </c>
      <c r="AC4712" t="s">
        <v>87</v>
      </c>
    </row>
    <row r="4713" spans="1:30" x14ac:dyDescent="0.35">
      <c r="A4713" s="7">
        <v>42935</v>
      </c>
      <c r="B4713" t="s">
        <v>30</v>
      </c>
      <c r="C4713">
        <v>503</v>
      </c>
      <c r="D4713">
        <v>2</v>
      </c>
      <c r="E4713">
        <v>1</v>
      </c>
      <c r="F4713" t="s">
        <v>315</v>
      </c>
      <c r="G4713" t="s">
        <v>32</v>
      </c>
      <c r="H4713" t="s">
        <v>33</v>
      </c>
      <c r="I4713" t="s">
        <v>59</v>
      </c>
      <c r="AB4713" t="s">
        <v>60</v>
      </c>
      <c r="AC4713" t="s">
        <v>87</v>
      </c>
    </row>
    <row r="4714" spans="1:30" x14ac:dyDescent="0.35">
      <c r="A4714" s="7">
        <v>42935</v>
      </c>
      <c r="B4714" t="s">
        <v>30</v>
      </c>
      <c r="C4714">
        <v>503</v>
      </c>
      <c r="D4714">
        <v>3</v>
      </c>
      <c r="E4714">
        <v>1</v>
      </c>
      <c r="F4714" t="s">
        <v>315</v>
      </c>
      <c r="G4714" t="s">
        <v>32</v>
      </c>
      <c r="H4714" t="s">
        <v>33</v>
      </c>
      <c r="I4714" t="s">
        <v>59</v>
      </c>
      <c r="AB4714" t="s">
        <v>60</v>
      </c>
      <c r="AC4714" t="s">
        <v>87</v>
      </c>
    </row>
    <row r="4715" spans="1:30" x14ac:dyDescent="0.35">
      <c r="A4715" s="7">
        <v>42935</v>
      </c>
      <c r="B4715" t="s">
        <v>30</v>
      </c>
      <c r="C4715">
        <v>503</v>
      </c>
      <c r="D4715">
        <v>3</v>
      </c>
      <c r="E4715">
        <v>2</v>
      </c>
      <c r="F4715" t="s">
        <v>315</v>
      </c>
      <c r="G4715" t="s">
        <v>32</v>
      </c>
      <c r="H4715" t="s">
        <v>33</v>
      </c>
      <c r="I4715" t="s">
        <v>43</v>
      </c>
      <c r="J4715" t="s">
        <v>44</v>
      </c>
      <c r="K4715" t="s">
        <v>36</v>
      </c>
      <c r="L4715" t="s">
        <v>45</v>
      </c>
      <c r="M4715">
        <v>0</v>
      </c>
      <c r="N4715">
        <v>0</v>
      </c>
      <c r="O4715">
        <v>39158</v>
      </c>
      <c r="P4715">
        <v>39157</v>
      </c>
      <c r="Q4715">
        <f>43-16</f>
        <v>27</v>
      </c>
      <c r="R4715" t="s">
        <v>77</v>
      </c>
      <c r="S4715" t="s">
        <v>39</v>
      </c>
      <c r="Z4715" t="s">
        <v>102</v>
      </c>
      <c r="AB4715" t="s">
        <v>60</v>
      </c>
      <c r="AC4715" t="s">
        <v>87</v>
      </c>
    </row>
    <row r="4716" spans="1:30" x14ac:dyDescent="0.35">
      <c r="A4716" s="7">
        <v>42935</v>
      </c>
      <c r="B4716" t="s">
        <v>30</v>
      </c>
      <c r="C4716">
        <v>503</v>
      </c>
      <c r="D4716">
        <v>5</v>
      </c>
      <c r="E4716">
        <v>1</v>
      </c>
      <c r="F4716" t="s">
        <v>315</v>
      </c>
      <c r="G4716" t="s">
        <v>32</v>
      </c>
      <c r="H4716" t="s">
        <v>33</v>
      </c>
      <c r="I4716" t="s">
        <v>59</v>
      </c>
      <c r="AB4716" t="s">
        <v>60</v>
      </c>
      <c r="AC4716" t="s">
        <v>87</v>
      </c>
    </row>
    <row r="4717" spans="1:30" x14ac:dyDescent="0.35">
      <c r="A4717" s="7">
        <v>42935</v>
      </c>
      <c r="B4717" t="s">
        <v>30</v>
      </c>
      <c r="C4717">
        <v>503</v>
      </c>
      <c r="D4717">
        <v>5</v>
      </c>
      <c r="E4717">
        <v>2</v>
      </c>
      <c r="F4717" t="s">
        <v>315</v>
      </c>
      <c r="G4717" t="s">
        <v>32</v>
      </c>
      <c r="H4717" t="s">
        <v>33</v>
      </c>
      <c r="I4717" t="s">
        <v>59</v>
      </c>
      <c r="AB4717" t="s">
        <v>60</v>
      </c>
      <c r="AC4717" t="s">
        <v>87</v>
      </c>
    </row>
    <row r="4718" spans="1:30" x14ac:dyDescent="0.35">
      <c r="A4718" s="7">
        <v>42935</v>
      </c>
      <c r="B4718" t="s">
        <v>30</v>
      </c>
      <c r="C4718">
        <v>503</v>
      </c>
      <c r="D4718">
        <v>6</v>
      </c>
      <c r="E4718">
        <v>1</v>
      </c>
      <c r="F4718" t="s">
        <v>315</v>
      </c>
      <c r="G4718" t="s">
        <v>32</v>
      </c>
      <c r="H4718" t="s">
        <v>33</v>
      </c>
      <c r="I4718" t="s">
        <v>1029</v>
      </c>
      <c r="J4718" t="s">
        <v>66</v>
      </c>
      <c r="AB4718" t="s">
        <v>60</v>
      </c>
      <c r="AC4718" t="s">
        <v>87</v>
      </c>
    </row>
    <row r="4719" spans="1:30" x14ac:dyDescent="0.35">
      <c r="A4719" s="7">
        <v>42935</v>
      </c>
      <c r="B4719" t="s">
        <v>30</v>
      </c>
      <c r="C4719">
        <v>503</v>
      </c>
      <c r="D4719">
        <v>7</v>
      </c>
      <c r="E4719">
        <v>1</v>
      </c>
      <c r="F4719" t="s">
        <v>315</v>
      </c>
      <c r="G4719" t="s">
        <v>32</v>
      </c>
      <c r="H4719" t="s">
        <v>33</v>
      </c>
      <c r="I4719" t="s">
        <v>43</v>
      </c>
      <c r="J4719" t="s">
        <v>44</v>
      </c>
      <c r="K4719" t="s">
        <v>113</v>
      </c>
      <c r="L4719" t="s">
        <v>45</v>
      </c>
      <c r="M4719">
        <v>0</v>
      </c>
      <c r="N4719">
        <v>0</v>
      </c>
      <c r="O4719">
        <v>39314</v>
      </c>
      <c r="P4719">
        <v>39315</v>
      </c>
      <c r="Q4719">
        <f>33-14</f>
        <v>19</v>
      </c>
      <c r="R4719" t="s">
        <v>79</v>
      </c>
      <c r="S4719" t="s">
        <v>39</v>
      </c>
      <c r="Z4719" t="s">
        <v>102</v>
      </c>
      <c r="AB4719" t="s">
        <v>60</v>
      </c>
      <c r="AC4719" t="s">
        <v>87</v>
      </c>
    </row>
    <row r="4720" spans="1:30" x14ac:dyDescent="0.35">
      <c r="A4720" s="7">
        <v>42935</v>
      </c>
      <c r="B4720" t="s">
        <v>30</v>
      </c>
      <c r="C4720">
        <v>503</v>
      </c>
      <c r="D4720">
        <v>7</v>
      </c>
      <c r="E4720">
        <v>2</v>
      </c>
      <c r="F4720" t="s">
        <v>315</v>
      </c>
      <c r="G4720" t="s">
        <v>32</v>
      </c>
      <c r="H4720" t="s">
        <v>33</v>
      </c>
      <c r="I4720" t="s">
        <v>59</v>
      </c>
      <c r="AB4720" t="s">
        <v>60</v>
      </c>
      <c r="AC4720" t="s">
        <v>87</v>
      </c>
    </row>
    <row r="4721" spans="1:29" x14ac:dyDescent="0.35">
      <c r="A4721" s="7">
        <v>42935</v>
      </c>
      <c r="B4721" t="s">
        <v>30</v>
      </c>
      <c r="C4721">
        <v>503</v>
      </c>
      <c r="D4721">
        <v>8</v>
      </c>
      <c r="E4721">
        <v>1</v>
      </c>
      <c r="F4721" t="s">
        <v>315</v>
      </c>
      <c r="G4721" t="s">
        <v>32</v>
      </c>
      <c r="H4721" t="s">
        <v>33</v>
      </c>
      <c r="I4721" t="s">
        <v>59</v>
      </c>
      <c r="AB4721" t="s">
        <v>60</v>
      </c>
      <c r="AC4721" t="s">
        <v>87</v>
      </c>
    </row>
    <row r="4722" spans="1:29" x14ac:dyDescent="0.35">
      <c r="A4722" s="7">
        <v>42935</v>
      </c>
      <c r="B4722" t="s">
        <v>30</v>
      </c>
      <c r="C4722">
        <v>503</v>
      </c>
      <c r="D4722">
        <v>8</v>
      </c>
      <c r="E4722">
        <v>2</v>
      </c>
      <c r="F4722" t="s">
        <v>315</v>
      </c>
      <c r="G4722" t="s">
        <v>32</v>
      </c>
      <c r="H4722" t="s">
        <v>33</v>
      </c>
      <c r="I4722" t="s">
        <v>1029</v>
      </c>
      <c r="J4722" t="s">
        <v>56</v>
      </c>
      <c r="AB4722" t="s">
        <v>60</v>
      </c>
      <c r="AC4722" t="s">
        <v>87</v>
      </c>
    </row>
    <row r="4723" spans="1:29" x14ac:dyDescent="0.35">
      <c r="A4723" s="7">
        <v>42935</v>
      </c>
      <c r="B4723" t="s">
        <v>30</v>
      </c>
      <c r="C4723">
        <v>503</v>
      </c>
      <c r="D4723">
        <v>9</v>
      </c>
      <c r="E4723">
        <v>1</v>
      </c>
      <c r="F4723" t="s">
        <v>315</v>
      </c>
      <c r="G4723" t="s">
        <v>32</v>
      </c>
      <c r="H4723" t="s">
        <v>33</v>
      </c>
      <c r="I4723" t="s">
        <v>59</v>
      </c>
      <c r="AB4723" t="s">
        <v>60</v>
      </c>
      <c r="AC4723" t="s">
        <v>87</v>
      </c>
    </row>
    <row r="4724" spans="1:29" x14ac:dyDescent="0.35">
      <c r="A4724" s="7">
        <v>42935</v>
      </c>
      <c r="B4724" t="s">
        <v>30</v>
      </c>
      <c r="C4724">
        <v>503</v>
      </c>
      <c r="D4724">
        <v>10</v>
      </c>
      <c r="E4724">
        <v>1</v>
      </c>
      <c r="F4724" t="s">
        <v>315</v>
      </c>
      <c r="G4724" t="s">
        <v>32</v>
      </c>
      <c r="H4724" t="s">
        <v>33</v>
      </c>
      <c r="I4724" t="s">
        <v>59</v>
      </c>
      <c r="AB4724" t="s">
        <v>60</v>
      </c>
      <c r="AC4724" t="s">
        <v>87</v>
      </c>
    </row>
    <row r="4725" spans="1:29" x14ac:dyDescent="0.35">
      <c r="A4725" s="7">
        <v>42935</v>
      </c>
      <c r="B4725" t="s">
        <v>30</v>
      </c>
      <c r="C4725">
        <v>503</v>
      </c>
      <c r="D4725">
        <v>10</v>
      </c>
      <c r="E4725">
        <v>2</v>
      </c>
      <c r="F4725" t="s">
        <v>315</v>
      </c>
      <c r="G4725" t="s">
        <v>32</v>
      </c>
      <c r="H4725" t="s">
        <v>33</v>
      </c>
      <c r="I4725" t="s">
        <v>59</v>
      </c>
      <c r="AB4725" t="s">
        <v>60</v>
      </c>
      <c r="AC4725" t="s">
        <v>87</v>
      </c>
    </row>
    <row r="4726" spans="1:29" x14ac:dyDescent="0.35">
      <c r="A4726" s="7">
        <v>42935</v>
      </c>
      <c r="B4726" t="s">
        <v>30</v>
      </c>
      <c r="C4726">
        <v>701</v>
      </c>
      <c r="D4726">
        <v>1</v>
      </c>
      <c r="E4726">
        <v>1</v>
      </c>
      <c r="F4726" t="s">
        <v>1020</v>
      </c>
      <c r="G4726" t="s">
        <v>32</v>
      </c>
      <c r="H4726" t="s">
        <v>33</v>
      </c>
      <c r="I4726" t="s">
        <v>94</v>
      </c>
      <c r="J4726" t="s">
        <v>44</v>
      </c>
      <c r="K4726" t="s">
        <v>36</v>
      </c>
      <c r="L4726" t="s">
        <v>45</v>
      </c>
      <c r="M4726">
        <v>0</v>
      </c>
      <c r="N4726">
        <v>0</v>
      </c>
      <c r="O4726">
        <v>39166</v>
      </c>
      <c r="Q4726">
        <f>37-14</f>
        <v>23</v>
      </c>
      <c r="R4726" t="s">
        <v>79</v>
      </c>
      <c r="S4726" t="s">
        <v>39</v>
      </c>
      <c r="AB4726" t="s">
        <v>60</v>
      </c>
      <c r="AC4726" t="s">
        <v>87</v>
      </c>
    </row>
    <row r="4727" spans="1:29" x14ac:dyDescent="0.35">
      <c r="A4727" s="7">
        <v>42935</v>
      </c>
      <c r="B4727" t="s">
        <v>30</v>
      </c>
      <c r="C4727">
        <v>701</v>
      </c>
      <c r="D4727">
        <v>3</v>
      </c>
      <c r="E4727">
        <v>1</v>
      </c>
      <c r="F4727" t="s">
        <v>1020</v>
      </c>
      <c r="G4727" t="s">
        <v>32</v>
      </c>
      <c r="H4727" t="s">
        <v>33</v>
      </c>
      <c r="I4727" t="s">
        <v>94</v>
      </c>
      <c r="J4727" t="s">
        <v>44</v>
      </c>
      <c r="K4727" t="s">
        <v>36</v>
      </c>
      <c r="L4727" t="s">
        <v>37</v>
      </c>
      <c r="M4727">
        <v>0</v>
      </c>
      <c r="N4727">
        <v>0</v>
      </c>
      <c r="O4727">
        <v>39760</v>
      </c>
      <c r="Q4727">
        <f>33-14</f>
        <v>19</v>
      </c>
      <c r="R4727" t="s">
        <v>64</v>
      </c>
      <c r="AB4727" t="s">
        <v>60</v>
      </c>
      <c r="AC4727" t="s">
        <v>87</v>
      </c>
    </row>
    <row r="4728" spans="1:29" x14ac:dyDescent="0.35">
      <c r="A4728" s="7">
        <v>42935</v>
      </c>
      <c r="B4728" t="s">
        <v>30</v>
      </c>
      <c r="C4728">
        <v>701</v>
      </c>
      <c r="D4728">
        <v>7</v>
      </c>
      <c r="E4728">
        <v>1</v>
      </c>
      <c r="F4728" t="s">
        <v>1020</v>
      </c>
      <c r="G4728" t="s">
        <v>32</v>
      </c>
      <c r="H4728" t="s">
        <v>33</v>
      </c>
      <c r="I4728" t="s">
        <v>1029</v>
      </c>
      <c r="J4728" t="s">
        <v>56</v>
      </c>
      <c r="AB4728" t="s">
        <v>60</v>
      </c>
      <c r="AC4728" t="s">
        <v>87</v>
      </c>
    </row>
    <row r="4729" spans="1:29" x14ac:dyDescent="0.35">
      <c r="A4729" s="7">
        <v>42935</v>
      </c>
      <c r="B4729" t="s">
        <v>30</v>
      </c>
      <c r="C4729">
        <v>701</v>
      </c>
      <c r="D4729">
        <v>9</v>
      </c>
      <c r="E4729">
        <v>1</v>
      </c>
      <c r="F4729" t="s">
        <v>1020</v>
      </c>
      <c r="G4729" t="s">
        <v>32</v>
      </c>
      <c r="H4729" t="s">
        <v>33</v>
      </c>
      <c r="I4729" t="s">
        <v>43</v>
      </c>
      <c r="J4729" t="s">
        <v>44</v>
      </c>
      <c r="K4729" t="s">
        <v>36</v>
      </c>
      <c r="L4729" t="s">
        <v>45</v>
      </c>
      <c r="M4729">
        <v>0</v>
      </c>
      <c r="N4729">
        <v>0</v>
      </c>
      <c r="O4729">
        <v>39771</v>
      </c>
      <c r="P4729">
        <v>39770</v>
      </c>
      <c r="Q4729">
        <f>38-14</f>
        <v>24</v>
      </c>
      <c r="R4729" t="s">
        <v>1028</v>
      </c>
      <c r="S4729" t="s">
        <v>102</v>
      </c>
      <c r="AB4729" t="s">
        <v>60</v>
      </c>
      <c r="AC4729" t="s">
        <v>87</v>
      </c>
    </row>
    <row r="4730" spans="1:29" x14ac:dyDescent="0.35">
      <c r="A4730" s="7">
        <v>42935</v>
      </c>
      <c r="B4730" t="s">
        <v>30</v>
      </c>
      <c r="C4730">
        <v>703</v>
      </c>
      <c r="D4730">
        <v>2</v>
      </c>
      <c r="E4730">
        <v>1</v>
      </c>
      <c r="F4730" t="s">
        <v>1020</v>
      </c>
      <c r="G4730" t="s">
        <v>32</v>
      </c>
      <c r="H4730" t="s">
        <v>33</v>
      </c>
      <c r="I4730" t="s">
        <v>94</v>
      </c>
      <c r="J4730" t="s">
        <v>44</v>
      </c>
      <c r="K4730" t="s">
        <v>36</v>
      </c>
      <c r="L4730" t="s">
        <v>45</v>
      </c>
      <c r="M4730">
        <v>0</v>
      </c>
      <c r="N4730">
        <v>0</v>
      </c>
      <c r="P4730">
        <v>39759</v>
      </c>
      <c r="Q4730">
        <f>35-14</f>
        <v>21</v>
      </c>
      <c r="R4730" t="s">
        <v>1021</v>
      </c>
      <c r="S4730" t="s">
        <v>102</v>
      </c>
      <c r="AB4730" t="s">
        <v>60</v>
      </c>
      <c r="AC4730" t="s">
        <v>87</v>
      </c>
    </row>
    <row r="4731" spans="1:29" x14ac:dyDescent="0.35">
      <c r="A4731" s="7">
        <v>42935</v>
      </c>
      <c r="B4731" t="s">
        <v>30</v>
      </c>
      <c r="C4731">
        <v>703</v>
      </c>
      <c r="D4731">
        <v>3</v>
      </c>
      <c r="E4731">
        <v>1</v>
      </c>
      <c r="F4731" t="s">
        <v>1020</v>
      </c>
      <c r="G4731" t="s">
        <v>32</v>
      </c>
      <c r="H4731" t="s">
        <v>33</v>
      </c>
      <c r="I4731" t="s">
        <v>59</v>
      </c>
      <c r="AB4731" t="s">
        <v>60</v>
      </c>
      <c r="AC4731" t="s">
        <v>87</v>
      </c>
    </row>
    <row r="4732" spans="1:29" x14ac:dyDescent="0.35">
      <c r="A4732" s="7">
        <v>42935</v>
      </c>
      <c r="B4732" t="s">
        <v>30</v>
      </c>
      <c r="C4732">
        <v>703</v>
      </c>
      <c r="D4732">
        <v>3</v>
      </c>
      <c r="E4732">
        <v>2</v>
      </c>
      <c r="F4732" t="s">
        <v>1020</v>
      </c>
      <c r="G4732" t="s">
        <v>32</v>
      </c>
      <c r="H4732" t="s">
        <v>33</v>
      </c>
      <c r="I4732" t="s">
        <v>59</v>
      </c>
      <c r="AB4732" t="s">
        <v>60</v>
      </c>
      <c r="AC4732" t="s">
        <v>87</v>
      </c>
    </row>
    <row r="4733" spans="1:29" x14ac:dyDescent="0.35">
      <c r="A4733" s="7">
        <v>42935</v>
      </c>
      <c r="B4733" t="s">
        <v>30</v>
      </c>
      <c r="C4733">
        <v>703</v>
      </c>
      <c r="D4733">
        <v>4</v>
      </c>
      <c r="E4733">
        <v>1</v>
      </c>
      <c r="F4733" t="s">
        <v>1020</v>
      </c>
      <c r="G4733" t="s">
        <v>32</v>
      </c>
      <c r="H4733" t="s">
        <v>33</v>
      </c>
      <c r="I4733" t="s">
        <v>84</v>
      </c>
      <c r="AB4733" t="s">
        <v>60</v>
      </c>
      <c r="AC4733" t="s">
        <v>87</v>
      </c>
    </row>
    <row r="4734" spans="1:29" x14ac:dyDescent="0.35">
      <c r="A4734" s="7">
        <v>42935</v>
      </c>
      <c r="B4734" t="s">
        <v>30</v>
      </c>
      <c r="C4734">
        <v>703</v>
      </c>
      <c r="D4734">
        <v>4</v>
      </c>
      <c r="E4734">
        <v>2</v>
      </c>
      <c r="F4734" t="s">
        <v>1020</v>
      </c>
      <c r="G4734" t="s">
        <v>32</v>
      </c>
      <c r="H4734" t="s">
        <v>33</v>
      </c>
      <c r="I4734" t="s">
        <v>43</v>
      </c>
      <c r="J4734" t="s">
        <v>35</v>
      </c>
      <c r="K4734" t="s">
        <v>88</v>
      </c>
      <c r="L4734" t="s">
        <v>45</v>
      </c>
      <c r="M4734">
        <v>0</v>
      </c>
      <c r="N4734">
        <v>1</v>
      </c>
      <c r="O4734">
        <v>39343</v>
      </c>
      <c r="P4734">
        <v>39342</v>
      </c>
      <c r="Q4734">
        <v>13</v>
      </c>
      <c r="R4734" t="s">
        <v>46</v>
      </c>
      <c r="S4734" t="s">
        <v>39</v>
      </c>
      <c r="AB4734" t="s">
        <v>60</v>
      </c>
      <c r="AC4734" t="s">
        <v>87</v>
      </c>
    </row>
    <row r="4735" spans="1:29" x14ac:dyDescent="0.35">
      <c r="A4735" s="7">
        <v>42935</v>
      </c>
      <c r="B4735" t="s">
        <v>30</v>
      </c>
      <c r="C4735">
        <v>703</v>
      </c>
      <c r="D4735">
        <v>5</v>
      </c>
      <c r="E4735">
        <v>1</v>
      </c>
      <c r="F4735" t="s">
        <v>1020</v>
      </c>
      <c r="G4735" t="s">
        <v>32</v>
      </c>
      <c r="H4735" t="s">
        <v>33</v>
      </c>
      <c r="I4735" t="s">
        <v>59</v>
      </c>
      <c r="AB4735" t="s">
        <v>60</v>
      </c>
      <c r="AC4735" t="s">
        <v>87</v>
      </c>
    </row>
    <row r="4736" spans="1:29" x14ac:dyDescent="0.35">
      <c r="A4736" s="7">
        <v>42935</v>
      </c>
      <c r="B4736" t="s">
        <v>30</v>
      </c>
      <c r="C4736">
        <v>703</v>
      </c>
      <c r="D4736">
        <v>5</v>
      </c>
      <c r="E4736">
        <v>2</v>
      </c>
      <c r="F4736" t="s">
        <v>1020</v>
      </c>
      <c r="G4736" t="s">
        <v>32</v>
      </c>
      <c r="H4736" t="s">
        <v>33</v>
      </c>
      <c r="I4736" t="s">
        <v>59</v>
      </c>
      <c r="AB4736" t="s">
        <v>60</v>
      </c>
      <c r="AC4736" t="s">
        <v>87</v>
      </c>
    </row>
    <row r="4737" spans="1:29" x14ac:dyDescent="0.35">
      <c r="A4737" s="7">
        <v>42935</v>
      </c>
      <c r="B4737" t="s">
        <v>30</v>
      </c>
      <c r="C4737">
        <v>703</v>
      </c>
      <c r="D4737">
        <v>6</v>
      </c>
      <c r="E4737">
        <v>1</v>
      </c>
      <c r="F4737" t="s">
        <v>1020</v>
      </c>
      <c r="G4737" t="s">
        <v>32</v>
      </c>
      <c r="H4737" t="s">
        <v>33</v>
      </c>
      <c r="I4737" t="s">
        <v>84</v>
      </c>
      <c r="AB4737" t="s">
        <v>60</v>
      </c>
      <c r="AC4737" t="s">
        <v>87</v>
      </c>
    </row>
    <row r="4738" spans="1:29" x14ac:dyDescent="0.35">
      <c r="A4738" s="7">
        <v>42935</v>
      </c>
      <c r="B4738" t="s">
        <v>30</v>
      </c>
      <c r="C4738">
        <v>703</v>
      </c>
      <c r="D4738">
        <v>6</v>
      </c>
      <c r="E4738">
        <v>2</v>
      </c>
      <c r="F4738" t="s">
        <v>1020</v>
      </c>
      <c r="G4738" t="s">
        <v>32</v>
      </c>
      <c r="H4738" t="s">
        <v>33</v>
      </c>
      <c r="I4738" t="s">
        <v>59</v>
      </c>
      <c r="AB4738" t="s">
        <v>60</v>
      </c>
      <c r="AC4738" t="s">
        <v>87</v>
      </c>
    </row>
    <row r="4739" spans="1:29" x14ac:dyDescent="0.35">
      <c r="A4739" s="7">
        <v>42935</v>
      </c>
      <c r="B4739" t="s">
        <v>30</v>
      </c>
      <c r="C4739">
        <v>703</v>
      </c>
      <c r="D4739">
        <v>7</v>
      </c>
      <c r="E4739">
        <v>1</v>
      </c>
      <c r="F4739" t="s">
        <v>1020</v>
      </c>
      <c r="G4739" t="s">
        <v>32</v>
      </c>
      <c r="H4739" t="s">
        <v>33</v>
      </c>
      <c r="I4739" t="s">
        <v>59</v>
      </c>
      <c r="AB4739" t="s">
        <v>60</v>
      </c>
      <c r="AC4739" t="s">
        <v>87</v>
      </c>
    </row>
    <row r="4740" spans="1:29" x14ac:dyDescent="0.35">
      <c r="A4740" s="7">
        <v>42935</v>
      </c>
      <c r="B4740" t="s">
        <v>30</v>
      </c>
      <c r="C4740">
        <v>703</v>
      </c>
      <c r="D4740">
        <v>7</v>
      </c>
      <c r="E4740">
        <v>2</v>
      </c>
      <c r="F4740" t="s">
        <v>1020</v>
      </c>
      <c r="G4740" t="s">
        <v>32</v>
      </c>
      <c r="H4740" t="s">
        <v>33</v>
      </c>
      <c r="I4740" t="s">
        <v>59</v>
      </c>
      <c r="AB4740" t="s">
        <v>60</v>
      </c>
      <c r="AC4740" t="s">
        <v>87</v>
      </c>
    </row>
    <row r="4741" spans="1:29" x14ac:dyDescent="0.35">
      <c r="A4741" s="7">
        <v>42935</v>
      </c>
      <c r="B4741" t="s">
        <v>30</v>
      </c>
      <c r="C4741">
        <v>703</v>
      </c>
      <c r="D4741">
        <v>9</v>
      </c>
      <c r="E4741">
        <v>1</v>
      </c>
      <c r="F4741" t="s">
        <v>1020</v>
      </c>
      <c r="G4741" t="s">
        <v>32</v>
      </c>
      <c r="H4741" t="s">
        <v>33</v>
      </c>
      <c r="I4741" t="s">
        <v>1029</v>
      </c>
      <c r="J4741" t="s">
        <v>66</v>
      </c>
      <c r="AB4741" t="s">
        <v>60</v>
      </c>
      <c r="AC4741" t="s">
        <v>87</v>
      </c>
    </row>
    <row r="4742" spans="1:29" x14ac:dyDescent="0.35">
      <c r="A4742" s="7">
        <v>42935</v>
      </c>
      <c r="B4742" t="s">
        <v>30</v>
      </c>
      <c r="C4742">
        <v>801</v>
      </c>
      <c r="D4742">
        <v>2</v>
      </c>
      <c r="E4742">
        <v>1</v>
      </c>
      <c r="F4742" t="s">
        <v>1020</v>
      </c>
      <c r="G4742" t="s">
        <v>32</v>
      </c>
      <c r="H4742" t="s">
        <v>33</v>
      </c>
      <c r="I4742" t="s">
        <v>43</v>
      </c>
      <c r="J4742" t="s">
        <v>44</v>
      </c>
      <c r="K4742" t="s">
        <v>113</v>
      </c>
      <c r="L4742" t="s">
        <v>37</v>
      </c>
      <c r="M4742">
        <v>0</v>
      </c>
      <c r="N4742">
        <v>0</v>
      </c>
      <c r="O4742">
        <v>39779</v>
      </c>
      <c r="P4742">
        <v>39778</v>
      </c>
      <c r="Q4742">
        <f>28-14</f>
        <v>14</v>
      </c>
      <c r="R4742" t="s">
        <v>38</v>
      </c>
      <c r="AB4742" t="s">
        <v>60</v>
      </c>
      <c r="AC4742" t="s">
        <v>87</v>
      </c>
    </row>
    <row r="4743" spans="1:29" x14ac:dyDescent="0.35">
      <c r="A4743" s="7">
        <v>42935</v>
      </c>
      <c r="B4743" t="s">
        <v>30</v>
      </c>
      <c r="C4743">
        <v>801</v>
      </c>
      <c r="D4743">
        <v>2</v>
      </c>
      <c r="E4743">
        <v>2</v>
      </c>
      <c r="F4743" t="s">
        <v>1020</v>
      </c>
      <c r="G4743" t="s">
        <v>32</v>
      </c>
      <c r="H4743" t="s">
        <v>33</v>
      </c>
      <c r="I4743" t="s">
        <v>59</v>
      </c>
      <c r="AB4743" t="s">
        <v>60</v>
      </c>
      <c r="AC4743" t="s">
        <v>87</v>
      </c>
    </row>
    <row r="4744" spans="1:29" x14ac:dyDescent="0.35">
      <c r="A4744" s="7">
        <v>42935</v>
      </c>
      <c r="B4744" t="s">
        <v>30</v>
      </c>
      <c r="C4744">
        <v>801</v>
      </c>
      <c r="D4744">
        <v>3</v>
      </c>
      <c r="E4744">
        <v>1</v>
      </c>
      <c r="F4744" t="s">
        <v>1020</v>
      </c>
      <c r="G4744" t="s">
        <v>32</v>
      </c>
      <c r="H4744" t="s">
        <v>33</v>
      </c>
      <c r="I4744" t="s">
        <v>58</v>
      </c>
      <c r="J4744" t="s">
        <v>35</v>
      </c>
      <c r="K4744" t="s">
        <v>36</v>
      </c>
      <c r="L4744" t="s">
        <v>37</v>
      </c>
      <c r="M4744">
        <v>0</v>
      </c>
      <c r="N4744">
        <v>1</v>
      </c>
      <c r="O4744">
        <v>39344</v>
      </c>
      <c r="Q4744">
        <f>34-13</f>
        <v>21</v>
      </c>
      <c r="R4744" t="s">
        <v>64</v>
      </c>
      <c r="AB4744" t="s">
        <v>60</v>
      </c>
      <c r="AC4744" t="s">
        <v>87</v>
      </c>
    </row>
    <row r="4745" spans="1:29" x14ac:dyDescent="0.35">
      <c r="A4745" s="7">
        <v>42935</v>
      </c>
      <c r="B4745" t="s">
        <v>30</v>
      </c>
      <c r="C4745">
        <v>801</v>
      </c>
      <c r="D4745">
        <v>4</v>
      </c>
      <c r="E4745">
        <v>1</v>
      </c>
      <c r="F4745" t="s">
        <v>1020</v>
      </c>
      <c r="G4745" t="s">
        <v>32</v>
      </c>
      <c r="H4745" t="s">
        <v>33</v>
      </c>
      <c r="I4745" t="s">
        <v>59</v>
      </c>
      <c r="AB4745" t="s">
        <v>60</v>
      </c>
      <c r="AC4745" t="s">
        <v>87</v>
      </c>
    </row>
    <row r="4746" spans="1:29" x14ac:dyDescent="0.35">
      <c r="A4746" s="7">
        <v>42935</v>
      </c>
      <c r="B4746" t="s">
        <v>30</v>
      </c>
      <c r="C4746">
        <v>801</v>
      </c>
      <c r="D4746">
        <v>4</v>
      </c>
      <c r="E4746">
        <v>2</v>
      </c>
      <c r="F4746" t="s">
        <v>1020</v>
      </c>
      <c r="G4746" t="s">
        <v>32</v>
      </c>
      <c r="H4746" t="s">
        <v>33</v>
      </c>
      <c r="I4746" t="s">
        <v>59</v>
      </c>
      <c r="AB4746" t="s">
        <v>60</v>
      </c>
      <c r="AC4746" t="s">
        <v>87</v>
      </c>
    </row>
    <row r="4747" spans="1:29" x14ac:dyDescent="0.35">
      <c r="A4747" s="7">
        <v>42935</v>
      </c>
      <c r="B4747" t="s">
        <v>30</v>
      </c>
      <c r="C4747">
        <v>801</v>
      </c>
      <c r="D4747">
        <v>5</v>
      </c>
      <c r="E4747">
        <v>1</v>
      </c>
      <c r="F4747" t="s">
        <v>1020</v>
      </c>
      <c r="G4747" t="s">
        <v>32</v>
      </c>
      <c r="H4747" t="s">
        <v>33</v>
      </c>
      <c r="I4747" t="s">
        <v>59</v>
      </c>
      <c r="AB4747" t="s">
        <v>60</v>
      </c>
      <c r="AC4747" t="s">
        <v>87</v>
      </c>
    </row>
    <row r="4748" spans="1:29" x14ac:dyDescent="0.35">
      <c r="A4748" s="7">
        <v>42935</v>
      </c>
      <c r="B4748" t="s">
        <v>30</v>
      </c>
      <c r="C4748">
        <v>801</v>
      </c>
      <c r="D4748">
        <v>5</v>
      </c>
      <c r="E4748">
        <v>2</v>
      </c>
      <c r="F4748" t="s">
        <v>1020</v>
      </c>
      <c r="G4748" t="s">
        <v>32</v>
      </c>
      <c r="H4748" t="s">
        <v>33</v>
      </c>
      <c r="I4748" t="s">
        <v>58</v>
      </c>
      <c r="J4748" t="s">
        <v>44</v>
      </c>
      <c r="K4748" t="s">
        <v>36</v>
      </c>
      <c r="L4748" t="s">
        <v>37</v>
      </c>
      <c r="M4748">
        <v>0</v>
      </c>
      <c r="N4748">
        <v>0</v>
      </c>
      <c r="O4748">
        <v>39780</v>
      </c>
      <c r="Q4748">
        <f>37-14</f>
        <v>23</v>
      </c>
      <c r="R4748" t="s">
        <v>64</v>
      </c>
      <c r="Z4748" t="s">
        <v>102</v>
      </c>
      <c r="AB4748" t="s">
        <v>60</v>
      </c>
      <c r="AC4748" t="s">
        <v>87</v>
      </c>
    </row>
    <row r="4749" spans="1:29" x14ac:dyDescent="0.35">
      <c r="A4749" s="7">
        <v>42935</v>
      </c>
      <c r="B4749" t="s">
        <v>30</v>
      </c>
      <c r="C4749">
        <v>801</v>
      </c>
      <c r="D4749">
        <v>6</v>
      </c>
      <c r="E4749">
        <v>1</v>
      </c>
      <c r="F4749" t="s">
        <v>1020</v>
      </c>
      <c r="G4749" t="s">
        <v>32</v>
      </c>
      <c r="H4749" t="s">
        <v>33</v>
      </c>
      <c r="I4749" t="s">
        <v>58</v>
      </c>
      <c r="J4749" t="s">
        <v>35</v>
      </c>
      <c r="K4749" t="s">
        <v>36</v>
      </c>
      <c r="L4749" t="s">
        <v>45</v>
      </c>
      <c r="M4749">
        <v>0</v>
      </c>
      <c r="N4749">
        <v>1</v>
      </c>
      <c r="O4749">
        <v>39345</v>
      </c>
      <c r="Q4749">
        <f>38-15</f>
        <v>23</v>
      </c>
      <c r="R4749" t="s">
        <v>79</v>
      </c>
      <c r="S4749" t="s">
        <v>39</v>
      </c>
      <c r="Z4749" t="s">
        <v>102</v>
      </c>
      <c r="AB4749" t="s">
        <v>60</v>
      </c>
      <c r="AC4749" t="s">
        <v>87</v>
      </c>
    </row>
    <row r="4750" spans="1:29" x14ac:dyDescent="0.35">
      <c r="A4750" s="7">
        <v>42935</v>
      </c>
      <c r="B4750" t="s">
        <v>30</v>
      </c>
      <c r="C4750">
        <v>801</v>
      </c>
      <c r="D4750">
        <v>6</v>
      </c>
      <c r="E4750">
        <v>2</v>
      </c>
      <c r="F4750" t="s">
        <v>1020</v>
      </c>
      <c r="G4750" t="s">
        <v>32</v>
      </c>
      <c r="H4750" t="s">
        <v>33</v>
      </c>
      <c r="I4750" t="s">
        <v>59</v>
      </c>
      <c r="AB4750" t="s">
        <v>60</v>
      </c>
      <c r="AC4750" t="s">
        <v>87</v>
      </c>
    </row>
    <row r="4751" spans="1:29" x14ac:dyDescent="0.35">
      <c r="A4751" s="7">
        <v>42935</v>
      </c>
      <c r="B4751" t="s">
        <v>30</v>
      </c>
      <c r="C4751">
        <v>801</v>
      </c>
      <c r="D4751">
        <v>7</v>
      </c>
      <c r="E4751">
        <v>1</v>
      </c>
      <c r="F4751" t="s">
        <v>1020</v>
      </c>
      <c r="G4751" t="s">
        <v>32</v>
      </c>
      <c r="H4751" t="s">
        <v>33</v>
      </c>
      <c r="I4751" t="s">
        <v>59</v>
      </c>
      <c r="AB4751" t="s">
        <v>60</v>
      </c>
      <c r="AC4751" t="s">
        <v>87</v>
      </c>
    </row>
    <row r="4752" spans="1:29" x14ac:dyDescent="0.35">
      <c r="A4752" s="7">
        <v>42935</v>
      </c>
      <c r="B4752" t="s">
        <v>30</v>
      </c>
      <c r="C4752">
        <v>801</v>
      </c>
      <c r="D4752">
        <v>7</v>
      </c>
      <c r="E4752">
        <v>2</v>
      </c>
      <c r="F4752" t="s">
        <v>1020</v>
      </c>
      <c r="G4752" t="s">
        <v>32</v>
      </c>
      <c r="H4752" t="s">
        <v>33</v>
      </c>
      <c r="I4752" t="s">
        <v>59</v>
      </c>
      <c r="AB4752" t="s">
        <v>60</v>
      </c>
      <c r="AC4752" t="s">
        <v>87</v>
      </c>
    </row>
    <row r="4753" spans="1:29" x14ac:dyDescent="0.35">
      <c r="A4753" s="7">
        <v>42935</v>
      </c>
      <c r="B4753" t="s">
        <v>30</v>
      </c>
      <c r="C4753">
        <v>801</v>
      </c>
      <c r="D4753">
        <v>8</v>
      </c>
      <c r="E4753">
        <v>1</v>
      </c>
      <c r="F4753" t="s">
        <v>1020</v>
      </c>
      <c r="G4753" t="s">
        <v>32</v>
      </c>
      <c r="H4753" t="s">
        <v>33</v>
      </c>
      <c r="I4753" t="s">
        <v>59</v>
      </c>
      <c r="AB4753" t="s">
        <v>60</v>
      </c>
      <c r="AC4753" t="s">
        <v>87</v>
      </c>
    </row>
    <row r="4754" spans="1:29" x14ac:dyDescent="0.35">
      <c r="A4754" s="7">
        <v>42935</v>
      </c>
      <c r="B4754" t="s">
        <v>30</v>
      </c>
      <c r="C4754">
        <v>801</v>
      </c>
      <c r="D4754">
        <v>8</v>
      </c>
      <c r="E4754">
        <v>2</v>
      </c>
      <c r="F4754" t="s">
        <v>1020</v>
      </c>
      <c r="G4754" t="s">
        <v>32</v>
      </c>
      <c r="H4754" t="s">
        <v>33</v>
      </c>
      <c r="I4754" t="s">
        <v>72</v>
      </c>
      <c r="J4754" t="s">
        <v>56</v>
      </c>
      <c r="AB4754" t="s">
        <v>60</v>
      </c>
      <c r="AC4754" t="s">
        <v>87</v>
      </c>
    </row>
    <row r="4755" spans="1:29" x14ac:dyDescent="0.35">
      <c r="A4755" s="7">
        <v>42935</v>
      </c>
      <c r="B4755" t="s">
        <v>30</v>
      </c>
      <c r="C4755">
        <v>801</v>
      </c>
      <c r="D4755">
        <v>9</v>
      </c>
      <c r="E4755">
        <v>1</v>
      </c>
      <c r="F4755" t="s">
        <v>1020</v>
      </c>
      <c r="G4755" t="s">
        <v>32</v>
      </c>
      <c r="H4755" t="s">
        <v>33</v>
      </c>
      <c r="I4755" t="s">
        <v>59</v>
      </c>
      <c r="AB4755" t="s">
        <v>60</v>
      </c>
      <c r="AC4755" t="s">
        <v>87</v>
      </c>
    </row>
    <row r="4756" spans="1:29" x14ac:dyDescent="0.35">
      <c r="A4756" s="7">
        <v>42935</v>
      </c>
      <c r="B4756" t="s">
        <v>30</v>
      </c>
      <c r="C4756">
        <v>801</v>
      </c>
      <c r="D4756">
        <v>9</v>
      </c>
      <c r="E4756">
        <v>2</v>
      </c>
      <c r="F4756" t="s">
        <v>1020</v>
      </c>
      <c r="G4756" t="s">
        <v>32</v>
      </c>
      <c r="H4756" t="s">
        <v>33</v>
      </c>
      <c r="I4756" t="s">
        <v>59</v>
      </c>
      <c r="AB4756" t="s">
        <v>60</v>
      </c>
      <c r="AC4756" t="s">
        <v>87</v>
      </c>
    </row>
    <row r="4757" spans="1:29" x14ac:dyDescent="0.35">
      <c r="A4757" s="7">
        <v>42935</v>
      </c>
      <c r="B4757" t="s">
        <v>30</v>
      </c>
      <c r="C4757">
        <v>801</v>
      </c>
      <c r="D4757">
        <v>10</v>
      </c>
      <c r="E4757">
        <v>1</v>
      </c>
      <c r="F4757" t="s">
        <v>1020</v>
      </c>
      <c r="G4757" t="s">
        <v>32</v>
      </c>
      <c r="H4757" t="s">
        <v>33</v>
      </c>
      <c r="I4757" t="s">
        <v>43</v>
      </c>
      <c r="J4757" t="s">
        <v>44</v>
      </c>
      <c r="K4757" t="s">
        <v>36</v>
      </c>
      <c r="L4757" t="s">
        <v>45</v>
      </c>
      <c r="M4757">
        <v>0</v>
      </c>
      <c r="N4757">
        <v>0</v>
      </c>
      <c r="O4757">
        <v>39758</v>
      </c>
      <c r="P4757">
        <v>39757</v>
      </c>
      <c r="Q4757">
        <f>35-14</f>
        <v>21</v>
      </c>
      <c r="R4757" t="s">
        <v>1028</v>
      </c>
      <c r="S4757" t="s">
        <v>102</v>
      </c>
      <c r="AB4757" t="s">
        <v>60</v>
      </c>
      <c r="AC4757" t="s">
        <v>87</v>
      </c>
    </row>
    <row r="4758" spans="1:29" x14ac:dyDescent="0.35">
      <c r="A4758" s="7">
        <v>42935</v>
      </c>
      <c r="B4758" t="s">
        <v>30</v>
      </c>
      <c r="C4758">
        <v>803</v>
      </c>
      <c r="D4758">
        <v>1</v>
      </c>
      <c r="E4758">
        <v>1</v>
      </c>
      <c r="F4758" t="s">
        <v>1020</v>
      </c>
      <c r="G4758" t="s">
        <v>32</v>
      </c>
      <c r="H4758" t="s">
        <v>33</v>
      </c>
      <c r="I4758" t="s">
        <v>59</v>
      </c>
      <c r="AB4758" t="s">
        <v>60</v>
      </c>
      <c r="AC4758" t="s">
        <v>87</v>
      </c>
    </row>
    <row r="4759" spans="1:29" x14ac:dyDescent="0.35">
      <c r="A4759" s="7">
        <v>42935</v>
      </c>
      <c r="B4759" t="s">
        <v>30</v>
      </c>
      <c r="C4759">
        <v>803</v>
      </c>
      <c r="D4759">
        <v>1</v>
      </c>
      <c r="E4759">
        <v>2</v>
      </c>
      <c r="F4759" t="s">
        <v>1020</v>
      </c>
      <c r="G4759" t="s">
        <v>32</v>
      </c>
      <c r="H4759" t="s">
        <v>33</v>
      </c>
      <c r="I4759" t="s">
        <v>43</v>
      </c>
      <c r="J4759" t="s">
        <v>44</v>
      </c>
      <c r="K4759" t="s">
        <v>113</v>
      </c>
      <c r="L4759" t="s">
        <v>37</v>
      </c>
      <c r="M4759">
        <v>0</v>
      </c>
      <c r="N4759">
        <v>0</v>
      </c>
      <c r="O4759">
        <v>39766</v>
      </c>
      <c r="P4759">
        <v>39765</v>
      </c>
      <c r="Q4759">
        <f>33-15</f>
        <v>18</v>
      </c>
      <c r="R4759" t="s">
        <v>38</v>
      </c>
      <c r="AB4759" t="s">
        <v>60</v>
      </c>
      <c r="AC4759" t="s">
        <v>87</v>
      </c>
    </row>
    <row r="4760" spans="1:29" x14ac:dyDescent="0.35">
      <c r="A4760" s="7">
        <v>42935</v>
      </c>
      <c r="B4760" t="s">
        <v>30</v>
      </c>
      <c r="C4760">
        <v>803</v>
      </c>
      <c r="D4760">
        <v>2</v>
      </c>
      <c r="E4760">
        <v>1</v>
      </c>
      <c r="F4760" t="s">
        <v>1020</v>
      </c>
      <c r="G4760" t="s">
        <v>32</v>
      </c>
      <c r="H4760" t="s">
        <v>33</v>
      </c>
      <c r="I4760" t="s">
        <v>59</v>
      </c>
      <c r="AB4760" t="s">
        <v>60</v>
      </c>
      <c r="AC4760" t="s">
        <v>87</v>
      </c>
    </row>
    <row r="4761" spans="1:29" x14ac:dyDescent="0.35">
      <c r="A4761" s="7">
        <v>42935</v>
      </c>
      <c r="B4761" t="s">
        <v>30</v>
      </c>
      <c r="C4761">
        <v>803</v>
      </c>
      <c r="D4761">
        <v>4</v>
      </c>
      <c r="E4761">
        <v>1</v>
      </c>
      <c r="F4761" t="s">
        <v>1020</v>
      </c>
      <c r="G4761" t="s">
        <v>32</v>
      </c>
      <c r="H4761" t="s">
        <v>33</v>
      </c>
      <c r="I4761" t="s">
        <v>94</v>
      </c>
      <c r="J4761" t="s">
        <v>44</v>
      </c>
      <c r="K4761" t="s">
        <v>36</v>
      </c>
      <c r="L4761" t="s">
        <v>45</v>
      </c>
      <c r="M4761">
        <v>0</v>
      </c>
      <c r="N4761">
        <v>0</v>
      </c>
      <c r="P4761">
        <v>50615</v>
      </c>
      <c r="Q4761">
        <f>41-14</f>
        <v>27</v>
      </c>
      <c r="R4761" t="s">
        <v>1021</v>
      </c>
      <c r="S4761" t="s">
        <v>102</v>
      </c>
      <c r="AB4761" t="s">
        <v>60</v>
      </c>
      <c r="AC4761" t="s">
        <v>87</v>
      </c>
    </row>
    <row r="4762" spans="1:29" x14ac:dyDescent="0.35">
      <c r="A4762" s="7">
        <v>42935</v>
      </c>
      <c r="B4762" t="s">
        <v>30</v>
      </c>
      <c r="C4762">
        <v>803</v>
      </c>
      <c r="D4762">
        <v>5</v>
      </c>
      <c r="E4762">
        <v>1</v>
      </c>
      <c r="F4762" t="s">
        <v>1020</v>
      </c>
      <c r="G4762" t="s">
        <v>32</v>
      </c>
      <c r="H4762" t="s">
        <v>33</v>
      </c>
      <c r="I4762" t="s">
        <v>59</v>
      </c>
      <c r="AB4762" t="s">
        <v>60</v>
      </c>
      <c r="AC4762" t="s">
        <v>87</v>
      </c>
    </row>
    <row r="4763" spans="1:29" x14ac:dyDescent="0.35">
      <c r="A4763" s="7">
        <v>42935</v>
      </c>
      <c r="B4763" t="s">
        <v>30</v>
      </c>
      <c r="C4763">
        <v>803</v>
      </c>
      <c r="D4763">
        <v>5</v>
      </c>
      <c r="E4763">
        <v>2</v>
      </c>
      <c r="F4763" t="s">
        <v>1020</v>
      </c>
      <c r="G4763" t="s">
        <v>32</v>
      </c>
      <c r="H4763" t="s">
        <v>33</v>
      </c>
      <c r="I4763" t="s">
        <v>59</v>
      </c>
      <c r="AB4763" t="s">
        <v>60</v>
      </c>
      <c r="AC4763" t="s">
        <v>87</v>
      </c>
    </row>
    <row r="4764" spans="1:29" x14ac:dyDescent="0.35">
      <c r="A4764" s="7">
        <v>42935</v>
      </c>
      <c r="B4764" t="s">
        <v>30</v>
      </c>
      <c r="C4764">
        <v>803</v>
      </c>
      <c r="D4764">
        <v>6</v>
      </c>
      <c r="E4764">
        <v>1</v>
      </c>
      <c r="F4764" t="s">
        <v>1020</v>
      </c>
      <c r="G4764" t="s">
        <v>32</v>
      </c>
      <c r="H4764" t="s">
        <v>33</v>
      </c>
      <c r="I4764" t="s">
        <v>59</v>
      </c>
      <c r="AB4764" t="s">
        <v>60</v>
      </c>
      <c r="AC4764" t="s">
        <v>87</v>
      </c>
    </row>
    <row r="4765" spans="1:29" x14ac:dyDescent="0.35">
      <c r="A4765" s="7">
        <v>42935</v>
      </c>
      <c r="B4765" t="s">
        <v>30</v>
      </c>
      <c r="C4765">
        <v>803</v>
      </c>
      <c r="D4765">
        <v>6</v>
      </c>
      <c r="E4765">
        <v>2</v>
      </c>
      <c r="F4765" t="s">
        <v>1020</v>
      </c>
      <c r="G4765" t="s">
        <v>32</v>
      </c>
      <c r="H4765" t="s">
        <v>33</v>
      </c>
      <c r="I4765" t="s">
        <v>59</v>
      </c>
      <c r="AB4765" t="s">
        <v>60</v>
      </c>
      <c r="AC4765" t="s">
        <v>87</v>
      </c>
    </row>
    <row r="4766" spans="1:29" x14ac:dyDescent="0.35">
      <c r="A4766" s="7">
        <v>42935</v>
      </c>
      <c r="B4766" t="s">
        <v>30</v>
      </c>
      <c r="C4766">
        <v>803</v>
      </c>
      <c r="D4766">
        <v>7</v>
      </c>
      <c r="E4766">
        <v>1</v>
      </c>
      <c r="F4766" t="s">
        <v>1020</v>
      </c>
      <c r="G4766" t="s">
        <v>32</v>
      </c>
      <c r="H4766" t="s">
        <v>33</v>
      </c>
      <c r="I4766" t="s">
        <v>43</v>
      </c>
      <c r="J4766" t="s">
        <v>44</v>
      </c>
      <c r="K4766" t="s">
        <v>113</v>
      </c>
      <c r="L4766" t="s">
        <v>37</v>
      </c>
      <c r="M4766">
        <v>0</v>
      </c>
      <c r="N4766">
        <v>0</v>
      </c>
      <c r="O4766">
        <v>39755</v>
      </c>
      <c r="P4766">
        <v>39754</v>
      </c>
      <c r="Q4766">
        <f>29-14</f>
        <v>15</v>
      </c>
      <c r="R4766" t="s">
        <v>64</v>
      </c>
      <c r="AB4766" t="s">
        <v>60</v>
      </c>
      <c r="AC4766" t="s">
        <v>87</v>
      </c>
    </row>
    <row r="4767" spans="1:29" x14ac:dyDescent="0.35">
      <c r="A4767" s="7">
        <v>42935</v>
      </c>
      <c r="B4767" t="s">
        <v>30</v>
      </c>
      <c r="C4767">
        <v>803</v>
      </c>
      <c r="D4767">
        <v>7</v>
      </c>
      <c r="E4767">
        <v>2</v>
      </c>
      <c r="F4767" t="s">
        <v>1020</v>
      </c>
      <c r="G4767" t="s">
        <v>32</v>
      </c>
      <c r="H4767" t="s">
        <v>33</v>
      </c>
      <c r="I4767" t="s">
        <v>59</v>
      </c>
      <c r="AB4767" t="s">
        <v>60</v>
      </c>
      <c r="AC4767" t="s">
        <v>87</v>
      </c>
    </row>
    <row r="4768" spans="1:29" x14ac:dyDescent="0.35">
      <c r="A4768" s="7">
        <v>42935</v>
      </c>
      <c r="B4768" t="s">
        <v>30</v>
      </c>
      <c r="C4768">
        <v>803</v>
      </c>
      <c r="D4768">
        <v>8</v>
      </c>
      <c r="E4768">
        <v>1</v>
      </c>
      <c r="F4768" t="s">
        <v>1020</v>
      </c>
      <c r="G4768" t="s">
        <v>32</v>
      </c>
      <c r="H4768" t="s">
        <v>33</v>
      </c>
      <c r="I4768" t="s">
        <v>43</v>
      </c>
      <c r="J4768" t="s">
        <v>35</v>
      </c>
      <c r="K4768" t="s">
        <v>113</v>
      </c>
      <c r="L4768" t="s">
        <v>37</v>
      </c>
      <c r="M4768">
        <v>0</v>
      </c>
      <c r="N4768">
        <v>1</v>
      </c>
      <c r="O4768">
        <v>39349</v>
      </c>
      <c r="P4768">
        <v>39348</v>
      </c>
      <c r="Q4768">
        <f>28-13</f>
        <v>15</v>
      </c>
      <c r="R4768" t="s">
        <v>38</v>
      </c>
      <c r="AB4768" t="s">
        <v>60</v>
      </c>
      <c r="AC4768" t="s">
        <v>87</v>
      </c>
    </row>
    <row r="4769" spans="1:30" x14ac:dyDescent="0.35">
      <c r="A4769" s="7">
        <v>42935</v>
      </c>
      <c r="B4769" t="s">
        <v>30</v>
      </c>
      <c r="C4769">
        <v>803</v>
      </c>
      <c r="D4769">
        <v>9</v>
      </c>
      <c r="E4769">
        <v>1</v>
      </c>
      <c r="F4769" t="s">
        <v>1020</v>
      </c>
      <c r="G4769" t="s">
        <v>32</v>
      </c>
      <c r="H4769" t="s">
        <v>33</v>
      </c>
      <c r="I4769" t="s">
        <v>59</v>
      </c>
      <c r="AB4769" t="s">
        <v>60</v>
      </c>
      <c r="AC4769" t="s">
        <v>87</v>
      </c>
    </row>
    <row r="4770" spans="1:30" x14ac:dyDescent="0.35">
      <c r="A4770" s="7">
        <v>42935</v>
      </c>
      <c r="B4770" t="s">
        <v>30</v>
      </c>
      <c r="C4770">
        <v>803</v>
      </c>
      <c r="D4770">
        <v>9</v>
      </c>
      <c r="E4770">
        <v>2</v>
      </c>
      <c r="F4770" t="s">
        <v>1020</v>
      </c>
      <c r="G4770" t="s">
        <v>32</v>
      </c>
      <c r="H4770" t="s">
        <v>33</v>
      </c>
      <c r="I4770" t="s">
        <v>59</v>
      </c>
      <c r="AB4770" t="s">
        <v>60</v>
      </c>
      <c r="AC4770" t="s">
        <v>87</v>
      </c>
    </row>
    <row r="4771" spans="1:30" x14ac:dyDescent="0.35">
      <c r="A4771" s="7">
        <v>42935</v>
      </c>
      <c r="B4771" t="s">
        <v>30</v>
      </c>
      <c r="C4771">
        <v>803</v>
      </c>
      <c r="D4771">
        <v>10</v>
      </c>
      <c r="E4771">
        <v>1</v>
      </c>
      <c r="F4771" t="s">
        <v>1020</v>
      </c>
      <c r="G4771" t="s">
        <v>32</v>
      </c>
      <c r="H4771" t="s">
        <v>33</v>
      </c>
      <c r="I4771" t="s">
        <v>43</v>
      </c>
      <c r="J4771" t="s">
        <v>35</v>
      </c>
      <c r="K4771" t="s">
        <v>113</v>
      </c>
      <c r="L4771" t="s">
        <v>37</v>
      </c>
      <c r="M4771">
        <v>0</v>
      </c>
      <c r="N4771">
        <v>1</v>
      </c>
      <c r="O4771">
        <v>39347</v>
      </c>
      <c r="P4771">
        <v>39346</v>
      </c>
      <c r="Q4771">
        <f>33-14</f>
        <v>19</v>
      </c>
      <c r="R4771" t="s">
        <v>38</v>
      </c>
      <c r="Y4771" t="s">
        <v>1049</v>
      </c>
      <c r="AB4771" t="s">
        <v>60</v>
      </c>
      <c r="AC4771" t="s">
        <v>87</v>
      </c>
    </row>
    <row r="4772" spans="1:30" x14ac:dyDescent="0.35">
      <c r="A4772" s="7">
        <v>42935</v>
      </c>
      <c r="B4772" t="s">
        <v>30</v>
      </c>
      <c r="C4772">
        <v>803</v>
      </c>
      <c r="D4772">
        <v>10</v>
      </c>
      <c r="E4772">
        <v>2</v>
      </c>
      <c r="F4772" t="s">
        <v>1020</v>
      </c>
      <c r="G4772" t="s">
        <v>32</v>
      </c>
      <c r="H4772" t="s">
        <v>33</v>
      </c>
      <c r="I4772" t="s">
        <v>59</v>
      </c>
      <c r="AB4772" t="s">
        <v>60</v>
      </c>
      <c r="AC4772" t="s">
        <v>87</v>
      </c>
    </row>
    <row r="4773" spans="1:30" x14ac:dyDescent="0.35">
      <c r="A4773" s="7">
        <v>42935</v>
      </c>
      <c r="B4773" t="s">
        <v>30</v>
      </c>
      <c r="C4773">
        <v>901</v>
      </c>
      <c r="D4773">
        <v>1</v>
      </c>
      <c r="E4773">
        <v>1</v>
      </c>
      <c r="F4773" t="s">
        <v>1020</v>
      </c>
      <c r="G4773" t="s">
        <v>32</v>
      </c>
      <c r="H4773" t="s">
        <v>33</v>
      </c>
      <c r="I4773" t="s">
        <v>59</v>
      </c>
      <c r="AB4773" t="s">
        <v>60</v>
      </c>
      <c r="AC4773" t="s">
        <v>87</v>
      </c>
    </row>
    <row r="4774" spans="1:30" x14ac:dyDescent="0.35">
      <c r="A4774" s="7">
        <v>42935</v>
      </c>
      <c r="B4774" t="s">
        <v>30</v>
      </c>
      <c r="C4774">
        <v>901</v>
      </c>
      <c r="D4774">
        <v>1</v>
      </c>
      <c r="E4774">
        <v>2</v>
      </c>
      <c r="F4774" t="s">
        <v>1020</v>
      </c>
      <c r="G4774" t="s">
        <v>32</v>
      </c>
      <c r="H4774" t="s">
        <v>33</v>
      </c>
      <c r="I4774" t="s">
        <v>43</v>
      </c>
      <c r="J4774" t="s">
        <v>44</v>
      </c>
      <c r="K4774" t="s">
        <v>113</v>
      </c>
      <c r="L4774" t="s">
        <v>45</v>
      </c>
      <c r="M4774">
        <v>0</v>
      </c>
      <c r="N4774">
        <v>0</v>
      </c>
      <c r="O4774">
        <v>39145</v>
      </c>
      <c r="P4774">
        <v>39144</v>
      </c>
      <c r="Q4774">
        <f>31-14</f>
        <v>17</v>
      </c>
      <c r="R4774" t="s">
        <v>46</v>
      </c>
      <c r="S4774" t="s">
        <v>39</v>
      </c>
      <c r="AB4774" t="s">
        <v>60</v>
      </c>
      <c r="AC4774" t="s">
        <v>87</v>
      </c>
    </row>
    <row r="4775" spans="1:30" x14ac:dyDescent="0.35">
      <c r="A4775" s="7">
        <v>42935</v>
      </c>
      <c r="B4775" t="s">
        <v>30</v>
      </c>
      <c r="C4775">
        <v>901</v>
      </c>
      <c r="D4775">
        <v>2</v>
      </c>
      <c r="E4775">
        <v>1</v>
      </c>
      <c r="F4775" t="s">
        <v>1020</v>
      </c>
      <c r="G4775" t="s">
        <v>32</v>
      </c>
      <c r="H4775" t="s">
        <v>33</v>
      </c>
      <c r="I4775" t="s">
        <v>34</v>
      </c>
      <c r="J4775" t="s">
        <v>35</v>
      </c>
      <c r="K4775" t="s">
        <v>36</v>
      </c>
      <c r="L4775" t="s">
        <v>45</v>
      </c>
      <c r="M4775">
        <v>0</v>
      </c>
      <c r="N4775">
        <v>1</v>
      </c>
      <c r="P4775">
        <v>39350</v>
      </c>
      <c r="Q4775">
        <f>200-95</f>
        <v>105</v>
      </c>
      <c r="R4775" t="s">
        <v>46</v>
      </c>
      <c r="S4775" t="s">
        <v>39</v>
      </c>
      <c r="AB4775" t="s">
        <v>60</v>
      </c>
      <c r="AC4775" t="s">
        <v>87</v>
      </c>
      <c r="AD4775" t="s">
        <v>1024</v>
      </c>
    </row>
    <row r="4776" spans="1:30" x14ac:dyDescent="0.35">
      <c r="A4776" s="7">
        <v>42935</v>
      </c>
      <c r="B4776" t="s">
        <v>30</v>
      </c>
      <c r="C4776">
        <v>901</v>
      </c>
      <c r="D4776">
        <v>2</v>
      </c>
      <c r="E4776">
        <v>2</v>
      </c>
      <c r="F4776" t="s">
        <v>1020</v>
      </c>
      <c r="G4776" t="s">
        <v>32</v>
      </c>
      <c r="H4776" t="s">
        <v>33</v>
      </c>
      <c r="I4776" t="s">
        <v>43</v>
      </c>
      <c r="J4776" t="s">
        <v>44</v>
      </c>
      <c r="K4776" t="s">
        <v>36</v>
      </c>
      <c r="L4776" t="s">
        <v>45</v>
      </c>
      <c r="M4776">
        <v>0</v>
      </c>
      <c r="N4776">
        <v>0</v>
      </c>
      <c r="O4776">
        <v>39764</v>
      </c>
      <c r="P4776">
        <v>39763</v>
      </c>
      <c r="Q4776">
        <f>35-14</f>
        <v>21</v>
      </c>
      <c r="R4776" t="s">
        <v>46</v>
      </c>
      <c r="S4776" t="s">
        <v>39</v>
      </c>
      <c r="Y4776" t="s">
        <v>1050</v>
      </c>
      <c r="AB4776" t="s">
        <v>60</v>
      </c>
      <c r="AC4776" t="s">
        <v>87</v>
      </c>
    </row>
    <row r="4777" spans="1:30" x14ac:dyDescent="0.35">
      <c r="A4777" s="7">
        <v>42935</v>
      </c>
      <c r="B4777" t="s">
        <v>30</v>
      </c>
      <c r="C4777">
        <v>901</v>
      </c>
      <c r="D4777">
        <v>5</v>
      </c>
      <c r="E4777">
        <v>1</v>
      </c>
      <c r="F4777" t="s">
        <v>1020</v>
      </c>
      <c r="G4777" t="s">
        <v>32</v>
      </c>
      <c r="H4777" t="s">
        <v>33</v>
      </c>
      <c r="I4777" t="s">
        <v>59</v>
      </c>
      <c r="AB4777" t="s">
        <v>60</v>
      </c>
      <c r="AC4777" t="s">
        <v>87</v>
      </c>
    </row>
    <row r="4778" spans="1:30" x14ac:dyDescent="0.35">
      <c r="A4778" s="7">
        <v>42935</v>
      </c>
      <c r="B4778" t="s">
        <v>30</v>
      </c>
      <c r="C4778">
        <v>901</v>
      </c>
      <c r="D4778">
        <v>6</v>
      </c>
      <c r="E4778">
        <v>1</v>
      </c>
      <c r="F4778" t="s">
        <v>1020</v>
      </c>
      <c r="G4778" t="s">
        <v>32</v>
      </c>
      <c r="H4778" t="s">
        <v>33</v>
      </c>
      <c r="I4778" t="s">
        <v>43</v>
      </c>
      <c r="J4778" t="s">
        <v>44</v>
      </c>
      <c r="K4778" t="s">
        <v>113</v>
      </c>
      <c r="L4778" t="s">
        <v>37</v>
      </c>
      <c r="M4778">
        <v>0</v>
      </c>
      <c r="N4778">
        <v>0</v>
      </c>
      <c r="O4778">
        <v>39126</v>
      </c>
      <c r="P4778">
        <v>39753</v>
      </c>
      <c r="Q4778">
        <f>34-14</f>
        <v>20</v>
      </c>
      <c r="R4778" t="s">
        <v>38</v>
      </c>
      <c r="AB4778" t="s">
        <v>60</v>
      </c>
      <c r="AC4778" t="s">
        <v>87</v>
      </c>
      <c r="AD4778" t="s">
        <v>1051</v>
      </c>
    </row>
    <row r="4779" spans="1:30" x14ac:dyDescent="0.35">
      <c r="A4779" s="7">
        <v>42935</v>
      </c>
      <c r="B4779" t="s">
        <v>30</v>
      </c>
      <c r="C4779">
        <v>901</v>
      </c>
      <c r="D4779">
        <v>7</v>
      </c>
      <c r="E4779">
        <v>1</v>
      </c>
      <c r="F4779" t="s">
        <v>1020</v>
      </c>
      <c r="G4779" t="s">
        <v>32</v>
      </c>
      <c r="H4779" t="s">
        <v>33</v>
      </c>
      <c r="I4779" t="s">
        <v>43</v>
      </c>
      <c r="J4779" t="s">
        <v>44</v>
      </c>
      <c r="K4779" t="s">
        <v>36</v>
      </c>
      <c r="L4779" t="s">
        <v>37</v>
      </c>
      <c r="M4779">
        <v>0</v>
      </c>
      <c r="N4779">
        <v>0</v>
      </c>
      <c r="O4779">
        <v>39788</v>
      </c>
      <c r="P4779">
        <v>39787</v>
      </c>
      <c r="Q4779">
        <f>35-15</f>
        <v>20</v>
      </c>
      <c r="R4779" t="s">
        <v>38</v>
      </c>
      <c r="AB4779" t="s">
        <v>60</v>
      </c>
      <c r="AC4779" t="s">
        <v>87</v>
      </c>
      <c r="AD4779" t="s">
        <v>1052</v>
      </c>
    </row>
    <row r="4780" spans="1:30" x14ac:dyDescent="0.35">
      <c r="A4780" s="7">
        <v>42936</v>
      </c>
      <c r="B4780" t="s">
        <v>30</v>
      </c>
      <c r="C4780">
        <v>303</v>
      </c>
      <c r="D4780">
        <v>1</v>
      </c>
      <c r="E4780">
        <v>1</v>
      </c>
      <c r="F4780" t="s">
        <v>315</v>
      </c>
      <c r="G4780" t="s">
        <v>32</v>
      </c>
      <c r="H4780" t="s">
        <v>33</v>
      </c>
      <c r="I4780" t="s">
        <v>59</v>
      </c>
      <c r="AB4780" t="s">
        <v>60</v>
      </c>
      <c r="AC4780" t="s">
        <v>87</v>
      </c>
    </row>
    <row r="4781" spans="1:30" x14ac:dyDescent="0.35">
      <c r="A4781" s="7">
        <v>42936</v>
      </c>
      <c r="B4781" t="s">
        <v>30</v>
      </c>
      <c r="C4781">
        <v>303</v>
      </c>
      <c r="D4781">
        <v>1</v>
      </c>
      <c r="E4781">
        <v>2</v>
      </c>
      <c r="F4781" t="s">
        <v>315</v>
      </c>
      <c r="G4781" t="s">
        <v>32</v>
      </c>
      <c r="H4781" t="s">
        <v>33</v>
      </c>
      <c r="I4781" t="s">
        <v>59</v>
      </c>
      <c r="AB4781" t="s">
        <v>60</v>
      </c>
      <c r="AC4781" t="s">
        <v>87</v>
      </c>
    </row>
    <row r="4782" spans="1:30" x14ac:dyDescent="0.35">
      <c r="A4782" s="7">
        <v>42936</v>
      </c>
      <c r="B4782" t="s">
        <v>30</v>
      </c>
      <c r="C4782">
        <v>303</v>
      </c>
      <c r="D4782">
        <v>2</v>
      </c>
      <c r="E4782">
        <v>1</v>
      </c>
      <c r="F4782" t="s">
        <v>315</v>
      </c>
      <c r="G4782" t="s">
        <v>32</v>
      </c>
      <c r="H4782" t="s">
        <v>33</v>
      </c>
      <c r="I4782" t="s">
        <v>59</v>
      </c>
      <c r="AB4782" t="s">
        <v>60</v>
      </c>
      <c r="AC4782" t="s">
        <v>87</v>
      </c>
    </row>
    <row r="4783" spans="1:30" x14ac:dyDescent="0.35">
      <c r="A4783" s="7">
        <v>42936</v>
      </c>
      <c r="B4783" t="s">
        <v>30</v>
      </c>
      <c r="C4783">
        <v>303</v>
      </c>
      <c r="D4783">
        <v>2</v>
      </c>
      <c r="E4783">
        <v>2</v>
      </c>
      <c r="F4783" t="s">
        <v>315</v>
      </c>
      <c r="G4783" t="s">
        <v>32</v>
      </c>
      <c r="H4783" t="s">
        <v>33</v>
      </c>
      <c r="I4783" t="s">
        <v>84</v>
      </c>
      <c r="AB4783" t="s">
        <v>60</v>
      </c>
      <c r="AC4783" t="s">
        <v>87</v>
      </c>
    </row>
    <row r="4784" spans="1:30" x14ac:dyDescent="0.35">
      <c r="A4784" s="7">
        <v>42936</v>
      </c>
      <c r="B4784" t="s">
        <v>30</v>
      </c>
      <c r="C4784">
        <v>303</v>
      </c>
      <c r="D4784">
        <v>3</v>
      </c>
      <c r="E4784">
        <v>1</v>
      </c>
      <c r="F4784" t="s">
        <v>315</v>
      </c>
      <c r="G4784" t="s">
        <v>32</v>
      </c>
      <c r="H4784" t="s">
        <v>33</v>
      </c>
      <c r="I4784" t="s">
        <v>59</v>
      </c>
      <c r="AB4784" t="s">
        <v>60</v>
      </c>
      <c r="AC4784" t="s">
        <v>87</v>
      </c>
    </row>
    <row r="4785" spans="1:30" x14ac:dyDescent="0.35">
      <c r="A4785" s="7">
        <v>42936</v>
      </c>
      <c r="B4785" t="s">
        <v>30</v>
      </c>
      <c r="C4785">
        <v>303</v>
      </c>
      <c r="D4785">
        <v>3</v>
      </c>
      <c r="E4785">
        <v>2</v>
      </c>
      <c r="F4785" t="s">
        <v>315</v>
      </c>
      <c r="G4785" t="s">
        <v>32</v>
      </c>
      <c r="H4785" t="s">
        <v>33</v>
      </c>
      <c r="I4785" t="s">
        <v>43</v>
      </c>
      <c r="J4785" t="s">
        <v>44</v>
      </c>
      <c r="K4785" t="s">
        <v>113</v>
      </c>
      <c r="L4785" t="s">
        <v>37</v>
      </c>
      <c r="M4785">
        <v>0</v>
      </c>
      <c r="N4785">
        <v>0</v>
      </c>
      <c r="O4785">
        <v>39191</v>
      </c>
      <c r="P4785">
        <v>39190</v>
      </c>
      <c r="Q4785">
        <f>33-14.5</f>
        <v>18.5</v>
      </c>
      <c r="R4785" t="s">
        <v>38</v>
      </c>
      <c r="Z4785" t="s">
        <v>102</v>
      </c>
      <c r="AB4785" t="s">
        <v>60</v>
      </c>
      <c r="AC4785" t="s">
        <v>87</v>
      </c>
    </row>
    <row r="4786" spans="1:30" x14ac:dyDescent="0.35">
      <c r="A4786" s="7">
        <v>42936</v>
      </c>
      <c r="B4786" t="s">
        <v>30</v>
      </c>
      <c r="C4786">
        <v>303</v>
      </c>
      <c r="D4786">
        <v>4</v>
      </c>
      <c r="E4786">
        <v>1</v>
      </c>
      <c r="F4786" t="s">
        <v>315</v>
      </c>
      <c r="G4786" t="s">
        <v>32</v>
      </c>
      <c r="H4786" t="s">
        <v>33</v>
      </c>
      <c r="I4786" t="s">
        <v>59</v>
      </c>
      <c r="AB4786" t="s">
        <v>60</v>
      </c>
      <c r="AC4786" t="s">
        <v>87</v>
      </c>
    </row>
    <row r="4787" spans="1:30" x14ac:dyDescent="0.35">
      <c r="A4787" s="7">
        <v>42936</v>
      </c>
      <c r="B4787" t="s">
        <v>30</v>
      </c>
      <c r="C4787">
        <v>303</v>
      </c>
      <c r="D4787">
        <v>4</v>
      </c>
      <c r="E4787">
        <v>2</v>
      </c>
      <c r="F4787" t="s">
        <v>315</v>
      </c>
      <c r="G4787" t="s">
        <v>32</v>
      </c>
      <c r="H4787" t="s">
        <v>33</v>
      </c>
      <c r="I4787" t="s">
        <v>59</v>
      </c>
      <c r="AB4787" t="s">
        <v>60</v>
      </c>
      <c r="AC4787" t="s">
        <v>87</v>
      </c>
    </row>
    <row r="4788" spans="1:30" x14ac:dyDescent="0.35">
      <c r="A4788" s="7">
        <v>42936</v>
      </c>
      <c r="B4788" t="s">
        <v>30</v>
      </c>
      <c r="C4788">
        <v>303</v>
      </c>
      <c r="D4788">
        <v>5</v>
      </c>
      <c r="E4788">
        <v>1</v>
      </c>
      <c r="F4788" t="s">
        <v>315</v>
      </c>
      <c r="G4788" t="s">
        <v>32</v>
      </c>
      <c r="H4788" t="s">
        <v>33</v>
      </c>
      <c r="I4788" t="s">
        <v>59</v>
      </c>
      <c r="AB4788" t="s">
        <v>60</v>
      </c>
      <c r="AC4788" t="s">
        <v>87</v>
      </c>
    </row>
    <row r="4789" spans="1:30" x14ac:dyDescent="0.35">
      <c r="A4789" s="7">
        <v>42936</v>
      </c>
      <c r="B4789" t="s">
        <v>30</v>
      </c>
      <c r="C4789">
        <v>303</v>
      </c>
      <c r="D4789">
        <v>5</v>
      </c>
      <c r="E4789">
        <v>2</v>
      </c>
      <c r="F4789" t="s">
        <v>315</v>
      </c>
      <c r="G4789" t="s">
        <v>32</v>
      </c>
      <c r="H4789" t="s">
        <v>33</v>
      </c>
      <c r="I4789" t="s">
        <v>59</v>
      </c>
      <c r="AB4789" t="s">
        <v>60</v>
      </c>
      <c r="AC4789" t="s">
        <v>87</v>
      </c>
    </row>
    <row r="4790" spans="1:30" x14ac:dyDescent="0.35">
      <c r="A4790" s="7">
        <v>42936</v>
      </c>
      <c r="B4790" t="s">
        <v>30</v>
      </c>
      <c r="C4790">
        <v>303</v>
      </c>
      <c r="D4790">
        <v>6</v>
      </c>
      <c r="E4790">
        <v>1</v>
      </c>
      <c r="F4790" t="s">
        <v>315</v>
      </c>
      <c r="G4790" t="s">
        <v>32</v>
      </c>
      <c r="H4790" t="s">
        <v>33</v>
      </c>
      <c r="I4790" t="s">
        <v>84</v>
      </c>
      <c r="AB4790" t="s">
        <v>60</v>
      </c>
      <c r="AC4790" t="s">
        <v>87</v>
      </c>
    </row>
    <row r="4791" spans="1:30" x14ac:dyDescent="0.35">
      <c r="A4791" s="7">
        <v>42936</v>
      </c>
      <c r="B4791" t="s">
        <v>30</v>
      </c>
      <c r="C4791">
        <v>303</v>
      </c>
      <c r="D4791">
        <v>8</v>
      </c>
      <c r="E4791">
        <v>1</v>
      </c>
      <c r="F4791" t="s">
        <v>315</v>
      </c>
      <c r="G4791" t="s">
        <v>32</v>
      </c>
      <c r="H4791" t="s">
        <v>33</v>
      </c>
      <c r="I4791" t="s">
        <v>43</v>
      </c>
      <c r="J4791" t="s">
        <v>44</v>
      </c>
      <c r="K4791" t="s">
        <v>88</v>
      </c>
      <c r="L4791" t="s">
        <v>37</v>
      </c>
      <c r="M4791">
        <v>0</v>
      </c>
      <c r="N4791">
        <v>0</v>
      </c>
      <c r="O4791">
        <v>39494</v>
      </c>
      <c r="P4791">
        <v>39393</v>
      </c>
      <c r="Q4791">
        <f>34-14</f>
        <v>20</v>
      </c>
      <c r="R4791" t="s">
        <v>64</v>
      </c>
      <c r="Z4791" t="s">
        <v>102</v>
      </c>
      <c r="AB4791" t="s">
        <v>60</v>
      </c>
      <c r="AC4791" t="s">
        <v>87</v>
      </c>
    </row>
    <row r="4792" spans="1:30" x14ac:dyDescent="0.35">
      <c r="A4792" s="7">
        <v>42936</v>
      </c>
      <c r="B4792" t="s">
        <v>30</v>
      </c>
      <c r="C4792">
        <v>303</v>
      </c>
      <c r="D4792">
        <v>9</v>
      </c>
      <c r="E4792">
        <v>1</v>
      </c>
      <c r="F4792" t="s">
        <v>315</v>
      </c>
      <c r="G4792" t="s">
        <v>32</v>
      </c>
      <c r="H4792" t="s">
        <v>33</v>
      </c>
      <c r="I4792" t="s">
        <v>59</v>
      </c>
      <c r="AB4792" t="s">
        <v>60</v>
      </c>
      <c r="AC4792" t="s">
        <v>87</v>
      </c>
    </row>
    <row r="4793" spans="1:30" x14ac:dyDescent="0.35">
      <c r="A4793" s="7">
        <v>42936</v>
      </c>
      <c r="B4793" t="s">
        <v>30</v>
      </c>
      <c r="C4793">
        <v>303</v>
      </c>
      <c r="D4793">
        <v>9</v>
      </c>
      <c r="E4793">
        <v>2</v>
      </c>
      <c r="F4793" t="s">
        <v>315</v>
      </c>
      <c r="G4793" t="s">
        <v>32</v>
      </c>
      <c r="H4793" t="s">
        <v>33</v>
      </c>
      <c r="I4793" t="s">
        <v>59</v>
      </c>
      <c r="AB4793" t="s">
        <v>60</v>
      </c>
      <c r="AC4793" t="s">
        <v>87</v>
      </c>
    </row>
    <row r="4794" spans="1:30" x14ac:dyDescent="0.35">
      <c r="A4794" s="7">
        <v>42936</v>
      </c>
      <c r="B4794" t="s">
        <v>30</v>
      </c>
      <c r="C4794">
        <v>401</v>
      </c>
      <c r="D4794">
        <v>1</v>
      </c>
      <c r="E4794">
        <v>1</v>
      </c>
      <c r="F4794" t="s">
        <v>315</v>
      </c>
      <c r="G4794" t="s">
        <v>32</v>
      </c>
      <c r="H4794" t="s">
        <v>33</v>
      </c>
      <c r="I4794" t="s">
        <v>58</v>
      </c>
      <c r="J4794" t="s">
        <v>44</v>
      </c>
      <c r="K4794" t="s">
        <v>36</v>
      </c>
      <c r="L4794" t="s">
        <v>37</v>
      </c>
      <c r="M4794">
        <v>0</v>
      </c>
      <c r="N4794">
        <v>0</v>
      </c>
      <c r="O4794">
        <v>39195</v>
      </c>
      <c r="Q4794">
        <f>44.5-16.5</f>
        <v>28</v>
      </c>
      <c r="R4794" t="s">
        <v>38</v>
      </c>
      <c r="Z4794" t="s">
        <v>102</v>
      </c>
      <c r="AB4794" t="s">
        <v>60</v>
      </c>
      <c r="AC4794" t="s">
        <v>87</v>
      </c>
    </row>
    <row r="4795" spans="1:30" x14ac:dyDescent="0.35">
      <c r="A4795" s="7">
        <v>42936</v>
      </c>
      <c r="B4795" t="s">
        <v>30</v>
      </c>
      <c r="C4795">
        <v>401</v>
      </c>
      <c r="D4795">
        <v>1</v>
      </c>
      <c r="E4795">
        <v>2</v>
      </c>
      <c r="F4795" t="s">
        <v>315</v>
      </c>
      <c r="G4795" t="s">
        <v>32</v>
      </c>
      <c r="H4795" t="s">
        <v>33</v>
      </c>
      <c r="I4795" t="s">
        <v>94</v>
      </c>
      <c r="J4795" t="s">
        <v>35</v>
      </c>
      <c r="K4795" t="s">
        <v>36</v>
      </c>
      <c r="L4795" t="s">
        <v>45</v>
      </c>
      <c r="M4795">
        <v>0</v>
      </c>
      <c r="N4795">
        <v>1</v>
      </c>
      <c r="O4795">
        <v>39499</v>
      </c>
      <c r="Q4795">
        <f>43.5-15</f>
        <v>28.5</v>
      </c>
      <c r="R4795" t="s">
        <v>77</v>
      </c>
      <c r="S4795" t="s">
        <v>39</v>
      </c>
      <c r="Z4795" t="s">
        <v>102</v>
      </c>
      <c r="AB4795" t="s">
        <v>60</v>
      </c>
      <c r="AC4795" t="s">
        <v>87</v>
      </c>
      <c r="AD4795" t="s">
        <v>1047</v>
      </c>
    </row>
    <row r="4796" spans="1:30" x14ac:dyDescent="0.35">
      <c r="A4796" s="7">
        <v>42936</v>
      </c>
      <c r="B4796" t="s">
        <v>30</v>
      </c>
      <c r="C4796">
        <v>401</v>
      </c>
      <c r="D4796">
        <v>2</v>
      </c>
      <c r="E4796">
        <v>1</v>
      </c>
      <c r="F4796" t="s">
        <v>315</v>
      </c>
      <c r="G4796" t="s">
        <v>32</v>
      </c>
      <c r="H4796" t="s">
        <v>33</v>
      </c>
      <c r="I4796" t="s">
        <v>59</v>
      </c>
      <c r="AB4796" t="s">
        <v>60</v>
      </c>
      <c r="AC4796" t="s">
        <v>87</v>
      </c>
    </row>
    <row r="4797" spans="1:30" x14ac:dyDescent="0.35">
      <c r="A4797" s="7">
        <v>42936</v>
      </c>
      <c r="B4797" t="s">
        <v>30</v>
      </c>
      <c r="C4797">
        <v>401</v>
      </c>
      <c r="D4797">
        <v>4</v>
      </c>
      <c r="E4797">
        <v>1</v>
      </c>
      <c r="F4797" t="s">
        <v>315</v>
      </c>
      <c r="G4797" t="s">
        <v>32</v>
      </c>
      <c r="H4797" t="s">
        <v>33</v>
      </c>
      <c r="I4797" t="s">
        <v>58</v>
      </c>
      <c r="J4797" t="s">
        <v>44</v>
      </c>
      <c r="K4797" t="s">
        <v>36</v>
      </c>
      <c r="L4797" t="s">
        <v>45</v>
      </c>
      <c r="M4797">
        <v>0</v>
      </c>
      <c r="N4797">
        <v>0</v>
      </c>
      <c r="O4797">
        <v>39325</v>
      </c>
      <c r="Q4797">
        <f>49.5-15.5</f>
        <v>34</v>
      </c>
      <c r="R4797" t="s">
        <v>1028</v>
      </c>
      <c r="S4797" t="s">
        <v>102</v>
      </c>
      <c r="Z4797" t="s">
        <v>102</v>
      </c>
      <c r="AB4797" t="s">
        <v>60</v>
      </c>
      <c r="AC4797" t="s">
        <v>87</v>
      </c>
      <c r="AD4797" t="s">
        <v>1053</v>
      </c>
    </row>
    <row r="4798" spans="1:30" x14ac:dyDescent="0.35">
      <c r="A4798" s="7">
        <v>42936</v>
      </c>
      <c r="B4798" t="s">
        <v>30</v>
      </c>
      <c r="C4798">
        <v>401</v>
      </c>
      <c r="D4798">
        <v>5</v>
      </c>
      <c r="E4798">
        <v>1</v>
      </c>
      <c r="F4798" t="s">
        <v>315</v>
      </c>
      <c r="G4798" t="s">
        <v>32</v>
      </c>
      <c r="H4798" t="s">
        <v>33</v>
      </c>
      <c r="I4798" t="s">
        <v>1029</v>
      </c>
      <c r="J4798" t="s">
        <v>66</v>
      </c>
      <c r="AB4798" t="s">
        <v>60</v>
      </c>
      <c r="AC4798" t="s">
        <v>87</v>
      </c>
    </row>
    <row r="4799" spans="1:30" x14ac:dyDescent="0.35">
      <c r="A4799" s="7">
        <v>42936</v>
      </c>
      <c r="B4799" t="s">
        <v>30</v>
      </c>
      <c r="C4799">
        <v>401</v>
      </c>
      <c r="D4799">
        <v>5</v>
      </c>
      <c r="E4799">
        <v>2</v>
      </c>
      <c r="F4799" t="s">
        <v>315</v>
      </c>
      <c r="G4799" t="s">
        <v>32</v>
      </c>
      <c r="H4799" t="s">
        <v>33</v>
      </c>
      <c r="I4799" t="s">
        <v>59</v>
      </c>
      <c r="AB4799" t="s">
        <v>60</v>
      </c>
      <c r="AC4799" t="s">
        <v>87</v>
      </c>
    </row>
    <row r="4800" spans="1:30" x14ac:dyDescent="0.35">
      <c r="A4800" s="7">
        <v>42936</v>
      </c>
      <c r="B4800" t="s">
        <v>30</v>
      </c>
      <c r="C4800">
        <v>401</v>
      </c>
      <c r="D4800">
        <v>6</v>
      </c>
      <c r="E4800">
        <v>1</v>
      </c>
      <c r="F4800" t="s">
        <v>315</v>
      </c>
      <c r="G4800" t="s">
        <v>32</v>
      </c>
      <c r="H4800" t="s">
        <v>33</v>
      </c>
      <c r="I4800" t="s">
        <v>59</v>
      </c>
      <c r="AB4800" t="s">
        <v>60</v>
      </c>
      <c r="AC4800" t="s">
        <v>87</v>
      </c>
    </row>
    <row r="4801" spans="1:29" x14ac:dyDescent="0.35">
      <c r="A4801" s="7">
        <v>42936</v>
      </c>
      <c r="B4801" t="s">
        <v>30</v>
      </c>
      <c r="C4801">
        <v>401</v>
      </c>
      <c r="D4801">
        <v>6</v>
      </c>
      <c r="E4801">
        <v>2</v>
      </c>
      <c r="F4801" t="s">
        <v>315</v>
      </c>
      <c r="G4801" t="s">
        <v>32</v>
      </c>
      <c r="H4801" t="s">
        <v>33</v>
      </c>
      <c r="I4801" t="s">
        <v>58</v>
      </c>
      <c r="J4801" t="s">
        <v>35</v>
      </c>
      <c r="K4801" t="s">
        <v>36</v>
      </c>
      <c r="L4801" t="s">
        <v>45</v>
      </c>
      <c r="M4801">
        <v>0</v>
      </c>
      <c r="N4801">
        <v>1</v>
      </c>
      <c r="O4801">
        <v>39500</v>
      </c>
      <c r="Q4801">
        <f>47.5-14.5</f>
        <v>33</v>
      </c>
      <c r="R4801" t="s">
        <v>1021</v>
      </c>
      <c r="S4801" t="s">
        <v>102</v>
      </c>
      <c r="Z4801" t="s">
        <v>102</v>
      </c>
      <c r="AB4801" t="s">
        <v>60</v>
      </c>
      <c r="AC4801" t="s">
        <v>87</v>
      </c>
    </row>
    <row r="4802" spans="1:29" x14ac:dyDescent="0.35">
      <c r="A4802" s="7">
        <v>42936</v>
      </c>
      <c r="B4802" t="s">
        <v>30</v>
      </c>
      <c r="C4802">
        <v>401</v>
      </c>
      <c r="D4802">
        <v>7</v>
      </c>
      <c r="E4802">
        <v>1</v>
      </c>
      <c r="F4802" t="s">
        <v>315</v>
      </c>
      <c r="G4802" t="s">
        <v>32</v>
      </c>
      <c r="H4802" t="s">
        <v>33</v>
      </c>
      <c r="I4802" t="s">
        <v>1029</v>
      </c>
      <c r="J4802" t="s">
        <v>66</v>
      </c>
      <c r="AB4802" t="s">
        <v>60</v>
      </c>
      <c r="AC4802" t="s">
        <v>87</v>
      </c>
    </row>
    <row r="4803" spans="1:29" x14ac:dyDescent="0.35">
      <c r="A4803" s="7">
        <v>42936</v>
      </c>
      <c r="B4803" t="s">
        <v>30</v>
      </c>
      <c r="C4803">
        <v>401</v>
      </c>
      <c r="D4803">
        <v>8</v>
      </c>
      <c r="E4803">
        <v>1</v>
      </c>
      <c r="F4803" t="s">
        <v>315</v>
      </c>
      <c r="G4803" t="s">
        <v>32</v>
      </c>
      <c r="H4803" t="s">
        <v>33</v>
      </c>
      <c r="I4803" t="s">
        <v>1029</v>
      </c>
      <c r="J4803" t="s">
        <v>66</v>
      </c>
      <c r="AB4803" t="s">
        <v>60</v>
      </c>
      <c r="AC4803" t="s">
        <v>87</v>
      </c>
    </row>
    <row r="4804" spans="1:29" x14ac:dyDescent="0.35">
      <c r="A4804" s="7">
        <v>42936</v>
      </c>
      <c r="B4804" t="s">
        <v>30</v>
      </c>
      <c r="C4804">
        <v>401</v>
      </c>
      <c r="D4804">
        <v>10</v>
      </c>
      <c r="E4804">
        <v>1</v>
      </c>
      <c r="F4804" t="s">
        <v>315</v>
      </c>
      <c r="G4804" t="s">
        <v>32</v>
      </c>
      <c r="H4804" t="s">
        <v>33</v>
      </c>
      <c r="I4804" t="s">
        <v>43</v>
      </c>
      <c r="J4804" t="s">
        <v>35</v>
      </c>
      <c r="K4804" t="s">
        <v>113</v>
      </c>
      <c r="L4804" t="s">
        <v>45</v>
      </c>
      <c r="M4804">
        <v>0</v>
      </c>
      <c r="N4804">
        <v>1</v>
      </c>
      <c r="O4804">
        <v>39749</v>
      </c>
      <c r="P4804">
        <v>39748</v>
      </c>
      <c r="Q4804">
        <f>30-14.5</f>
        <v>15.5</v>
      </c>
      <c r="R4804" t="s">
        <v>79</v>
      </c>
      <c r="S4804" t="s">
        <v>39</v>
      </c>
      <c r="Z4804" t="s">
        <v>102</v>
      </c>
      <c r="AB4804" t="s">
        <v>60</v>
      </c>
      <c r="AC4804" t="s">
        <v>87</v>
      </c>
    </row>
    <row r="4805" spans="1:29" x14ac:dyDescent="0.35">
      <c r="A4805" s="7">
        <v>42936</v>
      </c>
      <c r="B4805" t="s">
        <v>30</v>
      </c>
      <c r="C4805">
        <v>401</v>
      </c>
      <c r="D4805">
        <v>10</v>
      </c>
      <c r="E4805">
        <v>2</v>
      </c>
      <c r="F4805" t="s">
        <v>315</v>
      </c>
      <c r="G4805" t="s">
        <v>32</v>
      </c>
      <c r="H4805" t="s">
        <v>33</v>
      </c>
      <c r="I4805" t="s">
        <v>94</v>
      </c>
      <c r="J4805" t="s">
        <v>44</v>
      </c>
      <c r="K4805" t="s">
        <v>36</v>
      </c>
      <c r="L4805" t="s">
        <v>45</v>
      </c>
      <c r="M4805">
        <v>0</v>
      </c>
      <c r="N4805">
        <v>0</v>
      </c>
      <c r="O4805">
        <v>50957</v>
      </c>
      <c r="Q4805">
        <f>40.5-14</f>
        <v>26.5</v>
      </c>
      <c r="R4805" t="s">
        <v>1021</v>
      </c>
      <c r="S4805" t="s">
        <v>102</v>
      </c>
      <c r="AB4805" t="s">
        <v>60</v>
      </c>
      <c r="AC4805" t="s">
        <v>87</v>
      </c>
    </row>
    <row r="4806" spans="1:29" x14ac:dyDescent="0.35">
      <c r="A4806" s="7">
        <v>42936</v>
      </c>
      <c r="B4806" t="s">
        <v>30</v>
      </c>
      <c r="C4806">
        <v>501</v>
      </c>
      <c r="D4806">
        <v>1</v>
      </c>
      <c r="E4806">
        <v>1</v>
      </c>
      <c r="F4806" t="s">
        <v>315</v>
      </c>
      <c r="G4806" t="s">
        <v>32</v>
      </c>
      <c r="H4806" t="s">
        <v>33</v>
      </c>
      <c r="I4806" t="s">
        <v>59</v>
      </c>
      <c r="AB4806" t="s">
        <v>60</v>
      </c>
      <c r="AC4806" t="s">
        <v>87</v>
      </c>
    </row>
    <row r="4807" spans="1:29" x14ac:dyDescent="0.35">
      <c r="A4807" s="7">
        <v>42936</v>
      </c>
      <c r="B4807" t="s">
        <v>30</v>
      </c>
      <c r="C4807">
        <v>501</v>
      </c>
      <c r="D4807">
        <v>1</v>
      </c>
      <c r="E4807">
        <v>2</v>
      </c>
      <c r="F4807" t="s">
        <v>315</v>
      </c>
      <c r="G4807" t="s">
        <v>32</v>
      </c>
      <c r="H4807" t="s">
        <v>33</v>
      </c>
      <c r="I4807" t="s">
        <v>59</v>
      </c>
      <c r="AB4807" t="s">
        <v>60</v>
      </c>
      <c r="AC4807" t="s">
        <v>87</v>
      </c>
    </row>
    <row r="4808" spans="1:29" x14ac:dyDescent="0.35">
      <c r="A4808" s="7">
        <v>42936</v>
      </c>
      <c r="B4808" t="s">
        <v>30</v>
      </c>
      <c r="C4808">
        <v>501</v>
      </c>
      <c r="D4808">
        <v>2</v>
      </c>
      <c r="E4808">
        <v>1</v>
      </c>
      <c r="F4808" t="s">
        <v>315</v>
      </c>
      <c r="G4808" t="s">
        <v>32</v>
      </c>
      <c r="H4808" t="s">
        <v>33</v>
      </c>
      <c r="I4808" t="s">
        <v>43</v>
      </c>
      <c r="J4808" t="s">
        <v>44</v>
      </c>
      <c r="K4808" t="s">
        <v>36</v>
      </c>
      <c r="L4808" t="s">
        <v>45</v>
      </c>
      <c r="M4808">
        <v>0</v>
      </c>
      <c r="N4808">
        <v>0</v>
      </c>
      <c r="O4808">
        <v>39491</v>
      </c>
      <c r="P4808">
        <v>39490</v>
      </c>
      <c r="Q4808">
        <f>35-14.5</f>
        <v>20.5</v>
      </c>
      <c r="R4808" t="s">
        <v>79</v>
      </c>
      <c r="S4808" t="s">
        <v>39</v>
      </c>
      <c r="AB4808" t="s">
        <v>60</v>
      </c>
      <c r="AC4808" t="s">
        <v>87</v>
      </c>
    </row>
    <row r="4809" spans="1:29" x14ac:dyDescent="0.35">
      <c r="A4809" s="7">
        <v>42936</v>
      </c>
      <c r="B4809" t="s">
        <v>30</v>
      </c>
      <c r="C4809">
        <v>501</v>
      </c>
      <c r="D4809">
        <v>3</v>
      </c>
      <c r="E4809">
        <v>1</v>
      </c>
      <c r="F4809" t="s">
        <v>315</v>
      </c>
      <c r="G4809" t="s">
        <v>32</v>
      </c>
      <c r="H4809" t="s">
        <v>33</v>
      </c>
      <c r="I4809" t="s">
        <v>1029</v>
      </c>
      <c r="J4809" t="s">
        <v>56</v>
      </c>
      <c r="AB4809" t="s">
        <v>60</v>
      </c>
      <c r="AC4809" t="s">
        <v>87</v>
      </c>
    </row>
    <row r="4810" spans="1:29" x14ac:dyDescent="0.35">
      <c r="A4810" s="7">
        <v>42936</v>
      </c>
      <c r="B4810" t="s">
        <v>30</v>
      </c>
      <c r="C4810">
        <v>501</v>
      </c>
      <c r="D4810">
        <v>7</v>
      </c>
      <c r="E4810">
        <v>1</v>
      </c>
      <c r="F4810" t="s">
        <v>315</v>
      </c>
      <c r="G4810" t="s">
        <v>32</v>
      </c>
      <c r="H4810" t="s">
        <v>33</v>
      </c>
      <c r="I4810" t="s">
        <v>43</v>
      </c>
      <c r="J4810" t="s">
        <v>35</v>
      </c>
      <c r="K4810" t="s">
        <v>113</v>
      </c>
      <c r="L4810" t="s">
        <v>37</v>
      </c>
      <c r="M4810">
        <v>0</v>
      </c>
      <c r="N4810">
        <v>1</v>
      </c>
      <c r="O4810">
        <v>39496</v>
      </c>
      <c r="P4810">
        <v>39495</v>
      </c>
      <c r="Q4810">
        <f>30-13.5</f>
        <v>16.5</v>
      </c>
      <c r="R4810" t="s">
        <v>38</v>
      </c>
      <c r="AB4810" t="s">
        <v>60</v>
      </c>
      <c r="AC4810" t="s">
        <v>87</v>
      </c>
    </row>
    <row r="4811" spans="1:29" x14ac:dyDescent="0.35">
      <c r="A4811" s="7">
        <v>42936</v>
      </c>
      <c r="B4811" t="s">
        <v>30</v>
      </c>
      <c r="C4811">
        <v>501</v>
      </c>
      <c r="D4811">
        <v>8</v>
      </c>
      <c r="E4811">
        <v>1</v>
      </c>
      <c r="F4811" t="s">
        <v>315</v>
      </c>
      <c r="G4811" t="s">
        <v>32</v>
      </c>
      <c r="H4811" t="s">
        <v>33</v>
      </c>
      <c r="I4811" t="s">
        <v>59</v>
      </c>
      <c r="AB4811" t="s">
        <v>60</v>
      </c>
      <c r="AC4811" t="s">
        <v>87</v>
      </c>
    </row>
    <row r="4812" spans="1:29" x14ac:dyDescent="0.35">
      <c r="A4812" s="7">
        <v>42936</v>
      </c>
      <c r="B4812" t="s">
        <v>30</v>
      </c>
      <c r="C4812">
        <v>503</v>
      </c>
      <c r="D4812">
        <v>1</v>
      </c>
      <c r="E4812">
        <v>1</v>
      </c>
      <c r="F4812" t="s">
        <v>315</v>
      </c>
      <c r="G4812" t="s">
        <v>32</v>
      </c>
      <c r="H4812" t="s">
        <v>33</v>
      </c>
      <c r="I4812" t="s">
        <v>59</v>
      </c>
      <c r="AB4812" t="s">
        <v>60</v>
      </c>
      <c r="AC4812" t="s">
        <v>87</v>
      </c>
    </row>
    <row r="4813" spans="1:29" x14ac:dyDescent="0.35">
      <c r="A4813" s="7">
        <v>42936</v>
      </c>
      <c r="B4813" t="s">
        <v>30</v>
      </c>
      <c r="C4813">
        <v>503</v>
      </c>
      <c r="D4813">
        <v>1</v>
      </c>
      <c r="E4813">
        <v>2</v>
      </c>
      <c r="F4813" t="s">
        <v>315</v>
      </c>
      <c r="G4813" t="s">
        <v>32</v>
      </c>
      <c r="H4813" t="s">
        <v>33</v>
      </c>
      <c r="I4813" t="s">
        <v>72</v>
      </c>
      <c r="J4813" t="s">
        <v>56</v>
      </c>
      <c r="AB4813" t="s">
        <v>60</v>
      </c>
      <c r="AC4813" t="s">
        <v>87</v>
      </c>
    </row>
    <row r="4814" spans="1:29" x14ac:dyDescent="0.35">
      <c r="A4814" s="7">
        <v>42936</v>
      </c>
      <c r="B4814" t="s">
        <v>30</v>
      </c>
      <c r="C4814">
        <v>503</v>
      </c>
      <c r="D4814">
        <v>2</v>
      </c>
      <c r="E4814">
        <v>1</v>
      </c>
      <c r="F4814" t="s">
        <v>315</v>
      </c>
      <c r="G4814" t="s">
        <v>32</v>
      </c>
      <c r="H4814" t="s">
        <v>33</v>
      </c>
      <c r="I4814" t="s">
        <v>1029</v>
      </c>
      <c r="J4814" t="s">
        <v>56</v>
      </c>
      <c r="AB4814" t="s">
        <v>60</v>
      </c>
      <c r="AC4814" t="s">
        <v>87</v>
      </c>
    </row>
    <row r="4815" spans="1:29" x14ac:dyDescent="0.35">
      <c r="A4815" s="7">
        <v>42936</v>
      </c>
      <c r="B4815" t="s">
        <v>30</v>
      </c>
      <c r="C4815">
        <v>503</v>
      </c>
      <c r="D4815">
        <v>5</v>
      </c>
      <c r="E4815">
        <v>1</v>
      </c>
      <c r="F4815" t="s">
        <v>315</v>
      </c>
      <c r="G4815" t="s">
        <v>32</v>
      </c>
      <c r="H4815" t="s">
        <v>33</v>
      </c>
      <c r="I4815" t="s">
        <v>43</v>
      </c>
      <c r="J4815" t="s">
        <v>44</v>
      </c>
      <c r="K4815" t="s">
        <v>113</v>
      </c>
      <c r="L4815" t="s">
        <v>37</v>
      </c>
      <c r="M4815">
        <v>0</v>
      </c>
      <c r="N4815">
        <v>0</v>
      </c>
      <c r="O4815">
        <v>39489</v>
      </c>
      <c r="P4815">
        <v>39488</v>
      </c>
      <c r="Q4815">
        <f>30-13</f>
        <v>17</v>
      </c>
      <c r="R4815" t="s">
        <v>38</v>
      </c>
      <c r="Z4815" t="s">
        <v>102</v>
      </c>
      <c r="AB4815" t="s">
        <v>60</v>
      </c>
      <c r="AC4815" t="s">
        <v>87</v>
      </c>
    </row>
    <row r="4816" spans="1:29" x14ac:dyDescent="0.35">
      <c r="A4816" s="7">
        <v>42936</v>
      </c>
      <c r="B4816" t="s">
        <v>30</v>
      </c>
      <c r="C4816">
        <v>503</v>
      </c>
      <c r="D4816">
        <v>6</v>
      </c>
      <c r="E4816">
        <v>1</v>
      </c>
      <c r="F4816" t="s">
        <v>315</v>
      </c>
      <c r="G4816" t="s">
        <v>32</v>
      </c>
      <c r="H4816" t="s">
        <v>33</v>
      </c>
      <c r="I4816" t="s">
        <v>94</v>
      </c>
      <c r="J4816" t="s">
        <v>35</v>
      </c>
      <c r="K4816" t="s">
        <v>36</v>
      </c>
      <c r="L4816" t="s">
        <v>37</v>
      </c>
      <c r="M4816">
        <v>0</v>
      </c>
      <c r="N4816">
        <v>1</v>
      </c>
      <c r="O4816">
        <v>39497</v>
      </c>
      <c r="Q4816">
        <f>38-13</f>
        <v>25</v>
      </c>
      <c r="R4816" t="s">
        <v>38</v>
      </c>
      <c r="AB4816" t="s">
        <v>60</v>
      </c>
      <c r="AC4816" t="s">
        <v>87</v>
      </c>
    </row>
    <row r="4817" spans="1:29" x14ac:dyDescent="0.35">
      <c r="A4817" s="7">
        <v>42936</v>
      </c>
      <c r="B4817" t="s">
        <v>30</v>
      </c>
      <c r="C4817">
        <v>503</v>
      </c>
      <c r="D4817">
        <v>6</v>
      </c>
      <c r="E4817">
        <v>2</v>
      </c>
      <c r="F4817" t="s">
        <v>315</v>
      </c>
      <c r="G4817" t="s">
        <v>32</v>
      </c>
      <c r="H4817" t="s">
        <v>33</v>
      </c>
      <c r="I4817" t="s">
        <v>43</v>
      </c>
      <c r="J4817" t="s">
        <v>44</v>
      </c>
      <c r="K4817" t="s">
        <v>113</v>
      </c>
      <c r="L4817" t="s">
        <v>45</v>
      </c>
      <c r="M4817">
        <v>0</v>
      </c>
      <c r="N4817">
        <v>0</v>
      </c>
      <c r="O4817">
        <v>39314</v>
      </c>
      <c r="P4817">
        <v>39315</v>
      </c>
      <c r="Q4817">
        <f>33-14</f>
        <v>19</v>
      </c>
      <c r="R4817" t="s">
        <v>79</v>
      </c>
      <c r="S4817" t="s">
        <v>39</v>
      </c>
      <c r="AB4817" t="s">
        <v>60</v>
      </c>
      <c r="AC4817" t="s">
        <v>87</v>
      </c>
    </row>
    <row r="4818" spans="1:29" x14ac:dyDescent="0.35">
      <c r="A4818" s="7">
        <v>42936</v>
      </c>
      <c r="B4818" t="s">
        <v>30</v>
      </c>
      <c r="C4818">
        <v>503</v>
      </c>
      <c r="D4818">
        <v>7</v>
      </c>
      <c r="E4818">
        <v>1</v>
      </c>
      <c r="F4818" t="s">
        <v>315</v>
      </c>
      <c r="G4818" t="s">
        <v>32</v>
      </c>
      <c r="H4818" t="s">
        <v>33</v>
      </c>
      <c r="I4818" t="s">
        <v>59</v>
      </c>
      <c r="AB4818" t="s">
        <v>60</v>
      </c>
      <c r="AC4818" t="s">
        <v>87</v>
      </c>
    </row>
    <row r="4819" spans="1:29" x14ac:dyDescent="0.35">
      <c r="A4819" s="7">
        <v>42936</v>
      </c>
      <c r="B4819" t="s">
        <v>30</v>
      </c>
      <c r="C4819">
        <v>503</v>
      </c>
      <c r="D4819">
        <v>7</v>
      </c>
      <c r="E4819">
        <v>2</v>
      </c>
      <c r="F4819" t="s">
        <v>315</v>
      </c>
      <c r="G4819" t="s">
        <v>32</v>
      </c>
      <c r="H4819" t="s">
        <v>33</v>
      </c>
      <c r="I4819" t="s">
        <v>94</v>
      </c>
      <c r="J4819" t="s">
        <v>35</v>
      </c>
      <c r="K4819" t="s">
        <v>36</v>
      </c>
      <c r="L4819" t="s">
        <v>45</v>
      </c>
      <c r="M4819">
        <v>0</v>
      </c>
      <c r="N4819">
        <v>1</v>
      </c>
      <c r="O4819">
        <v>39498</v>
      </c>
      <c r="Q4819">
        <f>36-14</f>
        <v>22</v>
      </c>
      <c r="R4819" t="s">
        <v>1021</v>
      </c>
      <c r="S4819" t="s">
        <v>102</v>
      </c>
      <c r="AB4819" t="s">
        <v>60</v>
      </c>
      <c r="AC4819" t="s">
        <v>87</v>
      </c>
    </row>
    <row r="4820" spans="1:29" x14ac:dyDescent="0.35">
      <c r="A4820" s="7">
        <v>42936</v>
      </c>
      <c r="B4820" t="s">
        <v>30</v>
      </c>
      <c r="C4820">
        <v>503</v>
      </c>
      <c r="D4820">
        <v>8</v>
      </c>
      <c r="E4820">
        <v>1</v>
      </c>
      <c r="F4820" t="s">
        <v>315</v>
      </c>
      <c r="G4820" t="s">
        <v>32</v>
      </c>
      <c r="H4820" t="s">
        <v>33</v>
      </c>
      <c r="I4820" t="s">
        <v>59</v>
      </c>
      <c r="AB4820" t="s">
        <v>60</v>
      </c>
      <c r="AC4820" t="s">
        <v>87</v>
      </c>
    </row>
    <row r="4821" spans="1:29" x14ac:dyDescent="0.35">
      <c r="A4821" s="7">
        <v>42936</v>
      </c>
      <c r="B4821" t="s">
        <v>30</v>
      </c>
      <c r="C4821">
        <v>503</v>
      </c>
      <c r="D4821">
        <v>8</v>
      </c>
      <c r="E4821">
        <v>2</v>
      </c>
      <c r="F4821" t="s">
        <v>315</v>
      </c>
      <c r="G4821" t="s">
        <v>32</v>
      </c>
      <c r="H4821" t="s">
        <v>33</v>
      </c>
      <c r="I4821" t="s">
        <v>59</v>
      </c>
      <c r="AB4821" t="s">
        <v>60</v>
      </c>
      <c r="AC4821" t="s">
        <v>87</v>
      </c>
    </row>
    <row r="4822" spans="1:29" x14ac:dyDescent="0.35">
      <c r="A4822" s="7">
        <v>42936</v>
      </c>
      <c r="B4822" t="s">
        <v>30</v>
      </c>
      <c r="C4822">
        <v>503</v>
      </c>
      <c r="D4822">
        <v>9</v>
      </c>
      <c r="E4822">
        <v>1</v>
      </c>
      <c r="F4822" t="s">
        <v>315</v>
      </c>
      <c r="G4822" t="s">
        <v>32</v>
      </c>
      <c r="H4822" t="s">
        <v>33</v>
      </c>
      <c r="I4822" t="s">
        <v>59</v>
      </c>
      <c r="AB4822" t="s">
        <v>60</v>
      </c>
      <c r="AC4822" t="s">
        <v>87</v>
      </c>
    </row>
    <row r="4823" spans="1:29" x14ac:dyDescent="0.35">
      <c r="A4823" s="7">
        <v>42936</v>
      </c>
      <c r="B4823" t="s">
        <v>30</v>
      </c>
      <c r="C4823">
        <v>503</v>
      </c>
      <c r="D4823">
        <v>9</v>
      </c>
      <c r="E4823">
        <v>2</v>
      </c>
      <c r="F4823" t="s">
        <v>315</v>
      </c>
      <c r="G4823" t="s">
        <v>32</v>
      </c>
      <c r="H4823" t="s">
        <v>33</v>
      </c>
      <c r="I4823" t="s">
        <v>43</v>
      </c>
      <c r="J4823" t="s">
        <v>44</v>
      </c>
      <c r="K4823" t="s">
        <v>36</v>
      </c>
      <c r="M4823">
        <v>0</v>
      </c>
      <c r="N4823">
        <v>0</v>
      </c>
      <c r="O4823">
        <v>39158</v>
      </c>
      <c r="P4823">
        <v>39157</v>
      </c>
      <c r="Q4823">
        <f>36.5-14</f>
        <v>22.5</v>
      </c>
      <c r="Z4823" t="s">
        <v>102</v>
      </c>
      <c r="AB4823" t="s">
        <v>60</v>
      </c>
      <c r="AC4823" t="s">
        <v>87</v>
      </c>
    </row>
    <row r="4824" spans="1:29" x14ac:dyDescent="0.35">
      <c r="A4824" s="7">
        <v>42936</v>
      </c>
      <c r="B4824" t="s">
        <v>30</v>
      </c>
      <c r="C4824">
        <v>503</v>
      </c>
      <c r="D4824">
        <v>10</v>
      </c>
      <c r="E4824">
        <v>1</v>
      </c>
      <c r="F4824" t="s">
        <v>315</v>
      </c>
      <c r="G4824" t="s">
        <v>32</v>
      </c>
      <c r="H4824" t="s">
        <v>33</v>
      </c>
      <c r="I4824" t="s">
        <v>59</v>
      </c>
      <c r="AB4824" t="s">
        <v>60</v>
      </c>
      <c r="AC4824" t="s">
        <v>87</v>
      </c>
    </row>
    <row r="4825" spans="1:29" x14ac:dyDescent="0.35">
      <c r="A4825" s="7">
        <v>42936</v>
      </c>
      <c r="B4825" t="s">
        <v>30</v>
      </c>
      <c r="C4825">
        <v>503</v>
      </c>
      <c r="D4825">
        <v>10</v>
      </c>
      <c r="E4825">
        <v>2</v>
      </c>
      <c r="F4825" t="s">
        <v>315</v>
      </c>
      <c r="G4825" t="s">
        <v>32</v>
      </c>
      <c r="H4825" t="s">
        <v>33</v>
      </c>
      <c r="I4825" t="s">
        <v>59</v>
      </c>
      <c r="AB4825" t="s">
        <v>60</v>
      </c>
      <c r="AC4825" t="s">
        <v>87</v>
      </c>
    </row>
    <row r="4826" spans="1:29" x14ac:dyDescent="0.35">
      <c r="A4826" s="7">
        <v>42936</v>
      </c>
      <c r="B4826" t="s">
        <v>30</v>
      </c>
      <c r="C4826">
        <v>701</v>
      </c>
      <c r="D4826">
        <v>2</v>
      </c>
      <c r="E4826">
        <v>1</v>
      </c>
      <c r="F4826" t="s">
        <v>1020</v>
      </c>
      <c r="G4826" t="s">
        <v>32</v>
      </c>
      <c r="H4826" t="s">
        <v>33</v>
      </c>
      <c r="I4826" t="s">
        <v>94</v>
      </c>
      <c r="J4826" t="s">
        <v>44</v>
      </c>
      <c r="K4826" t="s">
        <v>36</v>
      </c>
      <c r="L4826" t="s">
        <v>45</v>
      </c>
      <c r="M4826">
        <v>0</v>
      </c>
      <c r="N4826">
        <v>0</v>
      </c>
      <c r="O4826">
        <v>2946</v>
      </c>
      <c r="Q4826">
        <f>36-13.5</f>
        <v>22.5</v>
      </c>
      <c r="R4826" t="s">
        <v>1021</v>
      </c>
      <c r="S4826" t="s">
        <v>102</v>
      </c>
      <c r="AB4826" t="s">
        <v>60</v>
      </c>
      <c r="AC4826" t="s">
        <v>87</v>
      </c>
    </row>
    <row r="4827" spans="1:29" x14ac:dyDescent="0.35">
      <c r="A4827" s="7">
        <v>42936</v>
      </c>
      <c r="B4827" t="s">
        <v>30</v>
      </c>
      <c r="C4827">
        <v>701</v>
      </c>
      <c r="D4827">
        <v>5</v>
      </c>
      <c r="E4827">
        <v>1</v>
      </c>
      <c r="F4827" t="s">
        <v>1020</v>
      </c>
      <c r="G4827" t="s">
        <v>32</v>
      </c>
      <c r="H4827" t="s">
        <v>33</v>
      </c>
      <c r="I4827" t="s">
        <v>58</v>
      </c>
      <c r="J4827" t="s">
        <v>44</v>
      </c>
      <c r="K4827" t="s">
        <v>36</v>
      </c>
      <c r="L4827" t="s">
        <v>45</v>
      </c>
      <c r="M4827">
        <v>0</v>
      </c>
      <c r="N4827">
        <v>0</v>
      </c>
      <c r="O4827">
        <v>39355</v>
      </c>
      <c r="Q4827">
        <f>34-14</f>
        <v>20</v>
      </c>
      <c r="R4827" t="s">
        <v>46</v>
      </c>
      <c r="S4827" t="s">
        <v>39</v>
      </c>
      <c r="Z4827" t="s">
        <v>102</v>
      </c>
      <c r="AB4827" t="s">
        <v>60</v>
      </c>
      <c r="AC4827" t="s">
        <v>87</v>
      </c>
    </row>
    <row r="4828" spans="1:29" x14ac:dyDescent="0.35">
      <c r="A4828" s="7">
        <v>42936</v>
      </c>
      <c r="B4828" t="s">
        <v>30</v>
      </c>
      <c r="C4828">
        <v>701</v>
      </c>
      <c r="D4828">
        <v>6</v>
      </c>
      <c r="E4828">
        <v>1</v>
      </c>
      <c r="F4828" t="s">
        <v>1020</v>
      </c>
      <c r="G4828" t="s">
        <v>32</v>
      </c>
      <c r="H4828" t="s">
        <v>33</v>
      </c>
      <c r="I4828" t="s">
        <v>59</v>
      </c>
      <c r="AB4828" t="s">
        <v>60</v>
      </c>
      <c r="AC4828" t="s">
        <v>87</v>
      </c>
    </row>
    <row r="4829" spans="1:29" x14ac:dyDescent="0.35">
      <c r="A4829" s="7">
        <v>42936</v>
      </c>
      <c r="B4829" t="s">
        <v>30</v>
      </c>
      <c r="C4829">
        <v>701</v>
      </c>
      <c r="D4829">
        <v>8</v>
      </c>
      <c r="E4829">
        <v>1</v>
      </c>
      <c r="F4829" t="s">
        <v>1020</v>
      </c>
      <c r="G4829" t="s">
        <v>32</v>
      </c>
      <c r="H4829" t="s">
        <v>33</v>
      </c>
      <c r="I4829" t="s">
        <v>59</v>
      </c>
      <c r="AB4829" t="s">
        <v>60</v>
      </c>
      <c r="AC4829" t="s">
        <v>87</v>
      </c>
    </row>
    <row r="4830" spans="1:29" x14ac:dyDescent="0.35">
      <c r="A4830" s="7">
        <v>42936</v>
      </c>
      <c r="B4830" t="s">
        <v>30</v>
      </c>
      <c r="C4830">
        <v>701</v>
      </c>
      <c r="D4830">
        <v>9</v>
      </c>
      <c r="E4830">
        <v>1</v>
      </c>
      <c r="F4830" t="s">
        <v>1020</v>
      </c>
      <c r="G4830" t="s">
        <v>32</v>
      </c>
      <c r="H4830" t="s">
        <v>33</v>
      </c>
      <c r="I4830" t="s">
        <v>59</v>
      </c>
      <c r="AB4830" t="s">
        <v>60</v>
      </c>
      <c r="AC4830" t="s">
        <v>87</v>
      </c>
    </row>
    <row r="4831" spans="1:29" x14ac:dyDescent="0.35">
      <c r="A4831" s="7">
        <v>42936</v>
      </c>
      <c r="B4831" t="s">
        <v>30</v>
      </c>
      <c r="C4831">
        <v>701</v>
      </c>
      <c r="D4831">
        <v>9</v>
      </c>
      <c r="E4831">
        <v>2</v>
      </c>
      <c r="F4831" t="s">
        <v>1020</v>
      </c>
      <c r="G4831" t="s">
        <v>32</v>
      </c>
      <c r="H4831" t="s">
        <v>33</v>
      </c>
      <c r="I4831" t="s">
        <v>59</v>
      </c>
      <c r="AB4831" t="s">
        <v>60</v>
      </c>
      <c r="AC4831" t="s">
        <v>87</v>
      </c>
    </row>
    <row r="4832" spans="1:29" x14ac:dyDescent="0.35">
      <c r="A4832" s="7">
        <v>42936</v>
      </c>
      <c r="B4832" t="s">
        <v>30</v>
      </c>
      <c r="C4832">
        <v>703</v>
      </c>
      <c r="D4832">
        <v>1</v>
      </c>
      <c r="E4832">
        <v>1</v>
      </c>
      <c r="F4832" t="s">
        <v>1020</v>
      </c>
      <c r="G4832" t="s">
        <v>32</v>
      </c>
      <c r="H4832" t="s">
        <v>33</v>
      </c>
      <c r="I4832" t="s">
        <v>59</v>
      </c>
      <c r="AB4832" t="s">
        <v>60</v>
      </c>
      <c r="AC4832" t="s">
        <v>87</v>
      </c>
    </row>
    <row r="4833" spans="1:29" x14ac:dyDescent="0.35">
      <c r="A4833" s="7">
        <v>42936</v>
      </c>
      <c r="B4833" t="s">
        <v>30</v>
      </c>
      <c r="C4833">
        <v>703</v>
      </c>
      <c r="D4833">
        <v>2</v>
      </c>
      <c r="E4833">
        <v>1</v>
      </c>
      <c r="F4833" t="s">
        <v>1020</v>
      </c>
      <c r="G4833" t="s">
        <v>32</v>
      </c>
      <c r="H4833" t="s">
        <v>33</v>
      </c>
      <c r="I4833" t="s">
        <v>59</v>
      </c>
      <c r="AB4833" t="s">
        <v>60</v>
      </c>
      <c r="AC4833" t="s">
        <v>87</v>
      </c>
    </row>
    <row r="4834" spans="1:29" x14ac:dyDescent="0.35">
      <c r="A4834" s="7">
        <v>42936</v>
      </c>
      <c r="B4834" t="s">
        <v>30</v>
      </c>
      <c r="C4834">
        <v>703</v>
      </c>
      <c r="D4834">
        <v>3</v>
      </c>
      <c r="E4834">
        <v>1</v>
      </c>
      <c r="F4834" t="s">
        <v>1020</v>
      </c>
      <c r="G4834" t="s">
        <v>32</v>
      </c>
      <c r="H4834" t="s">
        <v>33</v>
      </c>
      <c r="I4834" t="s">
        <v>59</v>
      </c>
      <c r="AB4834" t="s">
        <v>60</v>
      </c>
      <c r="AC4834" t="s">
        <v>87</v>
      </c>
    </row>
    <row r="4835" spans="1:29" x14ac:dyDescent="0.35">
      <c r="A4835" s="7">
        <v>42936</v>
      </c>
      <c r="B4835" t="s">
        <v>30</v>
      </c>
      <c r="C4835">
        <v>703</v>
      </c>
      <c r="D4835">
        <v>3</v>
      </c>
      <c r="E4835">
        <v>2</v>
      </c>
      <c r="F4835" t="s">
        <v>1020</v>
      </c>
      <c r="G4835" t="s">
        <v>32</v>
      </c>
      <c r="H4835" t="s">
        <v>33</v>
      </c>
      <c r="I4835" t="s">
        <v>59</v>
      </c>
      <c r="AB4835" t="s">
        <v>60</v>
      </c>
      <c r="AC4835" t="s">
        <v>87</v>
      </c>
    </row>
    <row r="4836" spans="1:29" x14ac:dyDescent="0.35">
      <c r="A4836" s="7">
        <v>42936</v>
      </c>
      <c r="B4836" t="s">
        <v>30</v>
      </c>
      <c r="C4836">
        <v>703</v>
      </c>
      <c r="D4836">
        <v>4</v>
      </c>
      <c r="E4836">
        <v>1</v>
      </c>
      <c r="F4836" t="s">
        <v>1020</v>
      </c>
      <c r="G4836" t="s">
        <v>32</v>
      </c>
      <c r="H4836" t="s">
        <v>33</v>
      </c>
      <c r="I4836" t="s">
        <v>94</v>
      </c>
      <c r="J4836" t="s">
        <v>44</v>
      </c>
      <c r="K4836" t="s">
        <v>36</v>
      </c>
      <c r="L4836" t="s">
        <v>45</v>
      </c>
      <c r="M4836">
        <v>0</v>
      </c>
      <c r="N4836">
        <v>0</v>
      </c>
      <c r="P4836">
        <v>39759</v>
      </c>
      <c r="Q4836">
        <f>33-13.5</f>
        <v>19.5</v>
      </c>
      <c r="R4836" t="s">
        <v>1021</v>
      </c>
      <c r="S4836" t="s">
        <v>102</v>
      </c>
      <c r="AB4836" t="s">
        <v>60</v>
      </c>
      <c r="AC4836" t="s">
        <v>87</v>
      </c>
    </row>
    <row r="4837" spans="1:29" x14ac:dyDescent="0.35">
      <c r="A4837" s="7">
        <v>42936</v>
      </c>
      <c r="B4837" t="s">
        <v>30</v>
      </c>
      <c r="C4837">
        <v>703</v>
      </c>
      <c r="D4837">
        <v>4</v>
      </c>
      <c r="E4837">
        <v>2</v>
      </c>
      <c r="F4837" t="s">
        <v>1020</v>
      </c>
      <c r="G4837" t="s">
        <v>32</v>
      </c>
      <c r="H4837" t="s">
        <v>33</v>
      </c>
      <c r="I4837" t="s">
        <v>43</v>
      </c>
      <c r="J4837" t="s">
        <v>35</v>
      </c>
      <c r="K4837" t="s">
        <v>113</v>
      </c>
      <c r="L4837" t="s">
        <v>37</v>
      </c>
      <c r="M4837">
        <v>0</v>
      </c>
      <c r="N4837">
        <v>1</v>
      </c>
      <c r="O4837">
        <v>39352</v>
      </c>
      <c r="P4837">
        <v>39351</v>
      </c>
      <c r="Q4837">
        <f>32-14</f>
        <v>18</v>
      </c>
      <c r="R4837" t="s">
        <v>64</v>
      </c>
      <c r="AB4837" t="s">
        <v>60</v>
      </c>
      <c r="AC4837" t="s">
        <v>87</v>
      </c>
    </row>
    <row r="4838" spans="1:29" x14ac:dyDescent="0.35">
      <c r="A4838" s="7">
        <v>42936</v>
      </c>
      <c r="B4838" t="s">
        <v>30</v>
      </c>
      <c r="C4838">
        <v>703</v>
      </c>
      <c r="D4838">
        <v>5</v>
      </c>
      <c r="E4838">
        <v>1</v>
      </c>
      <c r="F4838" t="s">
        <v>1020</v>
      </c>
      <c r="G4838" t="s">
        <v>32</v>
      </c>
      <c r="H4838" t="s">
        <v>33</v>
      </c>
      <c r="I4838" t="s">
        <v>59</v>
      </c>
      <c r="AB4838" t="s">
        <v>60</v>
      </c>
      <c r="AC4838" t="s">
        <v>87</v>
      </c>
    </row>
    <row r="4839" spans="1:29" x14ac:dyDescent="0.35">
      <c r="A4839" s="7">
        <v>42936</v>
      </c>
      <c r="B4839" t="s">
        <v>30</v>
      </c>
      <c r="C4839">
        <v>703</v>
      </c>
      <c r="D4839">
        <v>5</v>
      </c>
      <c r="E4839">
        <v>2</v>
      </c>
      <c r="F4839" t="s">
        <v>1020</v>
      </c>
      <c r="G4839" t="s">
        <v>32</v>
      </c>
      <c r="H4839" t="s">
        <v>33</v>
      </c>
      <c r="I4839" t="s">
        <v>94</v>
      </c>
      <c r="J4839" t="s">
        <v>44</v>
      </c>
      <c r="K4839" t="s">
        <v>36</v>
      </c>
      <c r="L4839" t="s">
        <v>45</v>
      </c>
      <c r="M4839">
        <v>0</v>
      </c>
      <c r="N4839">
        <v>0</v>
      </c>
      <c r="O4839">
        <v>39752</v>
      </c>
      <c r="Q4839">
        <f>32-14</f>
        <v>18</v>
      </c>
      <c r="R4839" t="s">
        <v>1021</v>
      </c>
      <c r="S4839" t="s">
        <v>102</v>
      </c>
      <c r="AB4839" t="s">
        <v>60</v>
      </c>
      <c r="AC4839" t="s">
        <v>87</v>
      </c>
    </row>
    <row r="4840" spans="1:29" x14ac:dyDescent="0.35">
      <c r="A4840" s="7">
        <v>42936</v>
      </c>
      <c r="B4840" t="s">
        <v>30</v>
      </c>
      <c r="C4840">
        <v>703</v>
      </c>
      <c r="D4840">
        <v>6</v>
      </c>
      <c r="E4840">
        <v>1</v>
      </c>
      <c r="F4840" t="s">
        <v>1020</v>
      </c>
      <c r="G4840" t="s">
        <v>32</v>
      </c>
      <c r="H4840" t="s">
        <v>33</v>
      </c>
      <c r="I4840" t="s">
        <v>59</v>
      </c>
      <c r="AB4840" t="s">
        <v>60</v>
      </c>
      <c r="AC4840" t="s">
        <v>87</v>
      </c>
    </row>
    <row r="4841" spans="1:29" x14ac:dyDescent="0.35">
      <c r="A4841" s="7">
        <v>42936</v>
      </c>
      <c r="B4841" t="s">
        <v>30</v>
      </c>
      <c r="C4841">
        <v>703</v>
      </c>
      <c r="D4841">
        <v>8</v>
      </c>
      <c r="E4841">
        <v>1</v>
      </c>
      <c r="F4841" t="s">
        <v>1020</v>
      </c>
      <c r="G4841" t="s">
        <v>32</v>
      </c>
      <c r="H4841" t="s">
        <v>33</v>
      </c>
      <c r="I4841" t="s">
        <v>59</v>
      </c>
      <c r="AB4841" t="s">
        <v>60</v>
      </c>
      <c r="AC4841" t="s">
        <v>87</v>
      </c>
    </row>
    <row r="4842" spans="1:29" x14ac:dyDescent="0.35">
      <c r="A4842" s="7">
        <v>42936</v>
      </c>
      <c r="B4842" t="s">
        <v>30</v>
      </c>
      <c r="C4842">
        <v>703</v>
      </c>
      <c r="D4842">
        <v>9</v>
      </c>
      <c r="E4842">
        <v>1</v>
      </c>
      <c r="F4842" t="s">
        <v>1020</v>
      </c>
      <c r="G4842" t="s">
        <v>32</v>
      </c>
      <c r="H4842" t="s">
        <v>33</v>
      </c>
      <c r="I4842" t="s">
        <v>43</v>
      </c>
      <c r="J4842" t="s">
        <v>35</v>
      </c>
      <c r="K4842" t="s">
        <v>113</v>
      </c>
      <c r="L4842" t="s">
        <v>37</v>
      </c>
      <c r="M4842">
        <v>0</v>
      </c>
      <c r="N4842">
        <v>1</v>
      </c>
      <c r="O4842">
        <v>39354</v>
      </c>
      <c r="P4842">
        <v>39353</v>
      </c>
      <c r="Q4842">
        <f>31.5-14</f>
        <v>17.5</v>
      </c>
      <c r="R4842" t="s">
        <v>38</v>
      </c>
      <c r="Y4842" t="s">
        <v>1054</v>
      </c>
      <c r="AB4842" t="s">
        <v>60</v>
      </c>
      <c r="AC4842" t="s">
        <v>87</v>
      </c>
    </row>
    <row r="4843" spans="1:29" x14ac:dyDescent="0.35">
      <c r="A4843" s="7">
        <v>42936</v>
      </c>
      <c r="B4843" t="s">
        <v>30</v>
      </c>
      <c r="C4843">
        <v>703</v>
      </c>
      <c r="D4843">
        <v>10</v>
      </c>
      <c r="E4843">
        <v>1</v>
      </c>
      <c r="F4843" t="s">
        <v>1020</v>
      </c>
      <c r="G4843" t="s">
        <v>32</v>
      </c>
      <c r="H4843" t="s">
        <v>33</v>
      </c>
      <c r="I4843" t="s">
        <v>59</v>
      </c>
      <c r="AB4843" t="s">
        <v>60</v>
      </c>
      <c r="AC4843" t="s">
        <v>87</v>
      </c>
    </row>
    <row r="4844" spans="1:29" x14ac:dyDescent="0.35">
      <c r="A4844" s="7">
        <v>42936</v>
      </c>
      <c r="B4844" t="s">
        <v>30</v>
      </c>
      <c r="C4844">
        <v>703</v>
      </c>
      <c r="D4844">
        <v>10</v>
      </c>
      <c r="E4844">
        <v>2</v>
      </c>
      <c r="F4844" t="s">
        <v>1020</v>
      </c>
      <c r="G4844" t="s">
        <v>32</v>
      </c>
      <c r="H4844" t="s">
        <v>33</v>
      </c>
      <c r="I4844" t="s">
        <v>43</v>
      </c>
      <c r="J4844" t="s">
        <v>44</v>
      </c>
      <c r="K4844" t="s">
        <v>36</v>
      </c>
      <c r="L4844" t="s">
        <v>45</v>
      </c>
      <c r="M4844">
        <v>0</v>
      </c>
      <c r="N4844">
        <v>0</v>
      </c>
      <c r="O4844">
        <v>39771</v>
      </c>
      <c r="P4844">
        <v>39770</v>
      </c>
      <c r="Q4844">
        <f>38-14</f>
        <v>24</v>
      </c>
      <c r="R4844" t="s">
        <v>77</v>
      </c>
      <c r="S4844" t="s">
        <v>39</v>
      </c>
      <c r="AB4844" t="s">
        <v>60</v>
      </c>
      <c r="AC4844" t="s">
        <v>87</v>
      </c>
    </row>
    <row r="4845" spans="1:29" x14ac:dyDescent="0.35">
      <c r="A4845" s="7">
        <v>42936</v>
      </c>
      <c r="B4845" t="s">
        <v>30</v>
      </c>
      <c r="C4845">
        <v>801</v>
      </c>
      <c r="D4845">
        <v>1</v>
      </c>
      <c r="E4845">
        <v>1</v>
      </c>
      <c r="F4845" t="s">
        <v>1020</v>
      </c>
      <c r="G4845" t="s">
        <v>32</v>
      </c>
      <c r="H4845" t="s">
        <v>33</v>
      </c>
      <c r="I4845" t="s">
        <v>58</v>
      </c>
      <c r="J4845" t="s">
        <v>35</v>
      </c>
      <c r="K4845" t="s">
        <v>36</v>
      </c>
      <c r="L4845" t="s">
        <v>45</v>
      </c>
      <c r="M4845">
        <v>0</v>
      </c>
      <c r="N4845">
        <v>1</v>
      </c>
      <c r="O4845">
        <v>39356</v>
      </c>
      <c r="Q4845">
        <f>34-15</f>
        <v>19</v>
      </c>
      <c r="R4845" t="s">
        <v>46</v>
      </c>
      <c r="S4845" t="s">
        <v>39</v>
      </c>
      <c r="AB4845" t="s">
        <v>60</v>
      </c>
      <c r="AC4845" t="s">
        <v>87</v>
      </c>
    </row>
    <row r="4846" spans="1:29" x14ac:dyDescent="0.35">
      <c r="A4846" s="7">
        <v>42936</v>
      </c>
      <c r="B4846" t="s">
        <v>30</v>
      </c>
      <c r="C4846">
        <v>801</v>
      </c>
      <c r="D4846">
        <v>2</v>
      </c>
      <c r="E4846">
        <v>1</v>
      </c>
      <c r="F4846" t="s">
        <v>1020</v>
      </c>
      <c r="G4846" t="s">
        <v>32</v>
      </c>
      <c r="H4846" t="s">
        <v>33</v>
      </c>
      <c r="I4846" t="s">
        <v>59</v>
      </c>
      <c r="AB4846" t="s">
        <v>60</v>
      </c>
      <c r="AC4846" t="s">
        <v>87</v>
      </c>
    </row>
    <row r="4847" spans="1:29" x14ac:dyDescent="0.35">
      <c r="A4847" s="7">
        <v>42936</v>
      </c>
      <c r="B4847" t="s">
        <v>30</v>
      </c>
      <c r="C4847">
        <v>801</v>
      </c>
      <c r="D4847">
        <v>3</v>
      </c>
      <c r="E4847">
        <v>1</v>
      </c>
      <c r="F4847" t="s">
        <v>1020</v>
      </c>
      <c r="G4847" t="s">
        <v>32</v>
      </c>
      <c r="H4847" t="s">
        <v>33</v>
      </c>
      <c r="I4847" t="s">
        <v>58</v>
      </c>
      <c r="J4847" t="s">
        <v>44</v>
      </c>
      <c r="K4847" t="s">
        <v>36</v>
      </c>
      <c r="L4847" t="s">
        <v>37</v>
      </c>
      <c r="M4847">
        <v>0</v>
      </c>
      <c r="N4847">
        <v>0</v>
      </c>
      <c r="O4847">
        <v>39344</v>
      </c>
      <c r="Q4847">
        <f>35-14</f>
        <v>21</v>
      </c>
      <c r="R4847" t="s">
        <v>64</v>
      </c>
      <c r="Z4847" t="s">
        <v>102</v>
      </c>
      <c r="AB4847" t="s">
        <v>60</v>
      </c>
      <c r="AC4847" t="s">
        <v>87</v>
      </c>
    </row>
    <row r="4848" spans="1:29" x14ac:dyDescent="0.35">
      <c r="A4848" s="7">
        <v>42936</v>
      </c>
      <c r="B4848" t="s">
        <v>30</v>
      </c>
      <c r="C4848">
        <v>801</v>
      </c>
      <c r="D4848">
        <v>3</v>
      </c>
      <c r="E4848">
        <v>2</v>
      </c>
      <c r="F4848" t="s">
        <v>1020</v>
      </c>
      <c r="G4848" t="s">
        <v>32</v>
      </c>
      <c r="H4848" t="s">
        <v>33</v>
      </c>
      <c r="I4848" t="s">
        <v>59</v>
      </c>
      <c r="AB4848" t="s">
        <v>60</v>
      </c>
      <c r="AC4848" t="s">
        <v>87</v>
      </c>
    </row>
    <row r="4849" spans="1:29" x14ac:dyDescent="0.35">
      <c r="A4849" s="7">
        <v>42936</v>
      </c>
      <c r="B4849" t="s">
        <v>30</v>
      </c>
      <c r="C4849">
        <v>801</v>
      </c>
      <c r="D4849">
        <v>4</v>
      </c>
      <c r="E4849">
        <v>1</v>
      </c>
      <c r="F4849" t="s">
        <v>1020</v>
      </c>
      <c r="G4849" t="s">
        <v>32</v>
      </c>
      <c r="H4849" t="s">
        <v>33</v>
      </c>
      <c r="I4849" t="s">
        <v>59</v>
      </c>
      <c r="AB4849" t="s">
        <v>60</v>
      </c>
      <c r="AC4849" t="s">
        <v>87</v>
      </c>
    </row>
    <row r="4850" spans="1:29" x14ac:dyDescent="0.35">
      <c r="A4850" s="7">
        <v>42936</v>
      </c>
      <c r="B4850" t="s">
        <v>30</v>
      </c>
      <c r="C4850">
        <v>801</v>
      </c>
      <c r="D4850">
        <v>4</v>
      </c>
      <c r="E4850">
        <v>2</v>
      </c>
      <c r="F4850" t="s">
        <v>1020</v>
      </c>
      <c r="G4850" t="s">
        <v>32</v>
      </c>
      <c r="H4850" t="s">
        <v>33</v>
      </c>
      <c r="I4850" t="s">
        <v>58</v>
      </c>
      <c r="J4850" t="s">
        <v>35</v>
      </c>
      <c r="K4850" t="s">
        <v>36</v>
      </c>
      <c r="L4850" t="s">
        <v>37</v>
      </c>
      <c r="M4850">
        <v>0</v>
      </c>
      <c r="N4850">
        <v>1</v>
      </c>
      <c r="O4850">
        <v>39357</v>
      </c>
      <c r="Q4850">
        <f>37-14</f>
        <v>23</v>
      </c>
      <c r="R4850" t="s">
        <v>38</v>
      </c>
      <c r="AB4850" t="s">
        <v>60</v>
      </c>
      <c r="AC4850" t="s">
        <v>87</v>
      </c>
    </row>
    <row r="4851" spans="1:29" x14ac:dyDescent="0.35">
      <c r="A4851" s="7">
        <v>42936</v>
      </c>
      <c r="B4851" t="s">
        <v>30</v>
      </c>
      <c r="C4851">
        <v>801</v>
      </c>
      <c r="D4851">
        <v>5</v>
      </c>
      <c r="E4851">
        <v>1</v>
      </c>
      <c r="F4851" t="s">
        <v>1020</v>
      </c>
      <c r="G4851" t="s">
        <v>32</v>
      </c>
      <c r="H4851" t="s">
        <v>33</v>
      </c>
      <c r="I4851" t="s">
        <v>59</v>
      </c>
      <c r="AB4851" t="s">
        <v>60</v>
      </c>
      <c r="AC4851" t="s">
        <v>87</v>
      </c>
    </row>
    <row r="4852" spans="1:29" x14ac:dyDescent="0.35">
      <c r="A4852" s="7">
        <v>42936</v>
      </c>
      <c r="B4852" t="s">
        <v>30</v>
      </c>
      <c r="C4852">
        <v>801</v>
      </c>
      <c r="D4852">
        <v>5</v>
      </c>
      <c r="E4852">
        <v>2</v>
      </c>
      <c r="F4852" t="s">
        <v>1020</v>
      </c>
      <c r="G4852" t="s">
        <v>32</v>
      </c>
      <c r="H4852" t="s">
        <v>33</v>
      </c>
      <c r="I4852" t="s">
        <v>59</v>
      </c>
      <c r="AB4852" t="s">
        <v>60</v>
      </c>
      <c r="AC4852" t="s">
        <v>87</v>
      </c>
    </row>
    <row r="4853" spans="1:29" x14ac:dyDescent="0.35">
      <c r="A4853" s="7">
        <v>42936</v>
      </c>
      <c r="B4853" t="s">
        <v>30</v>
      </c>
      <c r="C4853">
        <v>801</v>
      </c>
      <c r="D4853">
        <v>6</v>
      </c>
      <c r="E4853">
        <v>1</v>
      </c>
      <c r="F4853" t="s">
        <v>1020</v>
      </c>
      <c r="G4853" t="s">
        <v>32</v>
      </c>
      <c r="H4853" t="s">
        <v>33</v>
      </c>
      <c r="I4853" t="s">
        <v>59</v>
      </c>
      <c r="AB4853" t="s">
        <v>60</v>
      </c>
      <c r="AC4853" t="s">
        <v>87</v>
      </c>
    </row>
    <row r="4854" spans="1:29" x14ac:dyDescent="0.35">
      <c r="A4854" s="7">
        <v>42936</v>
      </c>
      <c r="B4854" t="s">
        <v>30</v>
      </c>
      <c r="C4854">
        <v>801</v>
      </c>
      <c r="D4854">
        <v>6</v>
      </c>
      <c r="E4854">
        <v>2</v>
      </c>
      <c r="F4854" t="s">
        <v>1020</v>
      </c>
      <c r="G4854" t="s">
        <v>32</v>
      </c>
      <c r="H4854" t="s">
        <v>33</v>
      </c>
      <c r="I4854" t="s">
        <v>59</v>
      </c>
      <c r="AB4854" t="s">
        <v>60</v>
      </c>
      <c r="AC4854" t="s">
        <v>87</v>
      </c>
    </row>
    <row r="4855" spans="1:29" x14ac:dyDescent="0.35">
      <c r="A4855" s="7">
        <v>42936</v>
      </c>
      <c r="B4855" t="s">
        <v>30</v>
      </c>
      <c r="C4855">
        <v>801</v>
      </c>
      <c r="D4855">
        <v>7</v>
      </c>
      <c r="E4855">
        <v>1</v>
      </c>
      <c r="F4855" t="s">
        <v>1020</v>
      </c>
      <c r="G4855" t="s">
        <v>32</v>
      </c>
      <c r="H4855" t="s">
        <v>33</v>
      </c>
      <c r="I4855" t="s">
        <v>59</v>
      </c>
      <c r="AB4855" t="s">
        <v>60</v>
      </c>
      <c r="AC4855" t="s">
        <v>87</v>
      </c>
    </row>
    <row r="4856" spans="1:29" x14ac:dyDescent="0.35">
      <c r="A4856" s="7">
        <v>42936</v>
      </c>
      <c r="B4856" t="s">
        <v>30</v>
      </c>
      <c r="C4856">
        <v>801</v>
      </c>
      <c r="D4856">
        <v>7</v>
      </c>
      <c r="E4856">
        <v>2</v>
      </c>
      <c r="F4856" t="s">
        <v>1020</v>
      </c>
      <c r="G4856" t="s">
        <v>32</v>
      </c>
      <c r="H4856" t="s">
        <v>33</v>
      </c>
      <c r="I4856" t="s">
        <v>59</v>
      </c>
      <c r="AB4856" t="s">
        <v>60</v>
      </c>
      <c r="AC4856" t="s">
        <v>87</v>
      </c>
    </row>
    <row r="4857" spans="1:29" x14ac:dyDescent="0.35">
      <c r="A4857" s="7">
        <v>42936</v>
      </c>
      <c r="B4857" t="s">
        <v>30</v>
      </c>
      <c r="C4857">
        <v>801</v>
      </c>
      <c r="D4857">
        <v>8</v>
      </c>
      <c r="E4857">
        <v>1</v>
      </c>
      <c r="F4857" t="s">
        <v>1020</v>
      </c>
      <c r="G4857" t="s">
        <v>32</v>
      </c>
      <c r="H4857" t="s">
        <v>33</v>
      </c>
      <c r="I4857" t="s">
        <v>59</v>
      </c>
      <c r="AB4857" t="s">
        <v>60</v>
      </c>
      <c r="AC4857" t="s">
        <v>87</v>
      </c>
    </row>
    <row r="4858" spans="1:29" x14ac:dyDescent="0.35">
      <c r="A4858" s="7">
        <v>42936</v>
      </c>
      <c r="B4858" t="s">
        <v>30</v>
      </c>
      <c r="C4858">
        <v>801</v>
      </c>
      <c r="D4858">
        <v>8</v>
      </c>
      <c r="E4858">
        <v>2</v>
      </c>
      <c r="F4858" t="s">
        <v>1020</v>
      </c>
      <c r="G4858" t="s">
        <v>32</v>
      </c>
      <c r="H4858" t="s">
        <v>33</v>
      </c>
      <c r="I4858" t="s">
        <v>43</v>
      </c>
      <c r="J4858" t="s">
        <v>44</v>
      </c>
      <c r="K4858" t="s">
        <v>36</v>
      </c>
      <c r="L4858" t="s">
        <v>37</v>
      </c>
      <c r="M4858">
        <v>0</v>
      </c>
      <c r="N4858">
        <v>0</v>
      </c>
      <c r="O4858">
        <v>39129</v>
      </c>
      <c r="P4858">
        <v>39769</v>
      </c>
      <c r="Q4858">
        <f>37-15</f>
        <v>22</v>
      </c>
      <c r="R4858" t="s">
        <v>38</v>
      </c>
      <c r="AB4858" t="s">
        <v>60</v>
      </c>
      <c r="AC4858" t="s">
        <v>87</v>
      </c>
    </row>
    <row r="4859" spans="1:29" x14ac:dyDescent="0.35">
      <c r="A4859" s="7">
        <v>42936</v>
      </c>
      <c r="B4859" t="s">
        <v>30</v>
      </c>
      <c r="C4859">
        <v>801</v>
      </c>
      <c r="D4859">
        <v>9</v>
      </c>
      <c r="E4859">
        <v>1</v>
      </c>
      <c r="F4859" t="s">
        <v>1020</v>
      </c>
      <c r="G4859" t="s">
        <v>32</v>
      </c>
      <c r="H4859" t="s">
        <v>33</v>
      </c>
      <c r="I4859" t="s">
        <v>59</v>
      </c>
      <c r="AB4859" t="s">
        <v>60</v>
      </c>
      <c r="AC4859" t="s">
        <v>87</v>
      </c>
    </row>
    <row r="4860" spans="1:29" x14ac:dyDescent="0.35">
      <c r="A4860" s="7">
        <v>42936</v>
      </c>
      <c r="B4860" t="s">
        <v>30</v>
      </c>
      <c r="C4860">
        <v>801</v>
      </c>
      <c r="D4860">
        <v>9</v>
      </c>
      <c r="E4860">
        <v>2</v>
      </c>
      <c r="F4860" t="s">
        <v>1020</v>
      </c>
      <c r="G4860" t="s">
        <v>32</v>
      </c>
      <c r="H4860" t="s">
        <v>33</v>
      </c>
      <c r="I4860" t="s">
        <v>59</v>
      </c>
      <c r="AB4860" t="s">
        <v>60</v>
      </c>
      <c r="AC4860" t="s">
        <v>87</v>
      </c>
    </row>
    <row r="4861" spans="1:29" x14ac:dyDescent="0.35">
      <c r="A4861" s="7">
        <v>42936</v>
      </c>
      <c r="B4861" t="s">
        <v>30</v>
      </c>
      <c r="C4861">
        <v>801</v>
      </c>
      <c r="D4861">
        <v>10</v>
      </c>
      <c r="E4861">
        <v>1</v>
      </c>
      <c r="F4861" t="s">
        <v>1020</v>
      </c>
      <c r="G4861" t="s">
        <v>32</v>
      </c>
      <c r="H4861" t="s">
        <v>33</v>
      </c>
      <c r="I4861" t="s">
        <v>58</v>
      </c>
      <c r="J4861" t="s">
        <v>44</v>
      </c>
      <c r="K4861" t="s">
        <v>36</v>
      </c>
      <c r="L4861" t="s">
        <v>37</v>
      </c>
      <c r="M4861">
        <v>0</v>
      </c>
      <c r="N4861">
        <v>0</v>
      </c>
      <c r="O4861">
        <v>39780</v>
      </c>
      <c r="Q4861">
        <f>38-14</f>
        <v>24</v>
      </c>
      <c r="R4861" t="s">
        <v>38</v>
      </c>
      <c r="Z4861" t="s">
        <v>102</v>
      </c>
      <c r="AB4861" t="s">
        <v>60</v>
      </c>
      <c r="AC4861" t="s">
        <v>87</v>
      </c>
    </row>
    <row r="4862" spans="1:29" x14ac:dyDescent="0.35">
      <c r="A4862" s="7">
        <v>42936</v>
      </c>
      <c r="B4862" t="s">
        <v>30</v>
      </c>
      <c r="C4862">
        <v>801</v>
      </c>
      <c r="D4862">
        <v>10</v>
      </c>
      <c r="E4862">
        <v>2</v>
      </c>
      <c r="F4862" t="s">
        <v>1020</v>
      </c>
      <c r="G4862" t="s">
        <v>32</v>
      </c>
      <c r="H4862" t="s">
        <v>33</v>
      </c>
      <c r="I4862" t="s">
        <v>59</v>
      </c>
      <c r="AB4862" t="s">
        <v>60</v>
      </c>
      <c r="AC4862" t="s">
        <v>87</v>
      </c>
    </row>
    <row r="4863" spans="1:29" x14ac:dyDescent="0.35">
      <c r="A4863" s="7">
        <v>42936</v>
      </c>
      <c r="B4863" t="s">
        <v>30</v>
      </c>
      <c r="C4863">
        <v>803</v>
      </c>
      <c r="D4863">
        <v>1</v>
      </c>
      <c r="E4863">
        <v>1</v>
      </c>
      <c r="F4863" t="s">
        <v>1020</v>
      </c>
      <c r="G4863" t="s">
        <v>32</v>
      </c>
      <c r="H4863" t="s">
        <v>33</v>
      </c>
      <c r="I4863" t="s">
        <v>59</v>
      </c>
      <c r="AB4863" t="s">
        <v>60</v>
      </c>
      <c r="AC4863" t="s">
        <v>87</v>
      </c>
    </row>
    <row r="4864" spans="1:29" x14ac:dyDescent="0.35">
      <c r="A4864" s="7">
        <v>42936</v>
      </c>
      <c r="B4864" t="s">
        <v>30</v>
      </c>
      <c r="C4864">
        <v>803</v>
      </c>
      <c r="D4864">
        <v>1</v>
      </c>
      <c r="E4864">
        <v>2</v>
      </c>
      <c r="F4864" t="s">
        <v>1020</v>
      </c>
      <c r="G4864" t="s">
        <v>32</v>
      </c>
      <c r="H4864" t="s">
        <v>33</v>
      </c>
      <c r="I4864" t="s">
        <v>59</v>
      </c>
      <c r="AB4864" t="s">
        <v>60</v>
      </c>
      <c r="AC4864" t="s">
        <v>87</v>
      </c>
    </row>
    <row r="4865" spans="1:30" x14ac:dyDescent="0.35">
      <c r="A4865" s="7">
        <v>42936</v>
      </c>
      <c r="B4865" t="s">
        <v>30</v>
      </c>
      <c r="C4865">
        <v>803</v>
      </c>
      <c r="D4865">
        <v>2</v>
      </c>
      <c r="E4865">
        <v>1</v>
      </c>
      <c r="F4865" t="s">
        <v>1020</v>
      </c>
      <c r="G4865" t="s">
        <v>32</v>
      </c>
      <c r="H4865" t="s">
        <v>33</v>
      </c>
      <c r="I4865" t="s">
        <v>43</v>
      </c>
      <c r="J4865" t="s">
        <v>44</v>
      </c>
      <c r="K4865" t="s">
        <v>113</v>
      </c>
      <c r="L4865" t="s">
        <v>37</v>
      </c>
      <c r="M4865">
        <v>0</v>
      </c>
      <c r="N4865">
        <v>0</v>
      </c>
      <c r="O4865">
        <v>39766</v>
      </c>
      <c r="P4865">
        <v>39765</v>
      </c>
      <c r="Q4865">
        <f>31-15</f>
        <v>16</v>
      </c>
      <c r="R4865" t="s">
        <v>38</v>
      </c>
      <c r="AB4865" t="s">
        <v>60</v>
      </c>
      <c r="AC4865" t="s">
        <v>87</v>
      </c>
    </row>
    <row r="4866" spans="1:30" x14ac:dyDescent="0.35">
      <c r="A4866" s="7">
        <v>42936</v>
      </c>
      <c r="B4866" t="s">
        <v>30</v>
      </c>
      <c r="C4866">
        <v>803</v>
      </c>
      <c r="D4866">
        <v>2</v>
      </c>
      <c r="E4866">
        <v>2</v>
      </c>
      <c r="F4866" t="s">
        <v>1020</v>
      </c>
      <c r="G4866" t="s">
        <v>32</v>
      </c>
      <c r="H4866" t="s">
        <v>33</v>
      </c>
      <c r="I4866" t="s">
        <v>59</v>
      </c>
      <c r="AB4866" t="s">
        <v>60</v>
      </c>
      <c r="AC4866" t="s">
        <v>87</v>
      </c>
    </row>
    <row r="4867" spans="1:30" x14ac:dyDescent="0.35">
      <c r="A4867" s="7">
        <v>42936</v>
      </c>
      <c r="B4867" t="s">
        <v>30</v>
      </c>
      <c r="C4867">
        <v>803</v>
      </c>
      <c r="D4867">
        <v>3</v>
      </c>
      <c r="E4867">
        <v>1</v>
      </c>
      <c r="F4867" t="s">
        <v>1020</v>
      </c>
      <c r="G4867" t="s">
        <v>32</v>
      </c>
      <c r="H4867" t="s">
        <v>33</v>
      </c>
      <c r="I4867" t="s">
        <v>43</v>
      </c>
      <c r="J4867" t="s">
        <v>35</v>
      </c>
      <c r="K4867" t="s">
        <v>88</v>
      </c>
      <c r="L4867" t="s">
        <v>45</v>
      </c>
      <c r="M4867">
        <v>0</v>
      </c>
      <c r="N4867">
        <v>1</v>
      </c>
      <c r="O4867">
        <v>39362</v>
      </c>
      <c r="P4867">
        <v>39361</v>
      </c>
      <c r="Q4867">
        <f>26-14</f>
        <v>12</v>
      </c>
      <c r="R4867" t="s">
        <v>46</v>
      </c>
      <c r="S4867" t="s">
        <v>39</v>
      </c>
      <c r="AB4867" t="s">
        <v>60</v>
      </c>
      <c r="AC4867" t="s">
        <v>87</v>
      </c>
    </row>
    <row r="4868" spans="1:30" x14ac:dyDescent="0.35">
      <c r="A4868" s="7">
        <v>42936</v>
      </c>
      <c r="B4868" t="s">
        <v>30</v>
      </c>
      <c r="C4868">
        <v>803</v>
      </c>
      <c r="D4868">
        <v>3</v>
      </c>
      <c r="E4868">
        <v>2</v>
      </c>
      <c r="F4868" t="s">
        <v>1020</v>
      </c>
      <c r="G4868" t="s">
        <v>32</v>
      </c>
      <c r="H4868" t="s">
        <v>33</v>
      </c>
      <c r="I4868" t="s">
        <v>58</v>
      </c>
      <c r="J4868" t="s">
        <v>35</v>
      </c>
      <c r="K4868" t="s">
        <v>36</v>
      </c>
      <c r="L4868" t="s">
        <v>37</v>
      </c>
      <c r="M4868">
        <v>0</v>
      </c>
      <c r="N4868">
        <v>1</v>
      </c>
      <c r="O4868">
        <v>39363</v>
      </c>
      <c r="Q4868">
        <f>34-14</f>
        <v>20</v>
      </c>
      <c r="R4868" t="s">
        <v>64</v>
      </c>
      <c r="AB4868" t="s">
        <v>60</v>
      </c>
      <c r="AC4868" t="s">
        <v>87</v>
      </c>
    </row>
    <row r="4869" spans="1:30" x14ac:dyDescent="0.35">
      <c r="A4869" s="7">
        <v>42936</v>
      </c>
      <c r="B4869" t="s">
        <v>30</v>
      </c>
      <c r="C4869">
        <v>803</v>
      </c>
      <c r="D4869">
        <v>4</v>
      </c>
      <c r="E4869">
        <v>1</v>
      </c>
      <c r="F4869" t="s">
        <v>1020</v>
      </c>
      <c r="G4869" t="s">
        <v>32</v>
      </c>
      <c r="H4869" t="s">
        <v>33</v>
      </c>
      <c r="I4869" t="s">
        <v>34</v>
      </c>
      <c r="J4869" t="s">
        <v>44</v>
      </c>
      <c r="K4869" t="s">
        <v>36</v>
      </c>
      <c r="L4869" t="s">
        <v>45</v>
      </c>
      <c r="M4869">
        <v>0</v>
      </c>
      <c r="N4869">
        <v>0</v>
      </c>
      <c r="O4869">
        <v>39360</v>
      </c>
      <c r="Q4869">
        <f>165-95</f>
        <v>70</v>
      </c>
      <c r="R4869" t="s">
        <v>46</v>
      </c>
      <c r="S4869" t="s">
        <v>39</v>
      </c>
      <c r="AB4869" t="s">
        <v>60</v>
      </c>
      <c r="AC4869" t="s">
        <v>87</v>
      </c>
    </row>
    <row r="4870" spans="1:30" x14ac:dyDescent="0.35">
      <c r="A4870" s="7">
        <v>42936</v>
      </c>
      <c r="B4870" t="s">
        <v>30</v>
      </c>
      <c r="C4870">
        <v>803</v>
      </c>
      <c r="D4870">
        <v>4</v>
      </c>
      <c r="E4870">
        <v>2</v>
      </c>
      <c r="F4870" t="s">
        <v>1020</v>
      </c>
      <c r="G4870" t="s">
        <v>32</v>
      </c>
      <c r="H4870" t="s">
        <v>33</v>
      </c>
      <c r="I4870" t="s">
        <v>59</v>
      </c>
      <c r="AB4870" t="s">
        <v>60</v>
      </c>
      <c r="AC4870" t="s">
        <v>87</v>
      </c>
    </row>
    <row r="4871" spans="1:30" x14ac:dyDescent="0.35">
      <c r="A4871" s="7">
        <v>42936</v>
      </c>
      <c r="B4871" t="s">
        <v>30</v>
      </c>
      <c r="C4871">
        <v>803</v>
      </c>
      <c r="D4871">
        <v>5</v>
      </c>
      <c r="E4871">
        <v>1</v>
      </c>
      <c r="F4871" t="s">
        <v>1020</v>
      </c>
      <c r="G4871" t="s">
        <v>32</v>
      </c>
      <c r="H4871" t="s">
        <v>33</v>
      </c>
      <c r="I4871" t="s">
        <v>94</v>
      </c>
      <c r="J4871" t="s">
        <v>44</v>
      </c>
      <c r="K4871" t="s">
        <v>36</v>
      </c>
      <c r="L4871" t="s">
        <v>37</v>
      </c>
      <c r="M4871">
        <v>0</v>
      </c>
      <c r="N4871">
        <v>0</v>
      </c>
      <c r="O4871">
        <v>2823</v>
      </c>
      <c r="Q4871">
        <f>34-14</f>
        <v>20</v>
      </c>
      <c r="R4871" t="s">
        <v>38</v>
      </c>
      <c r="AB4871" t="s">
        <v>60</v>
      </c>
      <c r="AC4871" t="s">
        <v>87</v>
      </c>
    </row>
    <row r="4872" spans="1:30" x14ac:dyDescent="0.35">
      <c r="A4872" s="7">
        <v>42936</v>
      </c>
      <c r="B4872" t="s">
        <v>30</v>
      </c>
      <c r="C4872">
        <v>803</v>
      </c>
      <c r="D4872">
        <v>5</v>
      </c>
      <c r="E4872">
        <v>2</v>
      </c>
      <c r="F4872" t="s">
        <v>1020</v>
      </c>
      <c r="G4872" t="s">
        <v>32</v>
      </c>
      <c r="H4872" t="s">
        <v>33</v>
      </c>
      <c r="I4872" t="s">
        <v>59</v>
      </c>
      <c r="AB4872" t="s">
        <v>60</v>
      </c>
      <c r="AC4872" t="s">
        <v>87</v>
      </c>
    </row>
    <row r="4873" spans="1:30" x14ac:dyDescent="0.35">
      <c r="A4873" s="7">
        <v>42936</v>
      </c>
      <c r="B4873" t="s">
        <v>30</v>
      </c>
      <c r="C4873">
        <v>803</v>
      </c>
      <c r="D4873">
        <v>6</v>
      </c>
      <c r="E4873">
        <v>1</v>
      </c>
      <c r="F4873" t="s">
        <v>1020</v>
      </c>
      <c r="G4873" t="s">
        <v>32</v>
      </c>
      <c r="H4873" t="s">
        <v>33</v>
      </c>
      <c r="I4873" t="s">
        <v>94</v>
      </c>
      <c r="J4873" t="s">
        <v>44</v>
      </c>
      <c r="K4873" t="s">
        <v>36</v>
      </c>
      <c r="L4873" t="s">
        <v>45</v>
      </c>
      <c r="M4873">
        <v>0</v>
      </c>
      <c r="N4873">
        <v>0</v>
      </c>
      <c r="P4873">
        <v>50615</v>
      </c>
      <c r="Q4873">
        <f>37-14</f>
        <v>23</v>
      </c>
      <c r="R4873" t="s">
        <v>1021</v>
      </c>
      <c r="S4873" t="s">
        <v>102</v>
      </c>
      <c r="AB4873" t="s">
        <v>60</v>
      </c>
      <c r="AC4873" t="s">
        <v>87</v>
      </c>
      <c r="AD4873" t="s">
        <v>1024</v>
      </c>
    </row>
    <row r="4874" spans="1:30" x14ac:dyDescent="0.35">
      <c r="A4874" s="7">
        <v>42936</v>
      </c>
      <c r="B4874" t="s">
        <v>30</v>
      </c>
      <c r="C4874">
        <v>803</v>
      </c>
      <c r="D4874">
        <v>7</v>
      </c>
      <c r="E4874">
        <v>1</v>
      </c>
      <c r="F4874" t="s">
        <v>1020</v>
      </c>
      <c r="G4874" t="s">
        <v>32</v>
      </c>
      <c r="H4874" t="s">
        <v>33</v>
      </c>
      <c r="I4874" t="s">
        <v>59</v>
      </c>
      <c r="AB4874" t="s">
        <v>60</v>
      </c>
      <c r="AC4874" t="s">
        <v>87</v>
      </c>
    </row>
    <row r="4875" spans="1:30" x14ac:dyDescent="0.35">
      <c r="A4875" s="7">
        <v>42936</v>
      </c>
      <c r="B4875" t="s">
        <v>30</v>
      </c>
      <c r="C4875">
        <v>803</v>
      </c>
      <c r="D4875">
        <v>7</v>
      </c>
      <c r="E4875">
        <v>2</v>
      </c>
      <c r="F4875" t="s">
        <v>1020</v>
      </c>
      <c r="G4875" t="s">
        <v>32</v>
      </c>
      <c r="H4875" t="s">
        <v>33</v>
      </c>
      <c r="I4875" t="s">
        <v>59</v>
      </c>
      <c r="AB4875" t="s">
        <v>60</v>
      </c>
      <c r="AC4875" t="s">
        <v>87</v>
      </c>
    </row>
    <row r="4876" spans="1:30" x14ac:dyDescent="0.35">
      <c r="A4876" s="7">
        <v>42936</v>
      </c>
      <c r="B4876" t="s">
        <v>30</v>
      </c>
      <c r="C4876">
        <v>803</v>
      </c>
      <c r="D4876">
        <v>8</v>
      </c>
      <c r="E4876">
        <v>1</v>
      </c>
      <c r="F4876" t="s">
        <v>1020</v>
      </c>
      <c r="G4876" t="s">
        <v>32</v>
      </c>
      <c r="H4876" t="s">
        <v>33</v>
      </c>
      <c r="I4876" t="s">
        <v>43</v>
      </c>
      <c r="J4876" t="s">
        <v>44</v>
      </c>
      <c r="K4876" t="s">
        <v>113</v>
      </c>
      <c r="L4876" t="s">
        <v>37</v>
      </c>
      <c r="M4876">
        <v>0</v>
      </c>
      <c r="N4876">
        <v>0</v>
      </c>
      <c r="O4876">
        <v>39349</v>
      </c>
      <c r="P4876">
        <v>39348</v>
      </c>
      <c r="Q4876">
        <f>30-14</f>
        <v>16</v>
      </c>
      <c r="R4876" t="s">
        <v>38</v>
      </c>
      <c r="AB4876" t="s">
        <v>60</v>
      </c>
      <c r="AC4876" t="s">
        <v>87</v>
      </c>
    </row>
    <row r="4877" spans="1:30" x14ac:dyDescent="0.35">
      <c r="A4877" s="7">
        <v>42936</v>
      </c>
      <c r="B4877" t="s">
        <v>30</v>
      </c>
      <c r="C4877">
        <v>803</v>
      </c>
      <c r="D4877">
        <v>9</v>
      </c>
      <c r="E4877">
        <v>1</v>
      </c>
      <c r="F4877" t="s">
        <v>1020</v>
      </c>
      <c r="G4877" t="s">
        <v>32</v>
      </c>
      <c r="H4877" t="s">
        <v>33</v>
      </c>
      <c r="I4877" t="s">
        <v>94</v>
      </c>
      <c r="J4877" t="s">
        <v>44</v>
      </c>
      <c r="K4877" t="s">
        <v>36</v>
      </c>
      <c r="L4877" t="s">
        <v>37</v>
      </c>
      <c r="M4877">
        <v>0</v>
      </c>
      <c r="N4877">
        <v>0</v>
      </c>
      <c r="O4877">
        <v>39784</v>
      </c>
      <c r="Q4877">
        <f>35-14.5</f>
        <v>20.5</v>
      </c>
      <c r="R4877" t="s">
        <v>38</v>
      </c>
      <c r="AB4877" t="s">
        <v>60</v>
      </c>
      <c r="AC4877" t="s">
        <v>87</v>
      </c>
      <c r="AD4877" t="s">
        <v>1055</v>
      </c>
    </row>
    <row r="4878" spans="1:30" x14ac:dyDescent="0.35">
      <c r="A4878" s="7">
        <v>42936</v>
      </c>
      <c r="B4878" t="s">
        <v>30</v>
      </c>
      <c r="C4878">
        <v>803</v>
      </c>
      <c r="D4878">
        <v>9</v>
      </c>
      <c r="E4878">
        <v>2</v>
      </c>
      <c r="F4878" t="s">
        <v>1020</v>
      </c>
      <c r="G4878" t="s">
        <v>32</v>
      </c>
      <c r="H4878" t="s">
        <v>33</v>
      </c>
      <c r="I4878" t="s">
        <v>43</v>
      </c>
      <c r="J4878" t="s">
        <v>35</v>
      </c>
      <c r="K4878" t="s">
        <v>113</v>
      </c>
      <c r="L4878" t="s">
        <v>37</v>
      </c>
      <c r="M4878">
        <v>0</v>
      </c>
      <c r="N4878">
        <v>1</v>
      </c>
      <c r="O4878">
        <v>39359</v>
      </c>
      <c r="P4878">
        <v>39358</v>
      </c>
      <c r="Q4878">
        <f>33-14</f>
        <v>19</v>
      </c>
      <c r="R4878" t="s">
        <v>38</v>
      </c>
      <c r="AB4878" t="s">
        <v>60</v>
      </c>
      <c r="AC4878" t="s">
        <v>87</v>
      </c>
    </row>
    <row r="4879" spans="1:30" x14ac:dyDescent="0.35">
      <c r="A4879" s="7">
        <v>42936</v>
      </c>
      <c r="B4879" t="s">
        <v>30</v>
      </c>
      <c r="C4879">
        <v>803</v>
      </c>
      <c r="D4879">
        <v>10</v>
      </c>
      <c r="E4879">
        <v>1</v>
      </c>
      <c r="F4879" t="s">
        <v>1020</v>
      </c>
      <c r="G4879" t="s">
        <v>32</v>
      </c>
      <c r="H4879" t="s">
        <v>33</v>
      </c>
      <c r="I4879" t="s">
        <v>59</v>
      </c>
      <c r="AB4879" t="s">
        <v>60</v>
      </c>
      <c r="AC4879" t="s">
        <v>87</v>
      </c>
    </row>
    <row r="4880" spans="1:30" x14ac:dyDescent="0.35">
      <c r="A4880" s="7">
        <v>42936</v>
      </c>
      <c r="B4880" t="s">
        <v>30</v>
      </c>
      <c r="C4880">
        <v>803</v>
      </c>
      <c r="D4880">
        <v>10</v>
      </c>
      <c r="E4880">
        <v>2</v>
      </c>
      <c r="F4880" t="s">
        <v>1020</v>
      </c>
      <c r="G4880" t="s">
        <v>32</v>
      </c>
      <c r="H4880" t="s">
        <v>33</v>
      </c>
      <c r="I4880" t="s">
        <v>59</v>
      </c>
      <c r="AB4880" t="s">
        <v>60</v>
      </c>
      <c r="AC4880" t="s">
        <v>87</v>
      </c>
    </row>
    <row r="4881" spans="1:30" x14ac:dyDescent="0.35">
      <c r="A4881" s="7">
        <v>42936</v>
      </c>
      <c r="B4881" t="s">
        <v>30</v>
      </c>
      <c r="C4881">
        <v>901</v>
      </c>
      <c r="D4881">
        <v>3</v>
      </c>
      <c r="E4881">
        <v>1</v>
      </c>
      <c r="F4881" t="s">
        <v>1020</v>
      </c>
      <c r="G4881" t="s">
        <v>32</v>
      </c>
      <c r="H4881" t="s">
        <v>33</v>
      </c>
      <c r="I4881" t="s">
        <v>43</v>
      </c>
      <c r="J4881" t="s">
        <v>44</v>
      </c>
      <c r="K4881" t="s">
        <v>113</v>
      </c>
      <c r="L4881" t="s">
        <v>37</v>
      </c>
      <c r="M4881">
        <v>0</v>
      </c>
      <c r="N4881">
        <v>0</v>
      </c>
      <c r="O4881">
        <v>39126</v>
      </c>
      <c r="P4881">
        <v>39753</v>
      </c>
      <c r="Q4881">
        <f>33-14</f>
        <v>19</v>
      </c>
      <c r="R4881" t="s">
        <v>38</v>
      </c>
      <c r="Y4881" t="s">
        <v>1056</v>
      </c>
      <c r="AB4881" t="s">
        <v>60</v>
      </c>
      <c r="AC4881" t="s">
        <v>87</v>
      </c>
    </row>
    <row r="4882" spans="1:30" x14ac:dyDescent="0.35">
      <c r="A4882" s="7">
        <v>42936</v>
      </c>
      <c r="B4882" t="s">
        <v>30</v>
      </c>
      <c r="C4882">
        <v>901</v>
      </c>
      <c r="D4882">
        <v>3</v>
      </c>
      <c r="E4882">
        <v>2</v>
      </c>
      <c r="F4882" t="s">
        <v>1020</v>
      </c>
      <c r="G4882" t="s">
        <v>32</v>
      </c>
      <c r="H4882" t="s">
        <v>33</v>
      </c>
      <c r="I4882" t="s">
        <v>59</v>
      </c>
      <c r="AB4882" t="s">
        <v>60</v>
      </c>
      <c r="AC4882" t="s">
        <v>87</v>
      </c>
    </row>
    <row r="4883" spans="1:30" x14ac:dyDescent="0.35">
      <c r="A4883" s="7">
        <v>42936</v>
      </c>
      <c r="B4883" t="s">
        <v>30</v>
      </c>
      <c r="C4883">
        <v>901</v>
      </c>
      <c r="D4883">
        <v>4</v>
      </c>
      <c r="E4883">
        <v>1</v>
      </c>
      <c r="F4883" t="s">
        <v>1020</v>
      </c>
      <c r="G4883" t="s">
        <v>32</v>
      </c>
      <c r="H4883" t="s">
        <v>33</v>
      </c>
      <c r="I4883" t="s">
        <v>43</v>
      </c>
      <c r="J4883" t="s">
        <v>44</v>
      </c>
      <c r="K4883" t="s">
        <v>36</v>
      </c>
      <c r="L4883" t="s">
        <v>45</v>
      </c>
      <c r="M4883">
        <v>0</v>
      </c>
      <c r="N4883">
        <v>0</v>
      </c>
      <c r="O4883">
        <v>39764</v>
      </c>
      <c r="P4883">
        <v>39763</v>
      </c>
      <c r="Q4883">
        <f>35-14</f>
        <v>21</v>
      </c>
      <c r="R4883" t="s">
        <v>79</v>
      </c>
      <c r="S4883" t="s">
        <v>39</v>
      </c>
      <c r="AB4883" t="s">
        <v>60</v>
      </c>
      <c r="AC4883" t="s">
        <v>87</v>
      </c>
      <c r="AD4883" t="s">
        <v>1057</v>
      </c>
    </row>
    <row r="4884" spans="1:30" x14ac:dyDescent="0.35">
      <c r="A4884" s="7">
        <v>42936</v>
      </c>
      <c r="B4884" t="s">
        <v>30</v>
      </c>
      <c r="C4884">
        <v>901</v>
      </c>
      <c r="D4884">
        <v>5</v>
      </c>
      <c r="E4884">
        <v>1</v>
      </c>
      <c r="F4884" t="s">
        <v>1020</v>
      </c>
      <c r="G4884" t="s">
        <v>32</v>
      </c>
      <c r="H4884" t="s">
        <v>33</v>
      </c>
      <c r="I4884" t="s">
        <v>43</v>
      </c>
      <c r="J4884" t="s">
        <v>44</v>
      </c>
      <c r="K4884" t="s">
        <v>36</v>
      </c>
      <c r="L4884" t="s">
        <v>45</v>
      </c>
      <c r="M4884">
        <v>0</v>
      </c>
      <c r="N4884">
        <v>0</v>
      </c>
      <c r="O4884">
        <v>39145</v>
      </c>
      <c r="P4884">
        <v>39144</v>
      </c>
      <c r="Q4884">
        <f>30-14</f>
        <v>16</v>
      </c>
      <c r="R4884" t="s">
        <v>46</v>
      </c>
      <c r="S4884" t="s">
        <v>39</v>
      </c>
      <c r="AB4884" t="s">
        <v>60</v>
      </c>
      <c r="AC4884" t="s">
        <v>87</v>
      </c>
    </row>
    <row r="4885" spans="1:30" x14ac:dyDescent="0.35">
      <c r="A4885" s="7">
        <v>42936</v>
      </c>
      <c r="B4885" t="s">
        <v>30</v>
      </c>
      <c r="C4885">
        <v>901</v>
      </c>
      <c r="D4885">
        <v>6</v>
      </c>
      <c r="E4885">
        <v>1</v>
      </c>
      <c r="F4885" t="s">
        <v>1020</v>
      </c>
      <c r="G4885" t="s">
        <v>32</v>
      </c>
      <c r="H4885" t="s">
        <v>33</v>
      </c>
      <c r="I4885" t="s">
        <v>59</v>
      </c>
      <c r="AB4885" t="s">
        <v>60</v>
      </c>
      <c r="AC4885" t="s">
        <v>87</v>
      </c>
    </row>
    <row r="4886" spans="1:30" x14ac:dyDescent="0.35">
      <c r="A4886" s="7">
        <v>42936</v>
      </c>
      <c r="B4886" t="s">
        <v>30</v>
      </c>
      <c r="C4886">
        <v>901</v>
      </c>
      <c r="D4886">
        <v>8</v>
      </c>
      <c r="E4886">
        <v>1</v>
      </c>
      <c r="F4886" t="s">
        <v>1020</v>
      </c>
      <c r="G4886" t="s">
        <v>32</v>
      </c>
      <c r="H4886" t="s">
        <v>33</v>
      </c>
      <c r="I4886" t="s">
        <v>43</v>
      </c>
      <c r="J4886" t="s">
        <v>56</v>
      </c>
      <c r="K4886" t="s">
        <v>36</v>
      </c>
      <c r="O4886">
        <v>39788</v>
      </c>
      <c r="P4886">
        <v>39787</v>
      </c>
      <c r="AB4886" t="s">
        <v>60</v>
      </c>
      <c r="AC4886" t="s">
        <v>87</v>
      </c>
      <c r="AD4886" t="s">
        <v>1058</v>
      </c>
    </row>
    <row r="4887" spans="1:30" x14ac:dyDescent="0.35">
      <c r="A4887" s="7">
        <v>42937</v>
      </c>
      <c r="B4887" t="s">
        <v>30</v>
      </c>
      <c r="C4887">
        <v>303</v>
      </c>
      <c r="D4887">
        <v>1</v>
      </c>
      <c r="E4887">
        <v>1</v>
      </c>
      <c r="F4887" t="s">
        <v>1020</v>
      </c>
      <c r="G4887" t="s">
        <v>32</v>
      </c>
      <c r="H4887" t="s">
        <v>33</v>
      </c>
      <c r="I4887" t="s">
        <v>43</v>
      </c>
      <c r="J4887" t="s">
        <v>44</v>
      </c>
      <c r="K4887" t="s">
        <v>113</v>
      </c>
      <c r="L4887" t="s">
        <v>37</v>
      </c>
      <c r="M4887">
        <v>0</v>
      </c>
      <c r="N4887">
        <v>0</v>
      </c>
      <c r="O4887">
        <v>39318</v>
      </c>
      <c r="P4887">
        <v>39319</v>
      </c>
      <c r="Q4887">
        <f>29-14</f>
        <v>15</v>
      </c>
      <c r="R4887" t="s">
        <v>38</v>
      </c>
      <c r="AB4887" t="s">
        <v>86</v>
      </c>
      <c r="AC4887" t="s">
        <v>87</v>
      </c>
      <c r="AD4887" t="s">
        <v>1059</v>
      </c>
    </row>
    <row r="4888" spans="1:30" x14ac:dyDescent="0.35">
      <c r="A4888" s="7">
        <v>42937</v>
      </c>
      <c r="B4888" t="s">
        <v>30</v>
      </c>
      <c r="C4888">
        <v>303</v>
      </c>
      <c r="D4888">
        <v>2</v>
      </c>
      <c r="E4888">
        <v>1</v>
      </c>
      <c r="F4888" t="s">
        <v>1020</v>
      </c>
      <c r="G4888" t="s">
        <v>32</v>
      </c>
      <c r="H4888" t="s">
        <v>33</v>
      </c>
      <c r="I4888" t="s">
        <v>43</v>
      </c>
      <c r="J4888" t="s">
        <v>35</v>
      </c>
      <c r="K4888" t="s">
        <v>36</v>
      </c>
      <c r="L4888" t="s">
        <v>37</v>
      </c>
      <c r="M4888">
        <v>0</v>
      </c>
      <c r="N4888">
        <v>1</v>
      </c>
      <c r="O4888">
        <v>39365</v>
      </c>
      <c r="P4888">
        <v>39364</v>
      </c>
      <c r="Q4888">
        <f>35-14</f>
        <v>21</v>
      </c>
      <c r="R4888" t="s">
        <v>38</v>
      </c>
      <c r="AB4888" t="s">
        <v>86</v>
      </c>
      <c r="AC4888" t="s">
        <v>87</v>
      </c>
    </row>
    <row r="4889" spans="1:30" x14ac:dyDescent="0.35">
      <c r="A4889" s="7">
        <v>42937</v>
      </c>
      <c r="B4889" t="s">
        <v>30</v>
      </c>
      <c r="C4889">
        <v>303</v>
      </c>
      <c r="D4889">
        <v>2</v>
      </c>
      <c r="E4889">
        <v>2</v>
      </c>
      <c r="F4889" t="s">
        <v>1020</v>
      </c>
      <c r="G4889" t="s">
        <v>32</v>
      </c>
      <c r="H4889" t="s">
        <v>33</v>
      </c>
      <c r="I4889" t="s">
        <v>59</v>
      </c>
      <c r="AB4889" t="s">
        <v>86</v>
      </c>
      <c r="AC4889" t="s">
        <v>87</v>
      </c>
    </row>
    <row r="4890" spans="1:30" x14ac:dyDescent="0.35">
      <c r="A4890" s="7">
        <v>42937</v>
      </c>
      <c r="B4890" t="s">
        <v>30</v>
      </c>
      <c r="C4890">
        <v>303</v>
      </c>
      <c r="D4890">
        <v>3</v>
      </c>
      <c r="E4890">
        <v>1</v>
      </c>
      <c r="F4890" t="s">
        <v>1020</v>
      </c>
      <c r="G4890" t="s">
        <v>32</v>
      </c>
      <c r="H4890" t="s">
        <v>33</v>
      </c>
      <c r="I4890" t="s">
        <v>59</v>
      </c>
      <c r="AB4890" t="s">
        <v>86</v>
      </c>
      <c r="AC4890" t="s">
        <v>87</v>
      </c>
    </row>
    <row r="4891" spans="1:30" x14ac:dyDescent="0.35">
      <c r="A4891" s="7">
        <v>42937</v>
      </c>
      <c r="B4891" t="s">
        <v>30</v>
      </c>
      <c r="C4891">
        <v>303</v>
      </c>
      <c r="D4891">
        <v>3</v>
      </c>
      <c r="E4891">
        <v>2</v>
      </c>
      <c r="F4891" t="s">
        <v>1020</v>
      </c>
      <c r="G4891" t="s">
        <v>32</v>
      </c>
      <c r="H4891" t="s">
        <v>33</v>
      </c>
      <c r="I4891" t="s">
        <v>59</v>
      </c>
      <c r="AB4891" t="s">
        <v>86</v>
      </c>
      <c r="AC4891" t="s">
        <v>87</v>
      </c>
    </row>
    <row r="4892" spans="1:30" x14ac:dyDescent="0.35">
      <c r="A4892" s="7">
        <v>42937</v>
      </c>
      <c r="B4892" t="s">
        <v>30</v>
      </c>
      <c r="C4892">
        <v>303</v>
      </c>
      <c r="D4892">
        <v>4</v>
      </c>
      <c r="E4892">
        <v>1</v>
      </c>
      <c r="F4892" t="s">
        <v>1020</v>
      </c>
      <c r="G4892" t="s">
        <v>32</v>
      </c>
      <c r="H4892" t="s">
        <v>33</v>
      </c>
      <c r="I4892" t="s">
        <v>43</v>
      </c>
      <c r="J4892" t="s">
        <v>35</v>
      </c>
      <c r="K4892" t="s">
        <v>113</v>
      </c>
      <c r="L4892" t="s">
        <v>37</v>
      </c>
      <c r="M4892">
        <v>0</v>
      </c>
      <c r="N4892">
        <v>1</v>
      </c>
      <c r="O4892">
        <v>39367</v>
      </c>
      <c r="P4892">
        <v>39366</v>
      </c>
      <c r="Q4892">
        <f>32-14</f>
        <v>18</v>
      </c>
      <c r="R4892" t="s">
        <v>38</v>
      </c>
      <c r="Y4892" t="s">
        <v>1060</v>
      </c>
      <c r="AB4892" t="s">
        <v>86</v>
      </c>
      <c r="AC4892" t="s">
        <v>87</v>
      </c>
    </row>
    <row r="4893" spans="1:30" x14ac:dyDescent="0.35">
      <c r="A4893" s="7">
        <v>42937</v>
      </c>
      <c r="B4893" t="s">
        <v>30</v>
      </c>
      <c r="C4893">
        <v>303</v>
      </c>
      <c r="D4893">
        <v>7</v>
      </c>
      <c r="E4893">
        <v>1</v>
      </c>
      <c r="F4893" t="s">
        <v>1020</v>
      </c>
      <c r="G4893" t="s">
        <v>32</v>
      </c>
      <c r="H4893" t="s">
        <v>33</v>
      </c>
      <c r="I4893" t="s">
        <v>43</v>
      </c>
      <c r="J4893" t="s">
        <v>44</v>
      </c>
      <c r="K4893" t="s">
        <v>113</v>
      </c>
      <c r="L4893" t="s">
        <v>37</v>
      </c>
      <c r="M4893">
        <v>0</v>
      </c>
      <c r="N4893">
        <v>0</v>
      </c>
      <c r="O4893">
        <v>39191</v>
      </c>
      <c r="P4893">
        <v>39190</v>
      </c>
      <c r="Q4893">
        <f>32-14</f>
        <v>18</v>
      </c>
      <c r="R4893" t="s">
        <v>38</v>
      </c>
      <c r="Z4893" t="s">
        <v>102</v>
      </c>
      <c r="AB4893" t="s">
        <v>86</v>
      </c>
      <c r="AC4893" t="s">
        <v>87</v>
      </c>
    </row>
    <row r="4894" spans="1:30" x14ac:dyDescent="0.35">
      <c r="A4894" s="7">
        <v>42937</v>
      </c>
      <c r="B4894" t="s">
        <v>30</v>
      </c>
      <c r="C4894">
        <v>303</v>
      </c>
      <c r="D4894">
        <v>8</v>
      </c>
      <c r="E4894">
        <v>1</v>
      </c>
      <c r="F4894" t="s">
        <v>1020</v>
      </c>
      <c r="G4894" t="s">
        <v>32</v>
      </c>
      <c r="H4894" t="s">
        <v>33</v>
      </c>
      <c r="I4894" t="s">
        <v>43</v>
      </c>
      <c r="J4894" t="s">
        <v>44</v>
      </c>
      <c r="K4894" t="s">
        <v>88</v>
      </c>
      <c r="L4894" t="s">
        <v>37</v>
      </c>
      <c r="M4894">
        <v>0</v>
      </c>
      <c r="N4894">
        <v>0</v>
      </c>
      <c r="O4894">
        <v>39494</v>
      </c>
      <c r="P4894">
        <v>39493</v>
      </c>
      <c r="Q4894">
        <f>30-14</f>
        <v>16</v>
      </c>
      <c r="R4894" t="s">
        <v>64</v>
      </c>
      <c r="AB4894" t="s">
        <v>86</v>
      </c>
      <c r="AC4894" t="s">
        <v>87</v>
      </c>
    </row>
    <row r="4895" spans="1:30" x14ac:dyDescent="0.35">
      <c r="A4895" s="7">
        <v>42937</v>
      </c>
      <c r="B4895" t="s">
        <v>30</v>
      </c>
      <c r="C4895">
        <v>303</v>
      </c>
      <c r="D4895">
        <v>9</v>
      </c>
      <c r="E4895">
        <v>1</v>
      </c>
      <c r="F4895" t="s">
        <v>1020</v>
      </c>
      <c r="G4895" t="s">
        <v>32</v>
      </c>
      <c r="H4895" t="s">
        <v>33</v>
      </c>
      <c r="I4895" t="s">
        <v>59</v>
      </c>
      <c r="AB4895" t="s">
        <v>86</v>
      </c>
      <c r="AC4895" t="s">
        <v>87</v>
      </c>
    </row>
    <row r="4896" spans="1:30" x14ac:dyDescent="0.35">
      <c r="A4896" s="7">
        <v>42937</v>
      </c>
      <c r="B4896" t="s">
        <v>30</v>
      </c>
      <c r="C4896">
        <v>303</v>
      </c>
      <c r="D4896">
        <v>10</v>
      </c>
      <c r="E4896">
        <v>1</v>
      </c>
      <c r="F4896" t="s">
        <v>1020</v>
      </c>
      <c r="G4896" t="s">
        <v>32</v>
      </c>
      <c r="H4896" t="s">
        <v>33</v>
      </c>
      <c r="I4896" t="s">
        <v>59</v>
      </c>
      <c r="AB4896" t="s">
        <v>86</v>
      </c>
      <c r="AC4896" t="s">
        <v>87</v>
      </c>
    </row>
    <row r="4897" spans="1:29" x14ac:dyDescent="0.35">
      <c r="A4897" s="7">
        <v>42937</v>
      </c>
      <c r="B4897" t="s">
        <v>30</v>
      </c>
      <c r="C4897">
        <v>303</v>
      </c>
      <c r="D4897">
        <v>10</v>
      </c>
      <c r="E4897">
        <v>2</v>
      </c>
      <c r="F4897" t="s">
        <v>1020</v>
      </c>
      <c r="G4897" t="s">
        <v>32</v>
      </c>
      <c r="H4897" t="s">
        <v>33</v>
      </c>
      <c r="I4897" t="s">
        <v>43</v>
      </c>
      <c r="J4897" t="s">
        <v>44</v>
      </c>
      <c r="K4897" t="s">
        <v>36</v>
      </c>
      <c r="L4897" t="s">
        <v>45</v>
      </c>
      <c r="M4897">
        <v>0</v>
      </c>
      <c r="N4897">
        <v>0</v>
      </c>
      <c r="O4897">
        <v>39323</v>
      </c>
      <c r="P4897">
        <v>39324</v>
      </c>
      <c r="Q4897">
        <f>43-14</f>
        <v>29</v>
      </c>
      <c r="R4897" t="s">
        <v>1028</v>
      </c>
      <c r="S4897" t="s">
        <v>102</v>
      </c>
      <c r="Z4897" t="s">
        <v>102</v>
      </c>
      <c r="AB4897" t="s">
        <v>86</v>
      </c>
      <c r="AC4897" t="s">
        <v>87</v>
      </c>
    </row>
    <row r="4898" spans="1:29" x14ac:dyDescent="0.35">
      <c r="A4898" s="7">
        <v>42937</v>
      </c>
      <c r="B4898" t="s">
        <v>30</v>
      </c>
      <c r="C4898">
        <v>401</v>
      </c>
      <c r="D4898">
        <v>1</v>
      </c>
      <c r="E4898">
        <v>1</v>
      </c>
      <c r="F4898" t="s">
        <v>1020</v>
      </c>
      <c r="G4898" t="s">
        <v>32</v>
      </c>
      <c r="H4898" t="s">
        <v>33</v>
      </c>
      <c r="I4898" t="s">
        <v>59</v>
      </c>
      <c r="AB4898" t="s">
        <v>86</v>
      </c>
      <c r="AC4898" t="s">
        <v>87</v>
      </c>
    </row>
    <row r="4899" spans="1:29" x14ac:dyDescent="0.35">
      <c r="A4899" s="7">
        <v>42937</v>
      </c>
      <c r="B4899" t="s">
        <v>30</v>
      </c>
      <c r="C4899">
        <v>401</v>
      </c>
      <c r="D4899">
        <v>2</v>
      </c>
      <c r="E4899">
        <v>1</v>
      </c>
      <c r="F4899" t="s">
        <v>1020</v>
      </c>
      <c r="G4899" t="s">
        <v>32</v>
      </c>
      <c r="H4899" t="s">
        <v>33</v>
      </c>
      <c r="I4899" t="s">
        <v>59</v>
      </c>
      <c r="AB4899" t="s">
        <v>86</v>
      </c>
      <c r="AC4899" t="s">
        <v>87</v>
      </c>
    </row>
    <row r="4900" spans="1:29" x14ac:dyDescent="0.35">
      <c r="A4900" s="7">
        <v>42937</v>
      </c>
      <c r="B4900" t="s">
        <v>30</v>
      </c>
      <c r="C4900">
        <v>401</v>
      </c>
      <c r="D4900">
        <v>4</v>
      </c>
      <c r="E4900">
        <v>1</v>
      </c>
      <c r="F4900" t="s">
        <v>1020</v>
      </c>
      <c r="G4900" t="s">
        <v>32</v>
      </c>
      <c r="H4900" t="s">
        <v>33</v>
      </c>
      <c r="I4900" t="s">
        <v>58</v>
      </c>
      <c r="J4900" t="s">
        <v>44</v>
      </c>
      <c r="K4900" t="s">
        <v>36</v>
      </c>
      <c r="L4900" t="s">
        <v>45</v>
      </c>
      <c r="M4900">
        <v>0</v>
      </c>
      <c r="N4900">
        <v>0</v>
      </c>
      <c r="O4900">
        <v>39325</v>
      </c>
      <c r="Q4900">
        <f>41-14</f>
        <v>27</v>
      </c>
      <c r="R4900" t="s">
        <v>77</v>
      </c>
      <c r="S4900" t="s">
        <v>39</v>
      </c>
      <c r="Z4900" t="s">
        <v>102</v>
      </c>
      <c r="AB4900" t="s">
        <v>86</v>
      </c>
      <c r="AC4900" t="s">
        <v>87</v>
      </c>
    </row>
    <row r="4901" spans="1:29" x14ac:dyDescent="0.35">
      <c r="A4901" s="7">
        <v>42937</v>
      </c>
      <c r="B4901" t="s">
        <v>30</v>
      </c>
      <c r="C4901">
        <v>401</v>
      </c>
      <c r="D4901">
        <v>5</v>
      </c>
      <c r="E4901">
        <v>1</v>
      </c>
      <c r="F4901" t="s">
        <v>1020</v>
      </c>
      <c r="G4901" t="s">
        <v>32</v>
      </c>
      <c r="H4901" t="s">
        <v>33</v>
      </c>
      <c r="I4901" t="s">
        <v>59</v>
      </c>
      <c r="AB4901" t="s">
        <v>86</v>
      </c>
      <c r="AC4901" t="s">
        <v>87</v>
      </c>
    </row>
    <row r="4902" spans="1:29" x14ac:dyDescent="0.35">
      <c r="A4902" s="7">
        <v>42937</v>
      </c>
      <c r="B4902" t="s">
        <v>30</v>
      </c>
      <c r="C4902">
        <v>401</v>
      </c>
      <c r="D4902">
        <v>6</v>
      </c>
      <c r="E4902">
        <v>1</v>
      </c>
      <c r="F4902" t="s">
        <v>1020</v>
      </c>
      <c r="G4902" t="s">
        <v>32</v>
      </c>
      <c r="H4902" t="s">
        <v>33</v>
      </c>
      <c r="I4902" t="s">
        <v>58</v>
      </c>
      <c r="J4902" t="s">
        <v>44</v>
      </c>
      <c r="K4902" t="s">
        <v>36</v>
      </c>
      <c r="L4902" t="s">
        <v>37</v>
      </c>
      <c r="M4902">
        <v>0</v>
      </c>
      <c r="N4902">
        <v>0</v>
      </c>
      <c r="O4902">
        <v>39368</v>
      </c>
      <c r="Q4902">
        <f>35-14.5</f>
        <v>20.5</v>
      </c>
      <c r="R4902" t="s">
        <v>38</v>
      </c>
      <c r="Z4902" t="s">
        <v>102</v>
      </c>
      <c r="AB4902" t="s">
        <v>86</v>
      </c>
      <c r="AC4902" t="s">
        <v>87</v>
      </c>
    </row>
    <row r="4903" spans="1:29" x14ac:dyDescent="0.35">
      <c r="A4903" s="7">
        <v>42937</v>
      </c>
      <c r="B4903" t="s">
        <v>30</v>
      </c>
      <c r="C4903">
        <v>401</v>
      </c>
      <c r="D4903">
        <v>6</v>
      </c>
      <c r="E4903">
        <v>2</v>
      </c>
      <c r="F4903" t="s">
        <v>1020</v>
      </c>
      <c r="G4903" t="s">
        <v>32</v>
      </c>
      <c r="H4903" t="s">
        <v>33</v>
      </c>
      <c r="I4903" t="s">
        <v>59</v>
      </c>
      <c r="AB4903" t="s">
        <v>86</v>
      </c>
      <c r="AC4903" t="s">
        <v>87</v>
      </c>
    </row>
    <row r="4904" spans="1:29" x14ac:dyDescent="0.35">
      <c r="A4904" s="7">
        <v>42937</v>
      </c>
      <c r="B4904" t="s">
        <v>30</v>
      </c>
      <c r="C4904">
        <v>401</v>
      </c>
      <c r="D4904">
        <v>8</v>
      </c>
      <c r="E4904">
        <v>1</v>
      </c>
      <c r="F4904" t="s">
        <v>1020</v>
      </c>
      <c r="G4904" t="s">
        <v>32</v>
      </c>
      <c r="H4904" t="s">
        <v>33</v>
      </c>
      <c r="I4904" t="s">
        <v>58</v>
      </c>
      <c r="J4904" t="s">
        <v>44</v>
      </c>
      <c r="K4904" t="s">
        <v>36</v>
      </c>
      <c r="L4904" t="s">
        <v>37</v>
      </c>
      <c r="M4904">
        <v>0</v>
      </c>
      <c r="N4904">
        <v>0</v>
      </c>
      <c r="O4904">
        <v>39195</v>
      </c>
      <c r="Q4904">
        <f>40-14</f>
        <v>26</v>
      </c>
      <c r="R4904" t="s">
        <v>38</v>
      </c>
      <c r="Z4904" t="s">
        <v>102</v>
      </c>
      <c r="AB4904" t="s">
        <v>86</v>
      </c>
      <c r="AC4904" t="s">
        <v>87</v>
      </c>
    </row>
    <row r="4905" spans="1:29" x14ac:dyDescent="0.35">
      <c r="A4905" s="7">
        <v>42937</v>
      </c>
      <c r="B4905" t="s">
        <v>30</v>
      </c>
      <c r="C4905">
        <v>401</v>
      </c>
      <c r="D4905">
        <v>9</v>
      </c>
      <c r="E4905">
        <v>1</v>
      </c>
      <c r="F4905" t="s">
        <v>1020</v>
      </c>
      <c r="G4905" t="s">
        <v>32</v>
      </c>
      <c r="H4905" t="s">
        <v>33</v>
      </c>
      <c r="I4905" t="s">
        <v>59</v>
      </c>
      <c r="AB4905" t="s">
        <v>86</v>
      </c>
      <c r="AC4905" t="s">
        <v>87</v>
      </c>
    </row>
    <row r="4906" spans="1:29" x14ac:dyDescent="0.35">
      <c r="A4906" s="7">
        <v>42937</v>
      </c>
      <c r="B4906" t="s">
        <v>30</v>
      </c>
      <c r="C4906">
        <v>401</v>
      </c>
      <c r="D4906">
        <v>9</v>
      </c>
      <c r="E4906">
        <v>2</v>
      </c>
      <c r="F4906" t="s">
        <v>1020</v>
      </c>
      <c r="G4906" t="s">
        <v>32</v>
      </c>
      <c r="H4906" t="s">
        <v>33</v>
      </c>
      <c r="I4906" t="s">
        <v>59</v>
      </c>
      <c r="AB4906" t="s">
        <v>86</v>
      </c>
      <c r="AC4906" t="s">
        <v>87</v>
      </c>
    </row>
    <row r="4907" spans="1:29" x14ac:dyDescent="0.35">
      <c r="A4907" s="7">
        <v>42937</v>
      </c>
      <c r="B4907" t="s">
        <v>30</v>
      </c>
      <c r="C4907">
        <v>401</v>
      </c>
      <c r="D4907">
        <v>10</v>
      </c>
      <c r="E4907">
        <v>1</v>
      </c>
      <c r="F4907" t="s">
        <v>1020</v>
      </c>
      <c r="G4907" t="s">
        <v>32</v>
      </c>
      <c r="H4907" t="s">
        <v>33</v>
      </c>
      <c r="I4907" t="s">
        <v>58</v>
      </c>
      <c r="J4907" t="s">
        <v>44</v>
      </c>
      <c r="K4907" t="s">
        <v>36</v>
      </c>
      <c r="L4907" t="s">
        <v>45</v>
      </c>
      <c r="M4907">
        <v>0</v>
      </c>
      <c r="N4907">
        <v>0</v>
      </c>
      <c r="O4907">
        <v>39500</v>
      </c>
      <c r="Q4907">
        <f>37.5-14</f>
        <v>23.5</v>
      </c>
      <c r="R4907" t="s">
        <v>46</v>
      </c>
      <c r="S4907" t="s">
        <v>39</v>
      </c>
      <c r="Z4907" t="s">
        <v>102</v>
      </c>
      <c r="AB4907" t="s">
        <v>86</v>
      </c>
      <c r="AC4907" t="s">
        <v>87</v>
      </c>
    </row>
    <row r="4908" spans="1:29" x14ac:dyDescent="0.35">
      <c r="A4908" s="7">
        <v>42937</v>
      </c>
      <c r="B4908" t="s">
        <v>30</v>
      </c>
      <c r="C4908">
        <v>501</v>
      </c>
      <c r="D4908">
        <v>1</v>
      </c>
      <c r="E4908">
        <v>1</v>
      </c>
      <c r="F4908" t="s">
        <v>1020</v>
      </c>
      <c r="G4908" t="s">
        <v>32</v>
      </c>
      <c r="H4908" t="s">
        <v>33</v>
      </c>
      <c r="I4908" t="s">
        <v>59</v>
      </c>
      <c r="AB4908" t="s">
        <v>86</v>
      </c>
      <c r="AC4908" t="s">
        <v>87</v>
      </c>
    </row>
    <row r="4909" spans="1:29" x14ac:dyDescent="0.35">
      <c r="A4909" s="7">
        <v>42937</v>
      </c>
      <c r="B4909" t="s">
        <v>30</v>
      </c>
      <c r="C4909">
        <v>501</v>
      </c>
      <c r="D4909">
        <v>2</v>
      </c>
      <c r="E4909">
        <v>1</v>
      </c>
      <c r="F4909" t="s">
        <v>1020</v>
      </c>
      <c r="G4909" t="s">
        <v>32</v>
      </c>
      <c r="H4909" t="s">
        <v>33</v>
      </c>
      <c r="I4909" t="s">
        <v>59</v>
      </c>
      <c r="AB4909" t="s">
        <v>86</v>
      </c>
      <c r="AC4909" t="s">
        <v>87</v>
      </c>
    </row>
    <row r="4910" spans="1:29" x14ac:dyDescent="0.35">
      <c r="A4910" s="7">
        <v>42937</v>
      </c>
      <c r="B4910" t="s">
        <v>30</v>
      </c>
      <c r="C4910">
        <v>501</v>
      </c>
      <c r="D4910">
        <v>3</v>
      </c>
      <c r="E4910">
        <v>1</v>
      </c>
      <c r="F4910" t="s">
        <v>1020</v>
      </c>
      <c r="G4910" t="s">
        <v>32</v>
      </c>
      <c r="H4910" t="s">
        <v>33</v>
      </c>
      <c r="I4910" t="s">
        <v>43</v>
      </c>
      <c r="J4910" t="s">
        <v>44</v>
      </c>
      <c r="K4910" t="s">
        <v>36</v>
      </c>
      <c r="L4910" t="s">
        <v>45</v>
      </c>
      <c r="M4910">
        <v>0</v>
      </c>
      <c r="N4910">
        <v>0</v>
      </c>
      <c r="O4910">
        <v>39491</v>
      </c>
      <c r="P4910">
        <v>39490</v>
      </c>
      <c r="Q4910">
        <f>34-14</f>
        <v>20</v>
      </c>
      <c r="R4910" t="s">
        <v>1021</v>
      </c>
      <c r="S4910" t="s">
        <v>102</v>
      </c>
      <c r="AB4910" t="s">
        <v>86</v>
      </c>
      <c r="AC4910" t="s">
        <v>87</v>
      </c>
    </row>
    <row r="4911" spans="1:29" x14ac:dyDescent="0.35">
      <c r="A4911" s="7">
        <v>42937</v>
      </c>
      <c r="B4911" t="s">
        <v>30</v>
      </c>
      <c r="C4911">
        <v>501</v>
      </c>
      <c r="D4911">
        <v>7</v>
      </c>
      <c r="E4911">
        <v>1</v>
      </c>
      <c r="F4911" t="s">
        <v>1020</v>
      </c>
      <c r="G4911" t="s">
        <v>32</v>
      </c>
      <c r="H4911" t="s">
        <v>33</v>
      </c>
      <c r="I4911" t="s">
        <v>59</v>
      </c>
      <c r="AB4911" t="s">
        <v>86</v>
      </c>
      <c r="AC4911" t="s">
        <v>87</v>
      </c>
    </row>
    <row r="4912" spans="1:29" x14ac:dyDescent="0.35">
      <c r="A4912" s="7">
        <v>42937</v>
      </c>
      <c r="B4912" t="s">
        <v>30</v>
      </c>
      <c r="C4912">
        <v>501</v>
      </c>
      <c r="D4912">
        <v>8</v>
      </c>
      <c r="E4912">
        <v>1</v>
      </c>
      <c r="F4912" t="s">
        <v>1020</v>
      </c>
      <c r="G4912" t="s">
        <v>32</v>
      </c>
      <c r="H4912" t="s">
        <v>33</v>
      </c>
      <c r="I4912" t="s">
        <v>59</v>
      </c>
      <c r="AB4912" t="s">
        <v>86</v>
      </c>
      <c r="AC4912" t="s">
        <v>87</v>
      </c>
    </row>
    <row r="4913" spans="1:29" x14ac:dyDescent="0.35">
      <c r="A4913" s="7">
        <v>42937</v>
      </c>
      <c r="B4913" t="s">
        <v>30</v>
      </c>
      <c r="C4913">
        <v>501</v>
      </c>
      <c r="D4913">
        <v>9</v>
      </c>
      <c r="E4913">
        <v>1</v>
      </c>
      <c r="F4913" t="s">
        <v>1020</v>
      </c>
      <c r="G4913" t="s">
        <v>32</v>
      </c>
      <c r="H4913" t="s">
        <v>33</v>
      </c>
      <c r="I4913" t="s">
        <v>59</v>
      </c>
      <c r="AB4913" t="s">
        <v>86</v>
      </c>
      <c r="AC4913" t="s">
        <v>87</v>
      </c>
    </row>
    <row r="4914" spans="1:29" x14ac:dyDescent="0.35">
      <c r="A4914" s="7">
        <v>42937</v>
      </c>
      <c r="B4914" t="s">
        <v>30</v>
      </c>
      <c r="C4914">
        <v>501</v>
      </c>
      <c r="D4914">
        <v>10</v>
      </c>
      <c r="E4914">
        <v>1</v>
      </c>
      <c r="F4914" t="s">
        <v>1020</v>
      </c>
      <c r="G4914" t="s">
        <v>32</v>
      </c>
      <c r="H4914" t="s">
        <v>33</v>
      </c>
      <c r="I4914" t="s">
        <v>59</v>
      </c>
      <c r="AB4914" t="s">
        <v>86</v>
      </c>
      <c r="AC4914" t="s">
        <v>87</v>
      </c>
    </row>
    <row r="4915" spans="1:29" x14ac:dyDescent="0.35">
      <c r="A4915" s="7">
        <v>42937</v>
      </c>
      <c r="B4915" t="s">
        <v>30</v>
      </c>
      <c r="C4915">
        <v>503</v>
      </c>
      <c r="D4915">
        <v>1</v>
      </c>
      <c r="E4915">
        <v>1</v>
      </c>
      <c r="F4915" t="s">
        <v>1020</v>
      </c>
      <c r="G4915" t="s">
        <v>32</v>
      </c>
      <c r="H4915" t="s">
        <v>33</v>
      </c>
      <c r="I4915" t="s">
        <v>72</v>
      </c>
      <c r="J4915" t="s">
        <v>56</v>
      </c>
      <c r="AB4915" t="s">
        <v>86</v>
      </c>
      <c r="AC4915" t="s">
        <v>87</v>
      </c>
    </row>
    <row r="4916" spans="1:29" x14ac:dyDescent="0.35">
      <c r="A4916" s="7">
        <v>42937</v>
      </c>
      <c r="B4916" t="s">
        <v>30</v>
      </c>
      <c r="C4916">
        <v>503</v>
      </c>
      <c r="D4916">
        <v>1</v>
      </c>
      <c r="E4916">
        <v>2</v>
      </c>
      <c r="F4916" t="s">
        <v>1020</v>
      </c>
      <c r="G4916" t="s">
        <v>32</v>
      </c>
      <c r="H4916" t="s">
        <v>33</v>
      </c>
      <c r="I4916" t="s">
        <v>59</v>
      </c>
      <c r="AB4916" t="s">
        <v>86</v>
      </c>
      <c r="AC4916" t="s">
        <v>87</v>
      </c>
    </row>
    <row r="4917" spans="1:29" x14ac:dyDescent="0.35">
      <c r="A4917" s="7">
        <v>42937</v>
      </c>
      <c r="B4917" t="s">
        <v>30</v>
      </c>
      <c r="C4917">
        <v>503</v>
      </c>
      <c r="D4917">
        <v>2</v>
      </c>
      <c r="E4917">
        <v>1</v>
      </c>
      <c r="F4917" t="s">
        <v>1020</v>
      </c>
      <c r="G4917" t="s">
        <v>32</v>
      </c>
      <c r="H4917" t="s">
        <v>33</v>
      </c>
      <c r="I4917" t="s">
        <v>59</v>
      </c>
      <c r="AB4917" t="s">
        <v>86</v>
      </c>
      <c r="AC4917" t="s">
        <v>87</v>
      </c>
    </row>
    <row r="4918" spans="1:29" x14ac:dyDescent="0.35">
      <c r="A4918" s="7">
        <v>42937</v>
      </c>
      <c r="B4918" t="s">
        <v>30</v>
      </c>
      <c r="C4918">
        <v>503</v>
      </c>
      <c r="D4918">
        <v>2</v>
      </c>
      <c r="E4918">
        <v>2</v>
      </c>
      <c r="F4918" t="s">
        <v>1020</v>
      </c>
      <c r="G4918" t="s">
        <v>32</v>
      </c>
      <c r="H4918" t="s">
        <v>33</v>
      </c>
      <c r="I4918" t="s">
        <v>43</v>
      </c>
      <c r="J4918" t="s">
        <v>44</v>
      </c>
      <c r="K4918" t="s">
        <v>113</v>
      </c>
      <c r="L4918" t="s">
        <v>45</v>
      </c>
      <c r="M4918">
        <v>0</v>
      </c>
      <c r="N4918">
        <v>0</v>
      </c>
      <c r="O4918">
        <v>39314</v>
      </c>
      <c r="P4918">
        <v>39315</v>
      </c>
      <c r="Q4918">
        <f>35-14</f>
        <v>21</v>
      </c>
      <c r="R4918" t="s">
        <v>79</v>
      </c>
      <c r="S4918" t="s">
        <v>39</v>
      </c>
      <c r="AB4918" t="s">
        <v>86</v>
      </c>
      <c r="AC4918" t="s">
        <v>87</v>
      </c>
    </row>
    <row r="4919" spans="1:29" x14ac:dyDescent="0.35">
      <c r="A4919" s="7">
        <v>42937</v>
      </c>
      <c r="B4919" t="s">
        <v>30</v>
      </c>
      <c r="C4919">
        <v>503</v>
      </c>
      <c r="D4919">
        <v>3</v>
      </c>
      <c r="E4919">
        <v>1</v>
      </c>
      <c r="F4919" t="s">
        <v>1020</v>
      </c>
      <c r="G4919" t="s">
        <v>32</v>
      </c>
      <c r="H4919" t="s">
        <v>33</v>
      </c>
      <c r="I4919" t="s">
        <v>59</v>
      </c>
      <c r="AB4919" t="s">
        <v>86</v>
      </c>
      <c r="AC4919" t="s">
        <v>87</v>
      </c>
    </row>
    <row r="4920" spans="1:29" x14ac:dyDescent="0.35">
      <c r="A4920" s="7">
        <v>42937</v>
      </c>
      <c r="B4920" t="s">
        <v>30</v>
      </c>
      <c r="C4920">
        <v>503</v>
      </c>
      <c r="D4920">
        <v>3</v>
      </c>
      <c r="E4920">
        <v>2</v>
      </c>
      <c r="F4920" t="s">
        <v>1020</v>
      </c>
      <c r="G4920" t="s">
        <v>32</v>
      </c>
      <c r="H4920" t="s">
        <v>33</v>
      </c>
      <c r="I4920" t="s">
        <v>59</v>
      </c>
      <c r="AB4920" t="s">
        <v>86</v>
      </c>
      <c r="AC4920" t="s">
        <v>87</v>
      </c>
    </row>
    <row r="4921" spans="1:29" x14ac:dyDescent="0.35">
      <c r="A4921" s="7">
        <v>42937</v>
      </c>
      <c r="B4921" t="s">
        <v>30</v>
      </c>
      <c r="C4921">
        <v>503</v>
      </c>
      <c r="D4921">
        <v>4</v>
      </c>
      <c r="E4921">
        <v>1</v>
      </c>
      <c r="F4921" t="s">
        <v>1020</v>
      </c>
      <c r="G4921" t="s">
        <v>32</v>
      </c>
      <c r="H4921" t="s">
        <v>33</v>
      </c>
      <c r="I4921" t="s">
        <v>59</v>
      </c>
      <c r="AB4921" t="s">
        <v>86</v>
      </c>
      <c r="AC4921" t="s">
        <v>87</v>
      </c>
    </row>
    <row r="4922" spans="1:29" x14ac:dyDescent="0.35">
      <c r="A4922" s="7">
        <v>42937</v>
      </c>
      <c r="B4922" t="s">
        <v>30</v>
      </c>
      <c r="C4922">
        <v>503</v>
      </c>
      <c r="D4922">
        <v>4</v>
      </c>
      <c r="E4922">
        <v>2</v>
      </c>
      <c r="F4922" t="s">
        <v>1020</v>
      </c>
      <c r="G4922" t="s">
        <v>32</v>
      </c>
      <c r="H4922" t="s">
        <v>33</v>
      </c>
      <c r="I4922" t="s">
        <v>59</v>
      </c>
      <c r="AB4922" t="s">
        <v>86</v>
      </c>
      <c r="AC4922" t="s">
        <v>87</v>
      </c>
    </row>
    <row r="4923" spans="1:29" x14ac:dyDescent="0.35">
      <c r="A4923" s="7">
        <v>42937</v>
      </c>
      <c r="B4923" t="s">
        <v>30</v>
      </c>
      <c r="C4923">
        <v>503</v>
      </c>
      <c r="D4923">
        <v>5</v>
      </c>
      <c r="E4923">
        <v>1</v>
      </c>
      <c r="F4923" t="s">
        <v>1020</v>
      </c>
      <c r="G4923" t="s">
        <v>32</v>
      </c>
      <c r="H4923" t="s">
        <v>33</v>
      </c>
      <c r="I4923" t="s">
        <v>59</v>
      </c>
      <c r="AB4923" t="s">
        <v>86</v>
      </c>
      <c r="AC4923" t="s">
        <v>87</v>
      </c>
    </row>
    <row r="4924" spans="1:29" x14ac:dyDescent="0.35">
      <c r="A4924" s="7">
        <v>42937</v>
      </c>
      <c r="B4924" t="s">
        <v>30</v>
      </c>
      <c r="C4924">
        <v>503</v>
      </c>
      <c r="D4924">
        <v>5</v>
      </c>
      <c r="E4924">
        <v>2</v>
      </c>
      <c r="F4924" t="s">
        <v>1020</v>
      </c>
      <c r="G4924" t="s">
        <v>32</v>
      </c>
      <c r="H4924" t="s">
        <v>33</v>
      </c>
      <c r="I4924" t="s">
        <v>43</v>
      </c>
      <c r="J4924" t="s">
        <v>44</v>
      </c>
      <c r="K4924" t="s">
        <v>36</v>
      </c>
      <c r="L4924" t="s">
        <v>45</v>
      </c>
      <c r="M4924">
        <v>0</v>
      </c>
      <c r="N4924">
        <v>0</v>
      </c>
      <c r="O4924">
        <v>39158</v>
      </c>
      <c r="P4924">
        <v>39157</v>
      </c>
      <c r="Q4924">
        <f>35-15</f>
        <v>20</v>
      </c>
      <c r="R4924" t="s">
        <v>1021</v>
      </c>
      <c r="S4924" t="s">
        <v>102</v>
      </c>
      <c r="AB4924" t="s">
        <v>86</v>
      </c>
      <c r="AC4924" t="s">
        <v>87</v>
      </c>
    </row>
    <row r="4925" spans="1:29" x14ac:dyDescent="0.35">
      <c r="A4925" s="7">
        <v>42937</v>
      </c>
      <c r="B4925" t="s">
        <v>30</v>
      </c>
      <c r="C4925">
        <v>503</v>
      </c>
      <c r="D4925">
        <v>6</v>
      </c>
      <c r="E4925">
        <v>1</v>
      </c>
      <c r="F4925" t="s">
        <v>1020</v>
      </c>
      <c r="G4925" t="s">
        <v>32</v>
      </c>
      <c r="H4925" t="s">
        <v>33</v>
      </c>
      <c r="I4925" t="s">
        <v>59</v>
      </c>
      <c r="AB4925" t="s">
        <v>86</v>
      </c>
      <c r="AC4925" t="s">
        <v>87</v>
      </c>
    </row>
    <row r="4926" spans="1:29" x14ac:dyDescent="0.35">
      <c r="A4926" s="7">
        <v>42937</v>
      </c>
      <c r="B4926" t="s">
        <v>30</v>
      </c>
      <c r="C4926">
        <v>503</v>
      </c>
      <c r="D4926">
        <v>6</v>
      </c>
      <c r="E4926">
        <v>2</v>
      </c>
      <c r="F4926" t="s">
        <v>1020</v>
      </c>
      <c r="G4926" t="s">
        <v>32</v>
      </c>
      <c r="H4926" t="s">
        <v>33</v>
      </c>
      <c r="I4926" t="s">
        <v>94</v>
      </c>
      <c r="J4926" t="s">
        <v>44</v>
      </c>
      <c r="K4926" t="s">
        <v>36</v>
      </c>
      <c r="L4926" t="s">
        <v>37</v>
      </c>
      <c r="M4926">
        <v>0</v>
      </c>
      <c r="N4926">
        <v>0</v>
      </c>
      <c r="O4926">
        <v>39497</v>
      </c>
      <c r="Q4926">
        <f>36-13</f>
        <v>23</v>
      </c>
      <c r="R4926" t="s">
        <v>38</v>
      </c>
      <c r="AB4926" t="s">
        <v>86</v>
      </c>
      <c r="AC4926" t="s">
        <v>87</v>
      </c>
    </row>
    <row r="4927" spans="1:29" x14ac:dyDescent="0.35">
      <c r="A4927" s="7">
        <v>42937</v>
      </c>
      <c r="B4927" t="s">
        <v>30</v>
      </c>
      <c r="C4927">
        <v>503</v>
      </c>
      <c r="D4927">
        <v>7</v>
      </c>
      <c r="E4927">
        <v>1</v>
      </c>
      <c r="F4927" t="s">
        <v>1020</v>
      </c>
      <c r="G4927" t="s">
        <v>32</v>
      </c>
      <c r="H4927" t="s">
        <v>33</v>
      </c>
      <c r="I4927" t="s">
        <v>94</v>
      </c>
      <c r="J4927" t="s">
        <v>44</v>
      </c>
      <c r="K4927" t="s">
        <v>36</v>
      </c>
      <c r="L4927" t="s">
        <v>37</v>
      </c>
      <c r="M4927">
        <v>0</v>
      </c>
      <c r="N4927">
        <v>0</v>
      </c>
      <c r="O4927">
        <v>39328</v>
      </c>
      <c r="Q4927">
        <f>34-14</f>
        <v>20</v>
      </c>
      <c r="R4927" t="s">
        <v>38</v>
      </c>
      <c r="AB4927" t="s">
        <v>86</v>
      </c>
      <c r="AC4927" t="s">
        <v>87</v>
      </c>
    </row>
    <row r="4928" spans="1:29" x14ac:dyDescent="0.35">
      <c r="A4928" s="7">
        <v>42937</v>
      </c>
      <c r="B4928" t="s">
        <v>30</v>
      </c>
      <c r="C4928">
        <v>503</v>
      </c>
      <c r="D4928">
        <v>7</v>
      </c>
      <c r="E4928">
        <v>2</v>
      </c>
      <c r="F4928" t="s">
        <v>1020</v>
      </c>
      <c r="G4928" t="s">
        <v>32</v>
      </c>
      <c r="H4928" t="s">
        <v>33</v>
      </c>
      <c r="I4928" t="s">
        <v>72</v>
      </c>
      <c r="J4928" t="s">
        <v>56</v>
      </c>
      <c r="AB4928" t="s">
        <v>86</v>
      </c>
      <c r="AC4928" t="s">
        <v>87</v>
      </c>
    </row>
    <row r="4929" spans="1:29" x14ac:dyDescent="0.35">
      <c r="A4929" s="7">
        <v>42937</v>
      </c>
      <c r="B4929" t="s">
        <v>30</v>
      </c>
      <c r="C4929">
        <v>503</v>
      </c>
      <c r="D4929">
        <v>8</v>
      </c>
      <c r="E4929">
        <v>1</v>
      </c>
      <c r="F4929" t="s">
        <v>1020</v>
      </c>
      <c r="G4929" t="s">
        <v>32</v>
      </c>
      <c r="H4929" t="s">
        <v>33</v>
      </c>
      <c r="I4929" t="s">
        <v>59</v>
      </c>
      <c r="AB4929" t="s">
        <v>86</v>
      </c>
      <c r="AC4929" t="s">
        <v>87</v>
      </c>
    </row>
    <row r="4930" spans="1:29" x14ac:dyDescent="0.35">
      <c r="A4930" s="7">
        <v>42937</v>
      </c>
      <c r="B4930" t="s">
        <v>30</v>
      </c>
      <c r="C4930">
        <v>503</v>
      </c>
      <c r="D4930">
        <v>8</v>
      </c>
      <c r="E4930">
        <v>2</v>
      </c>
      <c r="F4930" t="s">
        <v>1020</v>
      </c>
      <c r="G4930" t="s">
        <v>32</v>
      </c>
      <c r="H4930" t="s">
        <v>33</v>
      </c>
      <c r="I4930" t="s">
        <v>59</v>
      </c>
      <c r="AB4930" t="s">
        <v>86</v>
      </c>
      <c r="AC4930" t="s">
        <v>87</v>
      </c>
    </row>
    <row r="4931" spans="1:29" x14ac:dyDescent="0.35">
      <c r="A4931" s="7">
        <v>42937</v>
      </c>
      <c r="B4931" t="s">
        <v>30</v>
      </c>
      <c r="C4931">
        <v>503</v>
      </c>
      <c r="D4931">
        <v>9</v>
      </c>
      <c r="E4931">
        <v>1</v>
      </c>
      <c r="F4931" t="s">
        <v>1020</v>
      </c>
      <c r="G4931" t="s">
        <v>32</v>
      </c>
      <c r="H4931" t="s">
        <v>33</v>
      </c>
      <c r="I4931" t="s">
        <v>94</v>
      </c>
      <c r="J4931" t="s">
        <v>44</v>
      </c>
      <c r="K4931" t="s">
        <v>36</v>
      </c>
      <c r="L4931" t="s">
        <v>45</v>
      </c>
      <c r="M4931">
        <v>0</v>
      </c>
      <c r="N4931">
        <v>0</v>
      </c>
      <c r="O4931">
        <v>39498</v>
      </c>
      <c r="Q4931">
        <f>35-14</f>
        <v>21</v>
      </c>
      <c r="R4931" t="s">
        <v>1021</v>
      </c>
      <c r="S4931" t="s">
        <v>102</v>
      </c>
      <c r="AB4931" t="s">
        <v>86</v>
      </c>
      <c r="AC4931" t="s">
        <v>87</v>
      </c>
    </row>
    <row r="4932" spans="1:29" x14ac:dyDescent="0.35">
      <c r="A4932" s="7">
        <v>42937</v>
      </c>
      <c r="B4932" t="s">
        <v>30</v>
      </c>
      <c r="C4932">
        <v>503</v>
      </c>
      <c r="D4932">
        <v>9</v>
      </c>
      <c r="E4932">
        <v>2</v>
      </c>
      <c r="F4932" t="s">
        <v>1020</v>
      </c>
      <c r="G4932" t="s">
        <v>32</v>
      </c>
      <c r="H4932" t="s">
        <v>33</v>
      </c>
      <c r="I4932" t="s">
        <v>59</v>
      </c>
      <c r="AB4932" t="s">
        <v>86</v>
      </c>
      <c r="AC4932" t="s">
        <v>87</v>
      </c>
    </row>
    <row r="4933" spans="1:29" x14ac:dyDescent="0.35">
      <c r="A4933" s="7">
        <v>42937</v>
      </c>
      <c r="B4933" t="s">
        <v>30</v>
      </c>
      <c r="C4933">
        <v>503</v>
      </c>
      <c r="D4933">
        <v>10</v>
      </c>
      <c r="E4933">
        <v>1</v>
      </c>
      <c r="F4933" t="s">
        <v>1020</v>
      </c>
      <c r="G4933" t="s">
        <v>32</v>
      </c>
      <c r="H4933" t="s">
        <v>33</v>
      </c>
      <c r="I4933" t="s">
        <v>59</v>
      </c>
      <c r="AB4933" t="s">
        <v>86</v>
      </c>
      <c r="AC4933" t="s">
        <v>87</v>
      </c>
    </row>
    <row r="4934" spans="1:29" x14ac:dyDescent="0.35">
      <c r="A4934" s="7">
        <v>42937</v>
      </c>
      <c r="B4934" t="s">
        <v>30</v>
      </c>
      <c r="C4934">
        <v>503</v>
      </c>
      <c r="D4934">
        <v>10</v>
      </c>
      <c r="E4934">
        <v>2</v>
      </c>
      <c r="F4934" t="s">
        <v>1020</v>
      </c>
      <c r="G4934" t="s">
        <v>32</v>
      </c>
      <c r="H4934" t="s">
        <v>33</v>
      </c>
      <c r="I4934" t="s">
        <v>59</v>
      </c>
      <c r="AB4934" t="s">
        <v>86</v>
      </c>
      <c r="AC4934" t="s">
        <v>87</v>
      </c>
    </row>
    <row r="4935" spans="1:29" x14ac:dyDescent="0.35">
      <c r="A4935" s="7">
        <v>42937</v>
      </c>
      <c r="B4935" t="s">
        <v>30</v>
      </c>
      <c r="C4935">
        <v>701</v>
      </c>
      <c r="D4935">
        <v>1</v>
      </c>
      <c r="E4935">
        <v>1</v>
      </c>
      <c r="F4935" t="s">
        <v>315</v>
      </c>
      <c r="G4935" t="s">
        <v>32</v>
      </c>
      <c r="H4935" t="s">
        <v>33</v>
      </c>
      <c r="I4935" t="s">
        <v>43</v>
      </c>
      <c r="J4935" t="s">
        <v>44</v>
      </c>
      <c r="K4935" t="s">
        <v>36</v>
      </c>
      <c r="L4935" t="s">
        <v>37</v>
      </c>
      <c r="M4935">
        <v>0</v>
      </c>
      <c r="N4935">
        <v>0</v>
      </c>
      <c r="O4935">
        <v>39552</v>
      </c>
      <c r="P4935">
        <v>39551</v>
      </c>
      <c r="Q4935">
        <f>32-14</f>
        <v>18</v>
      </c>
      <c r="R4935" t="s">
        <v>38</v>
      </c>
      <c r="AB4935" t="s">
        <v>86</v>
      </c>
      <c r="AC4935" t="s">
        <v>87</v>
      </c>
    </row>
    <row r="4936" spans="1:29" x14ac:dyDescent="0.35">
      <c r="A4936" s="7">
        <v>42937</v>
      </c>
      <c r="B4936" t="s">
        <v>30</v>
      </c>
      <c r="C4936">
        <v>701</v>
      </c>
      <c r="D4936">
        <v>2</v>
      </c>
      <c r="E4936">
        <v>1</v>
      </c>
      <c r="F4936" t="s">
        <v>315</v>
      </c>
      <c r="G4936" t="s">
        <v>32</v>
      </c>
      <c r="H4936" t="s">
        <v>33</v>
      </c>
      <c r="I4936" t="s">
        <v>59</v>
      </c>
      <c r="AB4936" t="s">
        <v>86</v>
      </c>
      <c r="AC4936" t="s">
        <v>87</v>
      </c>
    </row>
    <row r="4937" spans="1:29" x14ac:dyDescent="0.35">
      <c r="A4937" s="7">
        <v>42937</v>
      </c>
      <c r="B4937" t="s">
        <v>30</v>
      </c>
      <c r="C4937">
        <v>701</v>
      </c>
      <c r="D4937">
        <v>3</v>
      </c>
      <c r="E4937">
        <v>1</v>
      </c>
      <c r="F4937" t="s">
        <v>315</v>
      </c>
      <c r="G4937" t="s">
        <v>32</v>
      </c>
      <c r="H4937" t="s">
        <v>33</v>
      </c>
      <c r="I4937" t="s">
        <v>58</v>
      </c>
      <c r="J4937" t="s">
        <v>35</v>
      </c>
      <c r="K4937" t="s">
        <v>36</v>
      </c>
      <c r="L4937" t="s">
        <v>45</v>
      </c>
      <c r="M4937">
        <v>0</v>
      </c>
      <c r="N4937">
        <v>1</v>
      </c>
      <c r="O4937">
        <v>39739</v>
      </c>
      <c r="Q4937">
        <f>41.5-13</f>
        <v>28.5</v>
      </c>
      <c r="R4937" t="s">
        <v>77</v>
      </c>
      <c r="S4937" t="s">
        <v>39</v>
      </c>
      <c r="Z4937" t="s">
        <v>102</v>
      </c>
      <c r="AB4937" t="s">
        <v>86</v>
      </c>
      <c r="AC4937" t="s">
        <v>87</v>
      </c>
    </row>
    <row r="4938" spans="1:29" x14ac:dyDescent="0.35">
      <c r="A4938" s="7">
        <v>42937</v>
      </c>
      <c r="B4938" t="s">
        <v>30</v>
      </c>
      <c r="C4938">
        <v>701</v>
      </c>
      <c r="D4938">
        <v>6</v>
      </c>
      <c r="E4938">
        <v>1</v>
      </c>
      <c r="F4938" t="s">
        <v>315</v>
      </c>
      <c r="G4938" t="s">
        <v>32</v>
      </c>
      <c r="H4938" t="s">
        <v>33</v>
      </c>
      <c r="I4938" t="s">
        <v>94</v>
      </c>
      <c r="J4938" t="s">
        <v>44</v>
      </c>
      <c r="K4938" t="s">
        <v>36</v>
      </c>
      <c r="L4938" t="s">
        <v>45</v>
      </c>
      <c r="M4938">
        <v>0</v>
      </c>
      <c r="N4938">
        <v>0</v>
      </c>
      <c r="O4938">
        <v>39166</v>
      </c>
      <c r="Q4938">
        <f>37-14.5</f>
        <v>22.5</v>
      </c>
      <c r="R4938" t="s">
        <v>79</v>
      </c>
      <c r="AB4938" t="s">
        <v>86</v>
      </c>
      <c r="AC4938" t="s">
        <v>87</v>
      </c>
    </row>
    <row r="4939" spans="1:29" x14ac:dyDescent="0.35">
      <c r="A4939" s="7">
        <v>42937</v>
      </c>
      <c r="B4939" t="s">
        <v>30</v>
      </c>
      <c r="C4939">
        <v>701</v>
      </c>
      <c r="D4939">
        <v>6</v>
      </c>
      <c r="E4939">
        <v>2</v>
      </c>
      <c r="F4939" t="s">
        <v>315</v>
      </c>
      <c r="G4939" t="s">
        <v>32</v>
      </c>
      <c r="H4939" t="s">
        <v>33</v>
      </c>
      <c r="I4939" t="s">
        <v>59</v>
      </c>
      <c r="AB4939" t="s">
        <v>86</v>
      </c>
      <c r="AC4939" t="s">
        <v>87</v>
      </c>
    </row>
    <row r="4940" spans="1:29" x14ac:dyDescent="0.35">
      <c r="A4940" s="7">
        <v>42937</v>
      </c>
      <c r="B4940" t="s">
        <v>30</v>
      </c>
      <c r="C4940">
        <v>701</v>
      </c>
      <c r="D4940">
        <v>7</v>
      </c>
      <c r="E4940">
        <v>1</v>
      </c>
      <c r="F4940" t="s">
        <v>315</v>
      </c>
      <c r="G4940" t="s">
        <v>32</v>
      </c>
      <c r="H4940" t="s">
        <v>33</v>
      </c>
      <c r="I4940" t="s">
        <v>58</v>
      </c>
      <c r="J4940" t="s">
        <v>44</v>
      </c>
      <c r="K4940" t="s">
        <v>36</v>
      </c>
      <c r="L4940" t="s">
        <v>45</v>
      </c>
      <c r="M4940">
        <v>0</v>
      </c>
      <c r="N4940">
        <v>0</v>
      </c>
      <c r="O4940">
        <v>39355</v>
      </c>
      <c r="Q4940">
        <f>37-15</f>
        <v>22</v>
      </c>
      <c r="R4940" t="s">
        <v>79</v>
      </c>
      <c r="S4940" t="s">
        <v>39</v>
      </c>
      <c r="Z4940" t="s">
        <v>102</v>
      </c>
      <c r="AB4940" t="s">
        <v>86</v>
      </c>
      <c r="AC4940" t="s">
        <v>87</v>
      </c>
    </row>
    <row r="4941" spans="1:29" x14ac:dyDescent="0.35">
      <c r="A4941" s="7">
        <v>42937</v>
      </c>
      <c r="B4941" t="s">
        <v>30</v>
      </c>
      <c r="C4941">
        <v>701</v>
      </c>
      <c r="D4941">
        <v>7</v>
      </c>
      <c r="E4941">
        <v>2</v>
      </c>
      <c r="F4941" t="s">
        <v>315</v>
      </c>
      <c r="G4941" t="s">
        <v>32</v>
      </c>
      <c r="H4941" t="s">
        <v>33</v>
      </c>
      <c r="I4941" t="s">
        <v>1029</v>
      </c>
      <c r="J4941" t="s">
        <v>66</v>
      </c>
      <c r="AB4941" t="s">
        <v>86</v>
      </c>
      <c r="AC4941" t="s">
        <v>87</v>
      </c>
    </row>
    <row r="4942" spans="1:29" x14ac:dyDescent="0.35">
      <c r="A4942" s="7">
        <v>42937</v>
      </c>
      <c r="B4942" t="s">
        <v>30</v>
      </c>
      <c r="C4942">
        <v>701</v>
      </c>
      <c r="D4942">
        <v>8</v>
      </c>
      <c r="E4942">
        <v>1</v>
      </c>
      <c r="F4942" t="s">
        <v>315</v>
      </c>
      <c r="G4942" t="s">
        <v>32</v>
      </c>
      <c r="H4942" t="s">
        <v>33</v>
      </c>
      <c r="I4942" t="s">
        <v>94</v>
      </c>
      <c r="J4942" t="s">
        <v>44</v>
      </c>
      <c r="K4942" t="s">
        <v>36</v>
      </c>
      <c r="L4942" t="s">
        <v>45</v>
      </c>
      <c r="M4942">
        <v>0</v>
      </c>
      <c r="N4942">
        <v>0</v>
      </c>
      <c r="O4942">
        <v>2946</v>
      </c>
      <c r="Q4942">
        <f>36-13.5</f>
        <v>22.5</v>
      </c>
      <c r="R4942" t="s">
        <v>1028</v>
      </c>
      <c r="S4942" t="s">
        <v>102</v>
      </c>
      <c r="Z4942" t="s">
        <v>102</v>
      </c>
      <c r="AB4942" t="s">
        <v>86</v>
      </c>
      <c r="AC4942" t="s">
        <v>87</v>
      </c>
    </row>
    <row r="4943" spans="1:29" x14ac:dyDescent="0.35">
      <c r="A4943" s="7">
        <v>42937</v>
      </c>
      <c r="B4943" t="s">
        <v>30</v>
      </c>
      <c r="C4943">
        <v>701</v>
      </c>
      <c r="D4943">
        <v>9</v>
      </c>
      <c r="E4943">
        <v>1</v>
      </c>
      <c r="F4943" t="s">
        <v>315</v>
      </c>
      <c r="G4943" t="s">
        <v>32</v>
      </c>
      <c r="H4943" t="s">
        <v>33</v>
      </c>
      <c r="I4943" t="s">
        <v>59</v>
      </c>
      <c r="AB4943" t="s">
        <v>86</v>
      </c>
      <c r="AC4943" t="s">
        <v>87</v>
      </c>
    </row>
    <row r="4944" spans="1:29" x14ac:dyDescent="0.35">
      <c r="A4944" s="7">
        <v>42937</v>
      </c>
      <c r="B4944" t="s">
        <v>30</v>
      </c>
      <c r="C4944">
        <v>701</v>
      </c>
      <c r="D4944">
        <v>9</v>
      </c>
      <c r="E4944">
        <v>2</v>
      </c>
      <c r="F4944" t="s">
        <v>315</v>
      </c>
      <c r="G4944" t="s">
        <v>32</v>
      </c>
      <c r="H4944" t="s">
        <v>33</v>
      </c>
      <c r="I4944" t="s">
        <v>59</v>
      </c>
      <c r="AB4944" t="s">
        <v>86</v>
      </c>
      <c r="AC4944" t="s">
        <v>87</v>
      </c>
    </row>
    <row r="4945" spans="1:29" x14ac:dyDescent="0.35">
      <c r="A4945" s="7">
        <v>42937</v>
      </c>
      <c r="B4945" t="s">
        <v>30</v>
      </c>
      <c r="C4945">
        <v>701</v>
      </c>
      <c r="D4945">
        <v>10</v>
      </c>
      <c r="E4945">
        <v>1</v>
      </c>
      <c r="F4945" t="s">
        <v>315</v>
      </c>
      <c r="G4945" t="s">
        <v>32</v>
      </c>
      <c r="H4945" t="s">
        <v>33</v>
      </c>
      <c r="I4945" t="s">
        <v>59</v>
      </c>
      <c r="AB4945" t="s">
        <v>86</v>
      </c>
      <c r="AC4945" t="s">
        <v>87</v>
      </c>
    </row>
    <row r="4946" spans="1:29" x14ac:dyDescent="0.35">
      <c r="A4946" s="7">
        <v>42937</v>
      </c>
      <c r="B4946" t="s">
        <v>30</v>
      </c>
      <c r="C4946">
        <v>701</v>
      </c>
      <c r="D4946">
        <v>10</v>
      </c>
      <c r="E4946">
        <v>2</v>
      </c>
      <c r="F4946" t="s">
        <v>315</v>
      </c>
      <c r="G4946" t="s">
        <v>32</v>
      </c>
      <c r="H4946" t="s">
        <v>33</v>
      </c>
      <c r="I4946" t="s">
        <v>59</v>
      </c>
      <c r="AB4946" t="s">
        <v>86</v>
      </c>
      <c r="AC4946" t="s">
        <v>87</v>
      </c>
    </row>
    <row r="4947" spans="1:29" x14ac:dyDescent="0.35">
      <c r="A4947" s="7">
        <v>42937</v>
      </c>
      <c r="B4947" t="s">
        <v>30</v>
      </c>
      <c r="C4947">
        <v>703</v>
      </c>
      <c r="D4947">
        <v>1</v>
      </c>
      <c r="E4947">
        <v>1</v>
      </c>
      <c r="F4947" t="s">
        <v>315</v>
      </c>
      <c r="G4947" t="s">
        <v>32</v>
      </c>
      <c r="H4947" t="s">
        <v>33</v>
      </c>
      <c r="I4947" t="s">
        <v>94</v>
      </c>
      <c r="J4947" t="s">
        <v>44</v>
      </c>
      <c r="K4947" t="s">
        <v>36</v>
      </c>
      <c r="L4947" t="s">
        <v>45</v>
      </c>
      <c r="M4947">
        <v>0</v>
      </c>
      <c r="N4947">
        <v>0</v>
      </c>
      <c r="P4947">
        <v>39759</v>
      </c>
      <c r="Q4947">
        <f>31.5-12.5</f>
        <v>19</v>
      </c>
      <c r="R4947" t="s">
        <v>1021</v>
      </c>
      <c r="S4947" t="s">
        <v>102</v>
      </c>
      <c r="AB4947" t="s">
        <v>86</v>
      </c>
      <c r="AC4947" t="s">
        <v>87</v>
      </c>
    </row>
    <row r="4948" spans="1:29" x14ac:dyDescent="0.35">
      <c r="A4948" s="7">
        <v>42937</v>
      </c>
      <c r="B4948" t="s">
        <v>30</v>
      </c>
      <c r="C4948">
        <v>703</v>
      </c>
      <c r="D4948">
        <v>1</v>
      </c>
      <c r="E4948">
        <v>2</v>
      </c>
      <c r="F4948" t="s">
        <v>315</v>
      </c>
      <c r="G4948" t="s">
        <v>32</v>
      </c>
      <c r="H4948" t="s">
        <v>33</v>
      </c>
      <c r="I4948" t="s">
        <v>94</v>
      </c>
      <c r="J4948" t="s">
        <v>44</v>
      </c>
      <c r="K4948" t="s">
        <v>36</v>
      </c>
      <c r="L4948" t="s">
        <v>45</v>
      </c>
      <c r="M4948">
        <v>0</v>
      </c>
      <c r="N4948">
        <v>0</v>
      </c>
      <c r="O4948">
        <v>39752</v>
      </c>
      <c r="Q4948">
        <f>37-13</f>
        <v>24</v>
      </c>
      <c r="R4948" t="s">
        <v>1021</v>
      </c>
      <c r="S4948" t="s">
        <v>102</v>
      </c>
      <c r="AB4948" t="s">
        <v>86</v>
      </c>
      <c r="AC4948" t="s">
        <v>87</v>
      </c>
    </row>
    <row r="4949" spans="1:29" x14ac:dyDescent="0.35">
      <c r="A4949" s="7">
        <v>42937</v>
      </c>
      <c r="B4949" t="s">
        <v>30</v>
      </c>
      <c r="C4949">
        <v>703</v>
      </c>
      <c r="D4949">
        <v>2</v>
      </c>
      <c r="E4949">
        <v>1</v>
      </c>
      <c r="F4949" t="s">
        <v>315</v>
      </c>
      <c r="G4949" t="s">
        <v>32</v>
      </c>
      <c r="H4949" t="s">
        <v>33</v>
      </c>
      <c r="I4949" t="s">
        <v>43</v>
      </c>
      <c r="J4949" t="s">
        <v>35</v>
      </c>
      <c r="K4949" t="s">
        <v>36</v>
      </c>
      <c r="L4949" t="s">
        <v>37</v>
      </c>
      <c r="M4949">
        <v>0</v>
      </c>
      <c r="N4949">
        <v>1</v>
      </c>
      <c r="O4949">
        <v>39747</v>
      </c>
      <c r="P4949">
        <v>39746</v>
      </c>
      <c r="Q4949">
        <f>32-14</f>
        <v>18</v>
      </c>
      <c r="R4949" t="s">
        <v>38</v>
      </c>
      <c r="AB4949" t="s">
        <v>86</v>
      </c>
      <c r="AC4949" t="s">
        <v>87</v>
      </c>
    </row>
    <row r="4950" spans="1:29" x14ac:dyDescent="0.35">
      <c r="A4950" s="7">
        <v>42937</v>
      </c>
      <c r="B4950" t="s">
        <v>30</v>
      </c>
      <c r="C4950">
        <v>703</v>
      </c>
      <c r="D4950">
        <v>3</v>
      </c>
      <c r="E4950">
        <v>1</v>
      </c>
      <c r="F4950" t="s">
        <v>315</v>
      </c>
      <c r="G4950" t="s">
        <v>32</v>
      </c>
      <c r="H4950" t="s">
        <v>33</v>
      </c>
      <c r="I4950" t="s">
        <v>43</v>
      </c>
      <c r="J4950" t="s">
        <v>44</v>
      </c>
      <c r="K4950" t="s">
        <v>36</v>
      </c>
      <c r="L4950" t="s">
        <v>45</v>
      </c>
      <c r="M4950">
        <v>0</v>
      </c>
      <c r="N4950">
        <v>0</v>
      </c>
      <c r="O4950">
        <v>39771</v>
      </c>
      <c r="P4950">
        <v>39770</v>
      </c>
      <c r="Q4950">
        <f>39-13</f>
        <v>26</v>
      </c>
      <c r="R4950" t="s">
        <v>77</v>
      </c>
      <c r="S4950" t="s">
        <v>39</v>
      </c>
      <c r="Z4950" t="s">
        <v>102</v>
      </c>
      <c r="AB4950" t="s">
        <v>86</v>
      </c>
      <c r="AC4950" t="s">
        <v>87</v>
      </c>
    </row>
    <row r="4951" spans="1:29" x14ac:dyDescent="0.35">
      <c r="A4951" s="7">
        <v>42937</v>
      </c>
      <c r="B4951" t="s">
        <v>30</v>
      </c>
      <c r="C4951">
        <v>703</v>
      </c>
      <c r="D4951">
        <v>4</v>
      </c>
      <c r="E4951">
        <v>1</v>
      </c>
      <c r="F4951" t="s">
        <v>315</v>
      </c>
      <c r="G4951" t="s">
        <v>32</v>
      </c>
      <c r="H4951" t="s">
        <v>33</v>
      </c>
      <c r="I4951" t="s">
        <v>43</v>
      </c>
      <c r="J4951" t="s">
        <v>35</v>
      </c>
      <c r="K4951" t="s">
        <v>113</v>
      </c>
      <c r="L4951" t="s">
        <v>45</v>
      </c>
      <c r="M4951">
        <v>0</v>
      </c>
      <c r="N4951">
        <v>1</v>
      </c>
      <c r="O4951">
        <v>39745</v>
      </c>
      <c r="P4951">
        <v>39744</v>
      </c>
      <c r="Q4951">
        <f>29-14</f>
        <v>15</v>
      </c>
      <c r="R4951" t="s">
        <v>79</v>
      </c>
      <c r="S4951" t="s">
        <v>39</v>
      </c>
      <c r="Z4951" t="s">
        <v>102</v>
      </c>
      <c r="AB4951" t="s">
        <v>86</v>
      </c>
      <c r="AC4951" t="s">
        <v>87</v>
      </c>
    </row>
    <row r="4952" spans="1:29" x14ac:dyDescent="0.35">
      <c r="A4952" s="7">
        <v>42937</v>
      </c>
      <c r="B4952" t="s">
        <v>30</v>
      </c>
      <c r="C4952">
        <v>703</v>
      </c>
      <c r="D4952">
        <v>4</v>
      </c>
      <c r="E4952">
        <v>2</v>
      </c>
      <c r="F4952" t="s">
        <v>315</v>
      </c>
      <c r="G4952" t="s">
        <v>32</v>
      </c>
      <c r="H4952" t="s">
        <v>33</v>
      </c>
      <c r="I4952" t="s">
        <v>59</v>
      </c>
      <c r="AB4952" t="s">
        <v>86</v>
      </c>
      <c r="AC4952" t="s">
        <v>87</v>
      </c>
    </row>
    <row r="4953" spans="1:29" x14ac:dyDescent="0.35">
      <c r="A4953" s="7">
        <v>42937</v>
      </c>
      <c r="B4953" t="s">
        <v>30</v>
      </c>
      <c r="C4953">
        <v>703</v>
      </c>
      <c r="D4953">
        <v>6</v>
      </c>
      <c r="E4953">
        <v>1</v>
      </c>
      <c r="F4953" t="s">
        <v>315</v>
      </c>
      <c r="G4953" t="s">
        <v>32</v>
      </c>
      <c r="H4953" t="s">
        <v>33</v>
      </c>
      <c r="I4953" t="s">
        <v>94</v>
      </c>
      <c r="J4953" t="s">
        <v>44</v>
      </c>
      <c r="K4953" t="s">
        <v>36</v>
      </c>
      <c r="L4953" t="s">
        <v>45</v>
      </c>
      <c r="M4953">
        <v>0</v>
      </c>
      <c r="N4953">
        <v>0</v>
      </c>
      <c r="O4953">
        <v>2946</v>
      </c>
      <c r="Q4953">
        <f>32-13</f>
        <v>19</v>
      </c>
      <c r="R4953" t="s">
        <v>1021</v>
      </c>
      <c r="S4953" t="s">
        <v>102</v>
      </c>
      <c r="AB4953" t="s">
        <v>86</v>
      </c>
      <c r="AC4953" t="s">
        <v>87</v>
      </c>
    </row>
    <row r="4954" spans="1:29" x14ac:dyDescent="0.35">
      <c r="A4954" s="7">
        <v>42937</v>
      </c>
      <c r="B4954" t="s">
        <v>30</v>
      </c>
      <c r="C4954">
        <v>703</v>
      </c>
      <c r="D4954">
        <v>6</v>
      </c>
      <c r="E4954">
        <v>2</v>
      </c>
      <c r="F4954" t="s">
        <v>315</v>
      </c>
      <c r="G4954" t="s">
        <v>32</v>
      </c>
      <c r="H4954" t="s">
        <v>33</v>
      </c>
      <c r="I4954" t="s">
        <v>43</v>
      </c>
      <c r="J4954" t="s">
        <v>44</v>
      </c>
      <c r="K4954" t="s">
        <v>36</v>
      </c>
      <c r="L4954" t="s">
        <v>37</v>
      </c>
      <c r="M4954">
        <v>0</v>
      </c>
      <c r="N4954">
        <v>0</v>
      </c>
      <c r="O4954">
        <v>39743</v>
      </c>
      <c r="P4954">
        <v>39742</v>
      </c>
      <c r="Q4954">
        <f>33.5-13</f>
        <v>20.5</v>
      </c>
      <c r="R4954" t="s">
        <v>38</v>
      </c>
      <c r="AB4954" t="s">
        <v>86</v>
      </c>
      <c r="AC4954" t="s">
        <v>87</v>
      </c>
    </row>
    <row r="4955" spans="1:29" x14ac:dyDescent="0.35">
      <c r="A4955" s="7">
        <v>42937</v>
      </c>
      <c r="B4955" t="s">
        <v>30</v>
      </c>
      <c r="C4955">
        <v>703</v>
      </c>
      <c r="D4955">
        <v>9</v>
      </c>
      <c r="E4955">
        <v>1</v>
      </c>
      <c r="F4955" t="s">
        <v>315</v>
      </c>
      <c r="G4955" t="s">
        <v>32</v>
      </c>
      <c r="H4955" t="s">
        <v>33</v>
      </c>
      <c r="I4955" t="s">
        <v>43</v>
      </c>
      <c r="J4955" t="s">
        <v>44</v>
      </c>
      <c r="K4955" t="s">
        <v>113</v>
      </c>
      <c r="L4955" t="s">
        <v>37</v>
      </c>
      <c r="M4955">
        <v>0</v>
      </c>
      <c r="N4955">
        <v>0</v>
      </c>
      <c r="O4955">
        <v>39354</v>
      </c>
      <c r="P4955">
        <v>39353</v>
      </c>
      <c r="Q4955">
        <f>32.5-15.5</f>
        <v>17</v>
      </c>
      <c r="R4955" t="s">
        <v>38</v>
      </c>
      <c r="AB4955" t="s">
        <v>86</v>
      </c>
      <c r="AC4955" t="s">
        <v>87</v>
      </c>
    </row>
    <row r="4956" spans="1:29" x14ac:dyDescent="0.35">
      <c r="A4956" s="7">
        <v>42937</v>
      </c>
      <c r="B4956" t="s">
        <v>30</v>
      </c>
      <c r="C4956">
        <v>703</v>
      </c>
      <c r="D4956">
        <v>10</v>
      </c>
      <c r="E4956">
        <v>1</v>
      </c>
      <c r="F4956" t="s">
        <v>315</v>
      </c>
      <c r="G4956" t="s">
        <v>32</v>
      </c>
      <c r="H4956" t="s">
        <v>33</v>
      </c>
      <c r="I4956" t="s">
        <v>43</v>
      </c>
      <c r="J4956" t="s">
        <v>35</v>
      </c>
      <c r="K4956" t="s">
        <v>36</v>
      </c>
      <c r="L4956" t="s">
        <v>37</v>
      </c>
      <c r="M4956">
        <v>0</v>
      </c>
      <c r="N4956">
        <v>1</v>
      </c>
      <c r="O4956">
        <v>39741</v>
      </c>
      <c r="P4956">
        <v>39740</v>
      </c>
      <c r="Q4956">
        <f>37-15</f>
        <v>22</v>
      </c>
      <c r="R4956" t="s">
        <v>38</v>
      </c>
      <c r="AB4956" t="s">
        <v>86</v>
      </c>
      <c r="AC4956" t="s">
        <v>87</v>
      </c>
    </row>
    <row r="4957" spans="1:29" x14ac:dyDescent="0.35">
      <c r="A4957" s="7">
        <v>42937</v>
      </c>
      <c r="B4957" t="s">
        <v>30</v>
      </c>
      <c r="C4957">
        <v>801</v>
      </c>
      <c r="D4957">
        <v>1</v>
      </c>
      <c r="E4957">
        <v>1</v>
      </c>
      <c r="F4957" t="s">
        <v>315</v>
      </c>
      <c r="G4957" t="s">
        <v>32</v>
      </c>
      <c r="H4957" t="s">
        <v>33</v>
      </c>
      <c r="I4957" t="s">
        <v>43</v>
      </c>
      <c r="J4957" t="s">
        <v>44</v>
      </c>
      <c r="K4957" t="s">
        <v>113</v>
      </c>
      <c r="L4957" t="s">
        <v>37</v>
      </c>
      <c r="M4957">
        <v>0</v>
      </c>
      <c r="N4957">
        <v>0</v>
      </c>
      <c r="O4957">
        <v>39779</v>
      </c>
      <c r="P4957">
        <v>39778</v>
      </c>
      <c r="Q4957">
        <f>28-13</f>
        <v>15</v>
      </c>
      <c r="R4957" t="s">
        <v>38</v>
      </c>
      <c r="Z4957" t="s">
        <v>102</v>
      </c>
      <c r="AB4957" t="s">
        <v>86</v>
      </c>
      <c r="AC4957" t="s">
        <v>87</v>
      </c>
    </row>
    <row r="4958" spans="1:29" x14ac:dyDescent="0.35">
      <c r="A4958" s="7">
        <v>42937</v>
      </c>
      <c r="B4958" t="s">
        <v>30</v>
      </c>
      <c r="C4958">
        <v>801</v>
      </c>
      <c r="D4958">
        <v>1</v>
      </c>
      <c r="E4958">
        <v>2</v>
      </c>
      <c r="F4958" t="s">
        <v>315</v>
      </c>
      <c r="G4958" t="s">
        <v>32</v>
      </c>
      <c r="H4958" t="s">
        <v>33</v>
      </c>
      <c r="I4958" t="s">
        <v>59</v>
      </c>
      <c r="AB4958" t="s">
        <v>86</v>
      </c>
      <c r="AC4958" t="s">
        <v>87</v>
      </c>
    </row>
    <row r="4959" spans="1:29" x14ac:dyDescent="0.35">
      <c r="A4959" s="7">
        <v>42937</v>
      </c>
      <c r="B4959" t="s">
        <v>30</v>
      </c>
      <c r="C4959">
        <v>801</v>
      </c>
      <c r="D4959">
        <v>2</v>
      </c>
      <c r="E4959">
        <v>1</v>
      </c>
      <c r="F4959" t="s">
        <v>315</v>
      </c>
      <c r="G4959" t="s">
        <v>32</v>
      </c>
      <c r="H4959" t="s">
        <v>33</v>
      </c>
      <c r="I4959" t="s">
        <v>59</v>
      </c>
      <c r="AB4959" t="s">
        <v>86</v>
      </c>
      <c r="AC4959" t="s">
        <v>87</v>
      </c>
    </row>
    <row r="4960" spans="1:29" x14ac:dyDescent="0.35">
      <c r="A4960" s="7">
        <v>42937</v>
      </c>
      <c r="B4960" t="s">
        <v>30</v>
      </c>
      <c r="C4960">
        <v>801</v>
      </c>
      <c r="D4960">
        <v>2</v>
      </c>
      <c r="E4960">
        <v>2</v>
      </c>
      <c r="F4960" t="s">
        <v>315</v>
      </c>
      <c r="G4960" t="s">
        <v>32</v>
      </c>
      <c r="H4960" t="s">
        <v>33</v>
      </c>
      <c r="I4960" t="s">
        <v>59</v>
      </c>
      <c r="AB4960" t="s">
        <v>86</v>
      </c>
      <c r="AC4960" t="s">
        <v>87</v>
      </c>
    </row>
    <row r="4961" spans="1:29" x14ac:dyDescent="0.35">
      <c r="A4961" s="7">
        <v>42937</v>
      </c>
      <c r="B4961" t="s">
        <v>30</v>
      </c>
      <c r="C4961">
        <v>801</v>
      </c>
      <c r="D4961">
        <v>3</v>
      </c>
      <c r="E4961">
        <v>1</v>
      </c>
      <c r="F4961" t="s">
        <v>315</v>
      </c>
      <c r="G4961" t="s">
        <v>32</v>
      </c>
      <c r="H4961" t="s">
        <v>33</v>
      </c>
      <c r="I4961" t="s">
        <v>59</v>
      </c>
      <c r="AB4961" t="s">
        <v>86</v>
      </c>
      <c r="AC4961" t="s">
        <v>87</v>
      </c>
    </row>
    <row r="4962" spans="1:29" x14ac:dyDescent="0.35">
      <c r="A4962" s="7">
        <v>42937</v>
      </c>
      <c r="B4962" t="s">
        <v>30</v>
      </c>
      <c r="C4962">
        <v>801</v>
      </c>
      <c r="D4962">
        <v>3</v>
      </c>
      <c r="E4962">
        <v>2</v>
      </c>
      <c r="F4962" t="s">
        <v>315</v>
      </c>
      <c r="G4962" t="s">
        <v>32</v>
      </c>
      <c r="H4962" t="s">
        <v>33</v>
      </c>
      <c r="I4962" t="s">
        <v>58</v>
      </c>
      <c r="J4962" t="s">
        <v>44</v>
      </c>
      <c r="K4962" t="s">
        <v>36</v>
      </c>
      <c r="L4962" t="s">
        <v>45</v>
      </c>
      <c r="M4962">
        <v>0</v>
      </c>
      <c r="N4962">
        <v>0</v>
      </c>
      <c r="O4962">
        <v>39345</v>
      </c>
      <c r="Q4962">
        <f>39.5-16</f>
        <v>23.5</v>
      </c>
      <c r="R4962" t="s">
        <v>79</v>
      </c>
      <c r="S4962" t="s">
        <v>39</v>
      </c>
      <c r="Z4962" t="s">
        <v>102</v>
      </c>
      <c r="AB4962" t="s">
        <v>86</v>
      </c>
      <c r="AC4962" t="s">
        <v>87</v>
      </c>
    </row>
    <row r="4963" spans="1:29" x14ac:dyDescent="0.35">
      <c r="A4963" s="7">
        <v>42937</v>
      </c>
      <c r="B4963" t="s">
        <v>30</v>
      </c>
      <c r="C4963">
        <v>801</v>
      </c>
      <c r="D4963">
        <v>4</v>
      </c>
      <c r="E4963">
        <v>1</v>
      </c>
      <c r="F4963" t="s">
        <v>315</v>
      </c>
      <c r="G4963" t="s">
        <v>32</v>
      </c>
      <c r="H4963" t="s">
        <v>33</v>
      </c>
      <c r="I4963" t="s">
        <v>72</v>
      </c>
      <c r="J4963" t="s">
        <v>56</v>
      </c>
      <c r="AB4963" t="s">
        <v>86</v>
      </c>
      <c r="AC4963" t="s">
        <v>87</v>
      </c>
    </row>
    <row r="4964" spans="1:29" x14ac:dyDescent="0.35">
      <c r="A4964" s="7">
        <v>42937</v>
      </c>
      <c r="B4964" t="s">
        <v>30</v>
      </c>
      <c r="C4964">
        <v>801</v>
      </c>
      <c r="D4964">
        <v>4</v>
      </c>
      <c r="E4964">
        <v>2</v>
      </c>
      <c r="F4964" t="s">
        <v>315</v>
      </c>
      <c r="G4964" t="s">
        <v>32</v>
      </c>
      <c r="H4964" t="s">
        <v>33</v>
      </c>
      <c r="I4964" t="s">
        <v>59</v>
      </c>
      <c r="AB4964" t="s">
        <v>86</v>
      </c>
      <c r="AC4964" t="s">
        <v>87</v>
      </c>
    </row>
    <row r="4965" spans="1:29" x14ac:dyDescent="0.35">
      <c r="A4965" s="7">
        <v>42937</v>
      </c>
      <c r="B4965" t="s">
        <v>30</v>
      </c>
      <c r="C4965">
        <v>801</v>
      </c>
      <c r="D4965">
        <v>5</v>
      </c>
      <c r="E4965">
        <v>1</v>
      </c>
      <c r="F4965" t="s">
        <v>315</v>
      </c>
      <c r="G4965" t="s">
        <v>32</v>
      </c>
      <c r="H4965" t="s">
        <v>33</v>
      </c>
      <c r="I4965" t="s">
        <v>59</v>
      </c>
      <c r="AB4965" t="s">
        <v>86</v>
      </c>
      <c r="AC4965" t="s">
        <v>87</v>
      </c>
    </row>
    <row r="4966" spans="1:29" x14ac:dyDescent="0.35">
      <c r="A4966" s="7">
        <v>42937</v>
      </c>
      <c r="B4966" t="s">
        <v>30</v>
      </c>
      <c r="C4966">
        <v>801</v>
      </c>
      <c r="D4966">
        <v>5</v>
      </c>
      <c r="E4966">
        <v>2</v>
      </c>
      <c r="F4966" t="s">
        <v>315</v>
      </c>
      <c r="G4966" t="s">
        <v>32</v>
      </c>
      <c r="H4966" t="s">
        <v>33</v>
      </c>
      <c r="I4966" t="s">
        <v>72</v>
      </c>
      <c r="J4966" t="s">
        <v>56</v>
      </c>
      <c r="AB4966" t="s">
        <v>86</v>
      </c>
      <c r="AC4966" t="s">
        <v>87</v>
      </c>
    </row>
    <row r="4967" spans="1:29" x14ac:dyDescent="0.35">
      <c r="A4967" s="7">
        <v>42937</v>
      </c>
      <c r="B4967" t="s">
        <v>30</v>
      </c>
      <c r="C4967">
        <v>801</v>
      </c>
      <c r="D4967">
        <v>6</v>
      </c>
      <c r="E4967">
        <v>1</v>
      </c>
      <c r="F4967" t="s">
        <v>315</v>
      </c>
      <c r="G4967" t="s">
        <v>32</v>
      </c>
      <c r="H4967" t="s">
        <v>33</v>
      </c>
      <c r="I4967" t="s">
        <v>58</v>
      </c>
      <c r="J4967" t="s">
        <v>44</v>
      </c>
      <c r="K4967" t="s">
        <v>36</v>
      </c>
      <c r="L4967" t="s">
        <v>37</v>
      </c>
      <c r="M4967">
        <v>0</v>
      </c>
      <c r="N4967">
        <v>0</v>
      </c>
      <c r="O4967">
        <v>39357</v>
      </c>
      <c r="Q4967">
        <f>41-16.5</f>
        <v>24.5</v>
      </c>
      <c r="R4967" t="s">
        <v>38</v>
      </c>
      <c r="Z4967" t="s">
        <v>102</v>
      </c>
      <c r="AB4967" t="s">
        <v>86</v>
      </c>
      <c r="AC4967" t="s">
        <v>87</v>
      </c>
    </row>
    <row r="4968" spans="1:29" x14ac:dyDescent="0.35">
      <c r="A4968" s="7">
        <v>42937</v>
      </c>
      <c r="B4968" t="s">
        <v>30</v>
      </c>
      <c r="C4968">
        <v>801</v>
      </c>
      <c r="D4968">
        <v>6</v>
      </c>
      <c r="E4968">
        <v>2</v>
      </c>
      <c r="F4968" t="s">
        <v>315</v>
      </c>
      <c r="G4968" t="s">
        <v>32</v>
      </c>
      <c r="H4968" t="s">
        <v>33</v>
      </c>
      <c r="I4968" t="s">
        <v>59</v>
      </c>
      <c r="AB4968" t="s">
        <v>86</v>
      </c>
      <c r="AC4968" t="s">
        <v>87</v>
      </c>
    </row>
    <row r="4969" spans="1:29" x14ac:dyDescent="0.35">
      <c r="A4969" s="7">
        <v>42937</v>
      </c>
      <c r="B4969" t="s">
        <v>30</v>
      </c>
      <c r="C4969">
        <v>801</v>
      </c>
      <c r="D4969">
        <v>7</v>
      </c>
      <c r="E4969">
        <v>1</v>
      </c>
      <c r="F4969" t="s">
        <v>315</v>
      </c>
      <c r="G4969" t="s">
        <v>32</v>
      </c>
      <c r="H4969" t="s">
        <v>33</v>
      </c>
      <c r="I4969" t="s">
        <v>59</v>
      </c>
      <c r="AB4969" t="s">
        <v>86</v>
      </c>
      <c r="AC4969" t="s">
        <v>87</v>
      </c>
    </row>
    <row r="4970" spans="1:29" x14ac:dyDescent="0.35">
      <c r="A4970" s="7">
        <v>42937</v>
      </c>
      <c r="B4970" t="s">
        <v>30</v>
      </c>
      <c r="C4970">
        <v>801</v>
      </c>
      <c r="D4970">
        <v>7</v>
      </c>
      <c r="E4970">
        <v>2</v>
      </c>
      <c r="F4970" t="s">
        <v>315</v>
      </c>
      <c r="G4970" t="s">
        <v>32</v>
      </c>
      <c r="H4970" t="s">
        <v>33</v>
      </c>
      <c r="I4970" t="s">
        <v>43</v>
      </c>
      <c r="J4970" t="s">
        <v>35</v>
      </c>
      <c r="K4970" t="s">
        <v>36</v>
      </c>
      <c r="L4970" t="s">
        <v>37</v>
      </c>
      <c r="M4970">
        <v>0</v>
      </c>
      <c r="N4970">
        <v>1</v>
      </c>
      <c r="O4970">
        <v>39738</v>
      </c>
      <c r="P4970">
        <v>39737</v>
      </c>
      <c r="Q4970">
        <f>36-14.5</f>
        <v>21.5</v>
      </c>
      <c r="R4970" t="s">
        <v>38</v>
      </c>
      <c r="AB4970" t="s">
        <v>86</v>
      </c>
      <c r="AC4970" t="s">
        <v>87</v>
      </c>
    </row>
    <row r="4971" spans="1:29" x14ac:dyDescent="0.35">
      <c r="A4971" s="7">
        <v>42937</v>
      </c>
      <c r="B4971" t="s">
        <v>30</v>
      </c>
      <c r="C4971">
        <v>801</v>
      </c>
      <c r="D4971">
        <v>8</v>
      </c>
      <c r="E4971">
        <v>1</v>
      </c>
      <c r="F4971" t="s">
        <v>315</v>
      </c>
      <c r="G4971" t="s">
        <v>32</v>
      </c>
      <c r="H4971" t="s">
        <v>33</v>
      </c>
      <c r="I4971" t="s">
        <v>43</v>
      </c>
      <c r="J4971" t="s">
        <v>44</v>
      </c>
      <c r="K4971" t="s">
        <v>36</v>
      </c>
      <c r="L4971" t="s">
        <v>45</v>
      </c>
      <c r="M4971">
        <v>0</v>
      </c>
      <c r="N4971">
        <v>0</v>
      </c>
      <c r="O4971">
        <v>39758</v>
      </c>
      <c r="P4971">
        <v>39757</v>
      </c>
      <c r="Q4971">
        <f>39-14</f>
        <v>25</v>
      </c>
      <c r="R4971" t="s">
        <v>77</v>
      </c>
      <c r="S4971" t="s">
        <v>39</v>
      </c>
      <c r="AB4971" t="s">
        <v>86</v>
      </c>
      <c r="AC4971" t="s">
        <v>87</v>
      </c>
    </row>
    <row r="4972" spans="1:29" x14ac:dyDescent="0.35">
      <c r="A4972" s="7">
        <v>42937</v>
      </c>
      <c r="B4972" t="s">
        <v>30</v>
      </c>
      <c r="C4972">
        <v>801</v>
      </c>
      <c r="D4972">
        <v>8</v>
      </c>
      <c r="E4972">
        <v>2</v>
      </c>
      <c r="F4972" t="s">
        <v>315</v>
      </c>
      <c r="G4972" t="s">
        <v>32</v>
      </c>
      <c r="H4972" t="s">
        <v>33</v>
      </c>
      <c r="I4972" t="s">
        <v>59</v>
      </c>
      <c r="AB4972" t="s">
        <v>86</v>
      </c>
      <c r="AC4972" t="s">
        <v>87</v>
      </c>
    </row>
    <row r="4973" spans="1:29" x14ac:dyDescent="0.35">
      <c r="A4973" s="7">
        <v>42937</v>
      </c>
      <c r="B4973" t="s">
        <v>30</v>
      </c>
      <c r="C4973">
        <v>801</v>
      </c>
      <c r="D4973">
        <v>9</v>
      </c>
      <c r="E4973">
        <v>1</v>
      </c>
      <c r="F4973" t="s">
        <v>315</v>
      </c>
      <c r="G4973" t="s">
        <v>32</v>
      </c>
      <c r="H4973" t="s">
        <v>33</v>
      </c>
      <c r="I4973" t="s">
        <v>59</v>
      </c>
      <c r="AB4973" t="s">
        <v>86</v>
      </c>
      <c r="AC4973" t="s">
        <v>87</v>
      </c>
    </row>
    <row r="4974" spans="1:29" x14ac:dyDescent="0.35">
      <c r="A4974" s="7">
        <v>42937</v>
      </c>
      <c r="B4974" t="s">
        <v>30</v>
      </c>
      <c r="C4974">
        <v>801</v>
      </c>
      <c r="D4974">
        <v>9</v>
      </c>
      <c r="E4974">
        <v>2</v>
      </c>
      <c r="F4974" t="s">
        <v>315</v>
      </c>
      <c r="G4974" t="s">
        <v>32</v>
      </c>
      <c r="H4974" t="s">
        <v>33</v>
      </c>
      <c r="I4974" t="s">
        <v>59</v>
      </c>
      <c r="AB4974" t="s">
        <v>86</v>
      </c>
      <c r="AC4974" t="s">
        <v>87</v>
      </c>
    </row>
    <row r="4975" spans="1:29" x14ac:dyDescent="0.35">
      <c r="A4975" s="7">
        <v>42937</v>
      </c>
      <c r="B4975" t="s">
        <v>30</v>
      </c>
      <c r="C4975">
        <v>801</v>
      </c>
      <c r="D4975">
        <v>10</v>
      </c>
      <c r="E4975">
        <v>1</v>
      </c>
      <c r="F4975" t="s">
        <v>315</v>
      </c>
      <c r="G4975" t="s">
        <v>32</v>
      </c>
      <c r="H4975" t="s">
        <v>33</v>
      </c>
      <c r="I4975" t="s">
        <v>59</v>
      </c>
      <c r="AB4975" t="s">
        <v>86</v>
      </c>
      <c r="AC4975" t="s">
        <v>87</v>
      </c>
    </row>
    <row r="4976" spans="1:29" x14ac:dyDescent="0.35">
      <c r="A4976" s="7">
        <v>42937</v>
      </c>
      <c r="B4976" t="s">
        <v>30</v>
      </c>
      <c r="C4976">
        <v>801</v>
      </c>
      <c r="D4976">
        <v>10</v>
      </c>
      <c r="E4976">
        <v>2</v>
      </c>
      <c r="F4976" t="s">
        <v>315</v>
      </c>
      <c r="G4976" t="s">
        <v>32</v>
      </c>
      <c r="H4976" t="s">
        <v>33</v>
      </c>
      <c r="I4976" t="s">
        <v>58</v>
      </c>
      <c r="J4976" t="s">
        <v>44</v>
      </c>
      <c r="K4976" t="s">
        <v>36</v>
      </c>
      <c r="L4976" t="s">
        <v>45</v>
      </c>
      <c r="M4976">
        <v>0</v>
      </c>
      <c r="N4976">
        <v>0</v>
      </c>
      <c r="O4976">
        <v>39756</v>
      </c>
      <c r="Q4976">
        <f>36.5-13.5</f>
        <v>23</v>
      </c>
      <c r="R4976" t="s">
        <v>1021</v>
      </c>
      <c r="S4976" t="s">
        <v>102</v>
      </c>
      <c r="Z4976" t="s">
        <v>102</v>
      </c>
      <c r="AB4976" t="s">
        <v>86</v>
      </c>
      <c r="AC4976" t="s">
        <v>87</v>
      </c>
    </row>
    <row r="4977" spans="1:29" x14ac:dyDescent="0.35">
      <c r="A4977" s="7">
        <v>42937</v>
      </c>
      <c r="B4977" t="s">
        <v>30</v>
      </c>
      <c r="C4977">
        <v>803</v>
      </c>
      <c r="D4977">
        <v>1</v>
      </c>
      <c r="E4977">
        <v>1</v>
      </c>
      <c r="F4977" t="s">
        <v>315</v>
      </c>
      <c r="G4977" t="s">
        <v>32</v>
      </c>
      <c r="H4977" t="s">
        <v>33</v>
      </c>
      <c r="I4977" t="s">
        <v>59</v>
      </c>
      <c r="AB4977" t="s">
        <v>86</v>
      </c>
      <c r="AC4977" t="s">
        <v>87</v>
      </c>
    </row>
    <row r="4978" spans="1:29" x14ac:dyDescent="0.35">
      <c r="A4978" s="7">
        <v>42937</v>
      </c>
      <c r="B4978" t="s">
        <v>30</v>
      </c>
      <c r="C4978">
        <v>803</v>
      </c>
      <c r="D4978">
        <v>1</v>
      </c>
      <c r="E4978">
        <v>2</v>
      </c>
      <c r="F4978" t="s">
        <v>315</v>
      </c>
      <c r="G4978" t="s">
        <v>32</v>
      </c>
      <c r="H4978" t="s">
        <v>33</v>
      </c>
      <c r="I4978" t="s">
        <v>43</v>
      </c>
      <c r="J4978" t="s">
        <v>44</v>
      </c>
      <c r="K4978" t="s">
        <v>113</v>
      </c>
      <c r="L4978" t="s">
        <v>37</v>
      </c>
      <c r="M4978">
        <v>0</v>
      </c>
      <c r="N4978">
        <v>0</v>
      </c>
      <c r="O4978">
        <v>39766</v>
      </c>
      <c r="P4978">
        <v>39765</v>
      </c>
      <c r="Q4978">
        <f>30.5-14.5</f>
        <v>16</v>
      </c>
      <c r="R4978" t="s">
        <v>38</v>
      </c>
      <c r="AB4978" t="s">
        <v>86</v>
      </c>
      <c r="AC4978" t="s">
        <v>87</v>
      </c>
    </row>
    <row r="4979" spans="1:29" x14ac:dyDescent="0.35">
      <c r="A4979" s="7">
        <v>42937</v>
      </c>
      <c r="B4979" t="s">
        <v>30</v>
      </c>
      <c r="C4979">
        <v>803</v>
      </c>
      <c r="D4979">
        <v>2</v>
      </c>
      <c r="E4979">
        <v>1</v>
      </c>
      <c r="F4979" t="s">
        <v>315</v>
      </c>
      <c r="G4979" t="s">
        <v>32</v>
      </c>
      <c r="H4979" t="s">
        <v>33</v>
      </c>
      <c r="I4979" t="s">
        <v>59</v>
      </c>
      <c r="AB4979" t="s">
        <v>86</v>
      </c>
      <c r="AC4979" t="s">
        <v>87</v>
      </c>
    </row>
    <row r="4980" spans="1:29" x14ac:dyDescent="0.35">
      <c r="A4980" s="7">
        <v>42937</v>
      </c>
      <c r="B4980" t="s">
        <v>30</v>
      </c>
      <c r="C4980">
        <v>803</v>
      </c>
      <c r="D4980">
        <v>3</v>
      </c>
      <c r="E4980">
        <v>1</v>
      </c>
      <c r="F4980" t="s">
        <v>315</v>
      </c>
      <c r="G4980" t="s">
        <v>32</v>
      </c>
      <c r="H4980" t="s">
        <v>33</v>
      </c>
      <c r="I4980" t="s">
        <v>59</v>
      </c>
      <c r="AB4980" t="s">
        <v>86</v>
      </c>
      <c r="AC4980" t="s">
        <v>87</v>
      </c>
    </row>
    <row r="4981" spans="1:29" x14ac:dyDescent="0.35">
      <c r="A4981" s="7">
        <v>42937</v>
      </c>
      <c r="B4981" t="s">
        <v>30</v>
      </c>
      <c r="C4981">
        <v>803</v>
      </c>
      <c r="D4981">
        <v>3</v>
      </c>
      <c r="E4981">
        <v>2</v>
      </c>
      <c r="F4981" t="s">
        <v>315</v>
      </c>
      <c r="G4981" t="s">
        <v>32</v>
      </c>
      <c r="H4981" t="s">
        <v>33</v>
      </c>
      <c r="I4981" t="s">
        <v>59</v>
      </c>
      <c r="AB4981" t="s">
        <v>86</v>
      </c>
      <c r="AC4981" t="s">
        <v>87</v>
      </c>
    </row>
    <row r="4982" spans="1:29" x14ac:dyDescent="0.35">
      <c r="A4982" s="7">
        <v>42937</v>
      </c>
      <c r="B4982" t="s">
        <v>30</v>
      </c>
      <c r="C4982">
        <v>803</v>
      </c>
      <c r="D4982">
        <v>4</v>
      </c>
      <c r="E4982">
        <v>1</v>
      </c>
      <c r="F4982" t="s">
        <v>315</v>
      </c>
      <c r="G4982" t="s">
        <v>32</v>
      </c>
      <c r="H4982" t="s">
        <v>33</v>
      </c>
      <c r="I4982" t="s">
        <v>59</v>
      </c>
      <c r="AB4982" t="s">
        <v>86</v>
      </c>
      <c r="AC4982" t="s">
        <v>87</v>
      </c>
    </row>
    <row r="4983" spans="1:29" x14ac:dyDescent="0.35">
      <c r="A4983" s="7">
        <v>42937</v>
      </c>
      <c r="B4983" t="s">
        <v>30</v>
      </c>
      <c r="C4983">
        <v>803</v>
      </c>
      <c r="D4983">
        <v>4</v>
      </c>
      <c r="E4983">
        <v>2</v>
      </c>
      <c r="F4983" t="s">
        <v>315</v>
      </c>
      <c r="G4983" t="s">
        <v>32</v>
      </c>
      <c r="H4983" t="s">
        <v>33</v>
      </c>
      <c r="I4983" t="s">
        <v>59</v>
      </c>
      <c r="AB4983" t="s">
        <v>86</v>
      </c>
      <c r="AC4983" t="s">
        <v>87</v>
      </c>
    </row>
    <row r="4984" spans="1:29" x14ac:dyDescent="0.35">
      <c r="A4984" s="7">
        <v>42937</v>
      </c>
      <c r="B4984" t="s">
        <v>30</v>
      </c>
      <c r="C4984">
        <v>803</v>
      </c>
      <c r="D4984">
        <v>5</v>
      </c>
      <c r="E4984">
        <v>1</v>
      </c>
      <c r="F4984" t="s">
        <v>315</v>
      </c>
      <c r="G4984" t="s">
        <v>32</v>
      </c>
      <c r="H4984" t="s">
        <v>33</v>
      </c>
      <c r="I4984" t="s">
        <v>43</v>
      </c>
      <c r="J4984" t="s">
        <v>44</v>
      </c>
      <c r="K4984" t="s">
        <v>113</v>
      </c>
      <c r="L4984" t="s">
        <v>37</v>
      </c>
      <c r="M4984">
        <v>0</v>
      </c>
      <c r="N4984">
        <v>0</v>
      </c>
      <c r="O4984">
        <v>39349</v>
      </c>
      <c r="P4984">
        <v>39348</v>
      </c>
      <c r="Q4984">
        <f>30-14.5</f>
        <v>15.5</v>
      </c>
      <c r="R4984" t="s">
        <v>38</v>
      </c>
      <c r="AB4984" t="s">
        <v>86</v>
      </c>
      <c r="AC4984" t="s">
        <v>87</v>
      </c>
    </row>
    <row r="4985" spans="1:29" x14ac:dyDescent="0.35">
      <c r="A4985" s="7">
        <v>42937</v>
      </c>
      <c r="B4985" t="s">
        <v>30</v>
      </c>
      <c r="C4985">
        <v>803</v>
      </c>
      <c r="D4985">
        <v>5</v>
      </c>
      <c r="E4985">
        <v>2</v>
      </c>
      <c r="F4985" t="s">
        <v>315</v>
      </c>
      <c r="G4985" t="s">
        <v>32</v>
      </c>
      <c r="H4985" t="s">
        <v>33</v>
      </c>
      <c r="I4985" t="s">
        <v>59</v>
      </c>
      <c r="AB4985" t="s">
        <v>86</v>
      </c>
      <c r="AC4985" t="s">
        <v>87</v>
      </c>
    </row>
    <row r="4986" spans="1:29" x14ac:dyDescent="0.35">
      <c r="A4986" s="7">
        <v>42937</v>
      </c>
      <c r="B4986" t="s">
        <v>30</v>
      </c>
      <c r="C4986">
        <v>803</v>
      </c>
      <c r="D4986">
        <v>6</v>
      </c>
      <c r="E4986">
        <v>1</v>
      </c>
      <c r="F4986" t="s">
        <v>315</v>
      </c>
      <c r="G4986" t="s">
        <v>32</v>
      </c>
      <c r="H4986" t="s">
        <v>33</v>
      </c>
      <c r="I4986" t="s">
        <v>72</v>
      </c>
      <c r="J4986" t="s">
        <v>56</v>
      </c>
      <c r="AB4986" t="s">
        <v>86</v>
      </c>
      <c r="AC4986" t="s">
        <v>87</v>
      </c>
    </row>
    <row r="4987" spans="1:29" x14ac:dyDescent="0.35">
      <c r="A4987" s="7">
        <v>42937</v>
      </c>
      <c r="B4987" t="s">
        <v>30</v>
      </c>
      <c r="C4987">
        <v>803</v>
      </c>
      <c r="D4987">
        <v>6</v>
      </c>
      <c r="E4987">
        <v>2</v>
      </c>
      <c r="F4987" t="s">
        <v>315</v>
      </c>
      <c r="G4987" t="s">
        <v>32</v>
      </c>
      <c r="H4987" t="s">
        <v>33</v>
      </c>
      <c r="I4987" t="s">
        <v>94</v>
      </c>
      <c r="J4987" t="s">
        <v>44</v>
      </c>
      <c r="K4987" t="s">
        <v>36</v>
      </c>
      <c r="L4987" t="s">
        <v>45</v>
      </c>
      <c r="M4987">
        <v>0</v>
      </c>
      <c r="N4987">
        <v>0</v>
      </c>
      <c r="O4987">
        <v>39783</v>
      </c>
      <c r="Q4987">
        <f>39-15</f>
        <v>24</v>
      </c>
      <c r="R4987" t="s">
        <v>1021</v>
      </c>
      <c r="S4987" t="s">
        <v>102</v>
      </c>
      <c r="AB4987" t="s">
        <v>86</v>
      </c>
      <c r="AC4987" t="s">
        <v>87</v>
      </c>
    </row>
    <row r="4988" spans="1:29" x14ac:dyDescent="0.35">
      <c r="A4988" s="7">
        <v>42937</v>
      </c>
      <c r="B4988" t="s">
        <v>30</v>
      </c>
      <c r="C4988">
        <v>803</v>
      </c>
      <c r="D4988">
        <v>7</v>
      </c>
      <c r="E4988">
        <v>1</v>
      </c>
      <c r="F4988" t="s">
        <v>315</v>
      </c>
      <c r="G4988" t="s">
        <v>32</v>
      </c>
      <c r="H4988" t="s">
        <v>33</v>
      </c>
      <c r="I4988" t="s">
        <v>43</v>
      </c>
      <c r="J4988" t="s">
        <v>44</v>
      </c>
      <c r="K4988" t="s">
        <v>88</v>
      </c>
      <c r="L4988" t="s">
        <v>37</v>
      </c>
      <c r="M4988">
        <v>0</v>
      </c>
      <c r="N4988">
        <v>0</v>
      </c>
      <c r="O4988">
        <v>39755</v>
      </c>
      <c r="P4988">
        <v>39754</v>
      </c>
      <c r="Q4988">
        <f>29-14</f>
        <v>15</v>
      </c>
      <c r="R4988" t="s">
        <v>64</v>
      </c>
      <c r="Z4988" t="s">
        <v>102</v>
      </c>
      <c r="AB4988" t="s">
        <v>86</v>
      </c>
      <c r="AC4988" t="s">
        <v>87</v>
      </c>
    </row>
    <row r="4989" spans="1:29" x14ac:dyDescent="0.35">
      <c r="A4989" s="7">
        <v>42937</v>
      </c>
      <c r="B4989" t="s">
        <v>30</v>
      </c>
      <c r="C4989">
        <v>803</v>
      </c>
      <c r="D4989">
        <v>7</v>
      </c>
      <c r="E4989">
        <v>2</v>
      </c>
      <c r="F4989" t="s">
        <v>315</v>
      </c>
      <c r="G4989" t="s">
        <v>32</v>
      </c>
      <c r="H4989" t="s">
        <v>33</v>
      </c>
      <c r="I4989" t="s">
        <v>94</v>
      </c>
      <c r="J4989" t="s">
        <v>44</v>
      </c>
      <c r="K4989" t="s">
        <v>36</v>
      </c>
      <c r="L4989" t="s">
        <v>45</v>
      </c>
      <c r="M4989">
        <v>0</v>
      </c>
      <c r="N4989">
        <v>0</v>
      </c>
      <c r="P4989">
        <v>50615</v>
      </c>
      <c r="Q4989">
        <f>39-14.5</f>
        <v>24.5</v>
      </c>
      <c r="R4989" t="s">
        <v>1021</v>
      </c>
      <c r="S4989" t="s">
        <v>102</v>
      </c>
      <c r="Z4989" t="s">
        <v>102</v>
      </c>
      <c r="AB4989" t="s">
        <v>86</v>
      </c>
      <c r="AC4989" t="s">
        <v>87</v>
      </c>
    </row>
    <row r="4990" spans="1:29" x14ac:dyDescent="0.35">
      <c r="A4990" s="7">
        <v>42937</v>
      </c>
      <c r="B4990" t="s">
        <v>30</v>
      </c>
      <c r="C4990">
        <v>803</v>
      </c>
      <c r="D4990">
        <v>8</v>
      </c>
      <c r="E4990">
        <v>1</v>
      </c>
      <c r="F4990" t="s">
        <v>315</v>
      </c>
      <c r="G4990" t="s">
        <v>32</v>
      </c>
      <c r="H4990" t="s">
        <v>33</v>
      </c>
      <c r="I4990" t="s">
        <v>94</v>
      </c>
      <c r="J4990" t="s">
        <v>44</v>
      </c>
      <c r="K4990" t="s">
        <v>36</v>
      </c>
      <c r="L4990" t="s">
        <v>37</v>
      </c>
      <c r="M4990">
        <v>0</v>
      </c>
      <c r="N4990">
        <v>0</v>
      </c>
      <c r="O4990">
        <v>2823</v>
      </c>
      <c r="Q4990">
        <f>37-14.5</f>
        <v>22.5</v>
      </c>
      <c r="R4990" t="s">
        <v>38</v>
      </c>
      <c r="Z4990" t="s">
        <v>102</v>
      </c>
      <c r="AB4990" t="s">
        <v>86</v>
      </c>
      <c r="AC4990" t="s">
        <v>87</v>
      </c>
    </row>
    <row r="4991" spans="1:29" x14ac:dyDescent="0.35">
      <c r="A4991" s="7">
        <v>42937</v>
      </c>
      <c r="B4991" t="s">
        <v>30</v>
      </c>
      <c r="C4991">
        <v>803</v>
      </c>
      <c r="D4991">
        <v>9</v>
      </c>
      <c r="E4991">
        <v>1</v>
      </c>
      <c r="F4991" t="s">
        <v>315</v>
      </c>
      <c r="G4991" t="s">
        <v>32</v>
      </c>
      <c r="H4991" t="s">
        <v>33</v>
      </c>
      <c r="I4991" t="s">
        <v>59</v>
      </c>
      <c r="AB4991" t="s">
        <v>86</v>
      </c>
      <c r="AC4991" t="s">
        <v>87</v>
      </c>
    </row>
    <row r="4992" spans="1:29" x14ac:dyDescent="0.35">
      <c r="A4992" s="7">
        <v>42937</v>
      </c>
      <c r="B4992" t="s">
        <v>30</v>
      </c>
      <c r="C4992">
        <v>901</v>
      </c>
      <c r="D4992">
        <v>1</v>
      </c>
      <c r="E4992">
        <v>1</v>
      </c>
      <c r="F4992" t="s">
        <v>315</v>
      </c>
      <c r="G4992" t="s">
        <v>32</v>
      </c>
      <c r="H4992" t="s">
        <v>33</v>
      </c>
      <c r="I4992" t="s">
        <v>43</v>
      </c>
      <c r="J4992" t="s">
        <v>44</v>
      </c>
      <c r="K4992" t="s">
        <v>36</v>
      </c>
      <c r="L4992" t="s">
        <v>45</v>
      </c>
      <c r="M4992">
        <v>0</v>
      </c>
      <c r="N4992">
        <v>0</v>
      </c>
      <c r="O4992">
        <v>39764</v>
      </c>
      <c r="P4992">
        <v>39763</v>
      </c>
      <c r="Q4992">
        <f>33-14</f>
        <v>19</v>
      </c>
      <c r="R4992" t="s">
        <v>1021</v>
      </c>
      <c r="S4992" t="s">
        <v>102</v>
      </c>
      <c r="AB4992" t="s">
        <v>86</v>
      </c>
      <c r="AC4992" t="s">
        <v>87</v>
      </c>
    </row>
    <row r="4993" spans="1:30" x14ac:dyDescent="0.35">
      <c r="A4993" s="7">
        <v>42937</v>
      </c>
      <c r="B4993" t="s">
        <v>30</v>
      </c>
      <c r="C4993">
        <v>901</v>
      </c>
      <c r="D4993">
        <v>2</v>
      </c>
      <c r="E4993">
        <v>1</v>
      </c>
      <c r="F4993" t="s">
        <v>315</v>
      </c>
      <c r="G4993" t="s">
        <v>32</v>
      </c>
      <c r="H4993" t="s">
        <v>33</v>
      </c>
      <c r="I4993" t="s">
        <v>43</v>
      </c>
      <c r="J4993" t="s">
        <v>44</v>
      </c>
      <c r="K4993" t="s">
        <v>113</v>
      </c>
      <c r="L4993" t="s">
        <v>45</v>
      </c>
      <c r="M4993">
        <v>0</v>
      </c>
      <c r="N4993">
        <v>0</v>
      </c>
      <c r="O4993">
        <v>39145</v>
      </c>
      <c r="P4993">
        <v>39144</v>
      </c>
      <c r="Q4993">
        <f>32-15</f>
        <v>17</v>
      </c>
      <c r="R4993" t="s">
        <v>79</v>
      </c>
      <c r="S4993" t="s">
        <v>39</v>
      </c>
      <c r="Z4993" t="s">
        <v>102</v>
      </c>
      <c r="AB4993" t="s">
        <v>86</v>
      </c>
      <c r="AC4993" t="s">
        <v>87</v>
      </c>
    </row>
    <row r="4994" spans="1:30" x14ac:dyDescent="0.35">
      <c r="A4994" s="7">
        <v>42937</v>
      </c>
      <c r="B4994" t="s">
        <v>30</v>
      </c>
      <c r="C4994">
        <v>901</v>
      </c>
      <c r="D4994">
        <v>3</v>
      </c>
      <c r="E4994">
        <v>1</v>
      </c>
      <c r="F4994" t="s">
        <v>315</v>
      </c>
      <c r="G4994" t="s">
        <v>32</v>
      </c>
      <c r="H4994" t="s">
        <v>33</v>
      </c>
      <c r="I4994" t="s">
        <v>59</v>
      </c>
      <c r="AB4994" t="s">
        <v>86</v>
      </c>
      <c r="AC4994" t="s">
        <v>87</v>
      </c>
    </row>
    <row r="4995" spans="1:30" x14ac:dyDescent="0.35">
      <c r="A4995" s="7">
        <v>42937</v>
      </c>
      <c r="B4995" t="s">
        <v>30</v>
      </c>
      <c r="C4995">
        <v>901</v>
      </c>
      <c r="D4995">
        <v>3</v>
      </c>
      <c r="E4995">
        <v>2</v>
      </c>
      <c r="F4995" t="s">
        <v>315</v>
      </c>
      <c r="G4995" t="s">
        <v>32</v>
      </c>
      <c r="H4995" t="s">
        <v>33</v>
      </c>
      <c r="I4995" t="s">
        <v>59</v>
      </c>
      <c r="AB4995" t="s">
        <v>86</v>
      </c>
      <c r="AC4995" t="s">
        <v>87</v>
      </c>
    </row>
    <row r="4996" spans="1:30" x14ac:dyDescent="0.35">
      <c r="A4996" s="7">
        <v>42937</v>
      </c>
      <c r="B4996" t="s">
        <v>30</v>
      </c>
      <c r="C4996">
        <v>901</v>
      </c>
      <c r="D4996">
        <v>5</v>
      </c>
      <c r="E4996">
        <v>1</v>
      </c>
      <c r="F4996" t="s">
        <v>315</v>
      </c>
      <c r="G4996" t="s">
        <v>32</v>
      </c>
      <c r="H4996" t="s">
        <v>33</v>
      </c>
      <c r="I4996" t="s">
        <v>43</v>
      </c>
      <c r="J4996" t="s">
        <v>35</v>
      </c>
      <c r="K4996" t="s">
        <v>113</v>
      </c>
      <c r="L4996" t="s">
        <v>37</v>
      </c>
      <c r="M4996">
        <v>0</v>
      </c>
      <c r="N4996">
        <v>1</v>
      </c>
      <c r="O4996">
        <v>39736</v>
      </c>
      <c r="P4996">
        <v>39735</v>
      </c>
      <c r="Q4996">
        <f>29-13</f>
        <v>16</v>
      </c>
      <c r="R4996" t="s">
        <v>64</v>
      </c>
      <c r="AB4996" t="s">
        <v>86</v>
      </c>
      <c r="AC4996" t="s">
        <v>87</v>
      </c>
    </row>
    <row r="4997" spans="1:30" x14ac:dyDescent="0.35">
      <c r="A4997" s="7">
        <v>42937</v>
      </c>
      <c r="B4997" t="s">
        <v>30</v>
      </c>
      <c r="C4997">
        <v>901</v>
      </c>
      <c r="D4997">
        <v>7</v>
      </c>
      <c r="E4997">
        <v>1</v>
      </c>
      <c r="F4997" t="s">
        <v>315</v>
      </c>
      <c r="G4997" t="s">
        <v>32</v>
      </c>
      <c r="H4997" t="s">
        <v>33</v>
      </c>
      <c r="I4997" t="s">
        <v>43</v>
      </c>
      <c r="J4997" t="s">
        <v>44</v>
      </c>
      <c r="K4997" t="s">
        <v>36</v>
      </c>
      <c r="L4997" t="s">
        <v>37</v>
      </c>
      <c r="M4997">
        <v>0</v>
      </c>
      <c r="N4997">
        <v>0</v>
      </c>
      <c r="O4997">
        <v>39126</v>
      </c>
      <c r="P4997">
        <v>39753</v>
      </c>
      <c r="Q4997">
        <f>38-14</f>
        <v>24</v>
      </c>
      <c r="R4997" t="s">
        <v>38</v>
      </c>
      <c r="AB4997" t="s">
        <v>86</v>
      </c>
      <c r="AC4997" t="s">
        <v>87</v>
      </c>
      <c r="AD4997" t="s">
        <v>1061</v>
      </c>
    </row>
    <row r="4998" spans="1:30" x14ac:dyDescent="0.35">
      <c r="A4998" s="7">
        <v>42937</v>
      </c>
      <c r="B4998" t="s">
        <v>30</v>
      </c>
      <c r="C4998">
        <v>901</v>
      </c>
      <c r="D4998">
        <v>8</v>
      </c>
      <c r="E4998">
        <v>1</v>
      </c>
      <c r="F4998" t="s">
        <v>315</v>
      </c>
      <c r="G4998" t="s">
        <v>32</v>
      </c>
      <c r="H4998" t="s">
        <v>33</v>
      </c>
      <c r="I4998" t="s">
        <v>59</v>
      </c>
      <c r="AB4998" t="s">
        <v>86</v>
      </c>
      <c r="AC4998" t="s">
        <v>87</v>
      </c>
    </row>
    <row r="4999" spans="1:30" x14ac:dyDescent="0.35">
      <c r="A4999" s="7">
        <v>42941</v>
      </c>
      <c r="B4999" t="s">
        <v>30</v>
      </c>
      <c r="C4999">
        <v>111</v>
      </c>
      <c r="D4999">
        <v>1</v>
      </c>
      <c r="E4999">
        <v>1</v>
      </c>
      <c r="F4999" t="s">
        <v>315</v>
      </c>
      <c r="G4999" t="s">
        <v>32</v>
      </c>
      <c r="H4999" t="s">
        <v>33</v>
      </c>
      <c r="I4999" t="s">
        <v>59</v>
      </c>
      <c r="AB4999" t="s">
        <v>60</v>
      </c>
      <c r="AC4999" t="s">
        <v>41</v>
      </c>
    </row>
    <row r="5000" spans="1:30" x14ac:dyDescent="0.35">
      <c r="A5000" s="7">
        <v>42941</v>
      </c>
      <c r="B5000" t="s">
        <v>30</v>
      </c>
      <c r="C5000">
        <v>111</v>
      </c>
      <c r="D5000">
        <v>1</v>
      </c>
      <c r="E5000">
        <v>2</v>
      </c>
      <c r="F5000" t="s">
        <v>315</v>
      </c>
      <c r="G5000" t="s">
        <v>32</v>
      </c>
      <c r="H5000" t="s">
        <v>33</v>
      </c>
      <c r="I5000" t="s">
        <v>34</v>
      </c>
      <c r="J5000" t="s">
        <v>92</v>
      </c>
      <c r="AB5000" t="s">
        <v>60</v>
      </c>
      <c r="AC5000" t="s">
        <v>41</v>
      </c>
    </row>
    <row r="5001" spans="1:30" x14ac:dyDescent="0.35">
      <c r="A5001" s="7">
        <v>42941</v>
      </c>
      <c r="B5001" t="s">
        <v>30</v>
      </c>
      <c r="C5001">
        <v>111</v>
      </c>
      <c r="D5001">
        <v>2</v>
      </c>
      <c r="E5001">
        <v>1</v>
      </c>
      <c r="F5001" t="s">
        <v>315</v>
      </c>
      <c r="G5001" t="s">
        <v>32</v>
      </c>
      <c r="H5001" t="s">
        <v>33</v>
      </c>
      <c r="I5001" t="s">
        <v>43</v>
      </c>
      <c r="J5001" t="s">
        <v>44</v>
      </c>
      <c r="K5001" t="s">
        <v>36</v>
      </c>
      <c r="L5001" t="s">
        <v>45</v>
      </c>
      <c r="M5001">
        <v>0</v>
      </c>
      <c r="N5001">
        <v>0</v>
      </c>
      <c r="O5001">
        <v>39309</v>
      </c>
      <c r="P5001">
        <v>39310</v>
      </c>
      <c r="Q5001">
        <f>31-13.5</f>
        <v>17.5</v>
      </c>
      <c r="R5001" t="s">
        <v>1021</v>
      </c>
      <c r="S5001" t="s">
        <v>102</v>
      </c>
      <c r="Z5001" t="s">
        <v>102</v>
      </c>
      <c r="AB5001" t="s">
        <v>60</v>
      </c>
      <c r="AC5001" t="s">
        <v>41</v>
      </c>
    </row>
    <row r="5002" spans="1:30" x14ac:dyDescent="0.35">
      <c r="A5002" s="7">
        <v>42941</v>
      </c>
      <c r="B5002" t="s">
        <v>30</v>
      </c>
      <c r="C5002">
        <v>111</v>
      </c>
      <c r="D5002">
        <v>2</v>
      </c>
      <c r="E5002">
        <v>2</v>
      </c>
      <c r="F5002" t="s">
        <v>315</v>
      </c>
      <c r="G5002" t="s">
        <v>32</v>
      </c>
      <c r="H5002" t="s">
        <v>33</v>
      </c>
      <c r="I5002" t="s">
        <v>59</v>
      </c>
      <c r="AB5002" t="s">
        <v>60</v>
      </c>
      <c r="AC5002" t="s">
        <v>41</v>
      </c>
    </row>
    <row r="5003" spans="1:30" x14ac:dyDescent="0.35">
      <c r="A5003" s="7">
        <v>42941</v>
      </c>
      <c r="B5003" t="s">
        <v>30</v>
      </c>
      <c r="C5003">
        <v>111</v>
      </c>
      <c r="D5003">
        <v>3</v>
      </c>
      <c r="E5003">
        <v>1</v>
      </c>
      <c r="F5003" t="s">
        <v>315</v>
      </c>
      <c r="G5003" t="s">
        <v>32</v>
      </c>
      <c r="H5003" t="s">
        <v>33</v>
      </c>
      <c r="I5003" t="s">
        <v>84</v>
      </c>
      <c r="AB5003" t="s">
        <v>60</v>
      </c>
      <c r="AC5003" t="s">
        <v>41</v>
      </c>
    </row>
    <row r="5004" spans="1:30" x14ac:dyDescent="0.35">
      <c r="A5004" s="7">
        <v>42941</v>
      </c>
      <c r="B5004" t="s">
        <v>30</v>
      </c>
      <c r="C5004">
        <v>111</v>
      </c>
      <c r="D5004">
        <v>3</v>
      </c>
      <c r="E5004">
        <v>2</v>
      </c>
      <c r="F5004" t="s">
        <v>315</v>
      </c>
      <c r="G5004" t="s">
        <v>32</v>
      </c>
      <c r="H5004" t="s">
        <v>33</v>
      </c>
      <c r="I5004" t="s">
        <v>43</v>
      </c>
      <c r="J5004" t="s">
        <v>44</v>
      </c>
      <c r="K5004" t="s">
        <v>36</v>
      </c>
      <c r="L5004" t="s">
        <v>37</v>
      </c>
      <c r="M5004">
        <v>0</v>
      </c>
      <c r="N5004">
        <v>0</v>
      </c>
      <c r="O5004">
        <v>2871</v>
      </c>
      <c r="P5004">
        <v>2870</v>
      </c>
      <c r="Q5004">
        <f>35-13</f>
        <v>22</v>
      </c>
      <c r="R5004" t="s">
        <v>38</v>
      </c>
      <c r="Y5004" t="s">
        <v>1062</v>
      </c>
      <c r="AB5004" t="s">
        <v>60</v>
      </c>
      <c r="AC5004" t="s">
        <v>41</v>
      </c>
    </row>
    <row r="5005" spans="1:30" x14ac:dyDescent="0.35">
      <c r="A5005" s="7">
        <v>42941</v>
      </c>
      <c r="B5005" t="s">
        <v>30</v>
      </c>
      <c r="C5005">
        <v>111</v>
      </c>
      <c r="D5005">
        <v>4</v>
      </c>
      <c r="E5005">
        <v>1</v>
      </c>
      <c r="F5005" t="s">
        <v>315</v>
      </c>
      <c r="G5005" t="s">
        <v>32</v>
      </c>
      <c r="H5005" t="s">
        <v>33</v>
      </c>
      <c r="I5005" t="s">
        <v>43</v>
      </c>
      <c r="J5005" t="s">
        <v>35</v>
      </c>
      <c r="K5005" t="s">
        <v>36</v>
      </c>
      <c r="L5005" t="s">
        <v>37</v>
      </c>
      <c r="M5005">
        <v>0</v>
      </c>
      <c r="N5005">
        <v>1</v>
      </c>
      <c r="O5005">
        <v>39727</v>
      </c>
      <c r="P5005">
        <v>39726</v>
      </c>
      <c r="Q5005">
        <f>32-13</f>
        <v>19</v>
      </c>
      <c r="R5005" t="s">
        <v>38</v>
      </c>
      <c r="Z5005" t="s">
        <v>102</v>
      </c>
      <c r="AB5005" t="s">
        <v>60</v>
      </c>
      <c r="AC5005" t="s">
        <v>41</v>
      </c>
    </row>
    <row r="5006" spans="1:30" x14ac:dyDescent="0.35">
      <c r="A5006" s="7">
        <v>42941</v>
      </c>
      <c r="B5006" t="s">
        <v>30</v>
      </c>
      <c r="C5006">
        <v>111</v>
      </c>
      <c r="D5006">
        <v>4</v>
      </c>
      <c r="E5006">
        <v>2</v>
      </c>
      <c r="F5006" t="s">
        <v>315</v>
      </c>
      <c r="G5006" t="s">
        <v>32</v>
      </c>
      <c r="H5006" t="s">
        <v>33</v>
      </c>
      <c r="I5006" t="s">
        <v>59</v>
      </c>
      <c r="AB5006" t="s">
        <v>60</v>
      </c>
      <c r="AC5006" t="s">
        <v>41</v>
      </c>
    </row>
    <row r="5007" spans="1:30" x14ac:dyDescent="0.35">
      <c r="A5007" s="7">
        <v>42941</v>
      </c>
      <c r="B5007" t="s">
        <v>30</v>
      </c>
      <c r="C5007">
        <v>111</v>
      </c>
      <c r="D5007">
        <v>5</v>
      </c>
      <c r="E5007">
        <v>1</v>
      </c>
      <c r="F5007" t="s">
        <v>315</v>
      </c>
      <c r="G5007" t="s">
        <v>32</v>
      </c>
      <c r="H5007" t="s">
        <v>33</v>
      </c>
      <c r="I5007" t="s">
        <v>59</v>
      </c>
      <c r="AB5007" t="s">
        <v>60</v>
      </c>
      <c r="AC5007" t="s">
        <v>41</v>
      </c>
    </row>
    <row r="5008" spans="1:30" x14ac:dyDescent="0.35">
      <c r="A5008" s="7">
        <v>42941</v>
      </c>
      <c r="B5008" t="s">
        <v>30</v>
      </c>
      <c r="C5008">
        <v>111</v>
      </c>
      <c r="D5008">
        <v>5</v>
      </c>
      <c r="E5008">
        <v>2</v>
      </c>
      <c r="F5008" t="s">
        <v>315</v>
      </c>
      <c r="G5008" t="s">
        <v>32</v>
      </c>
      <c r="H5008" t="s">
        <v>33</v>
      </c>
      <c r="I5008" t="s">
        <v>84</v>
      </c>
      <c r="AB5008" t="s">
        <v>60</v>
      </c>
      <c r="AC5008" t="s">
        <v>41</v>
      </c>
    </row>
    <row r="5009" spans="1:30" x14ac:dyDescent="0.35">
      <c r="A5009" s="7">
        <v>42941</v>
      </c>
      <c r="B5009" t="s">
        <v>30</v>
      </c>
      <c r="C5009">
        <v>111</v>
      </c>
      <c r="D5009">
        <v>6</v>
      </c>
      <c r="E5009">
        <v>1</v>
      </c>
      <c r="F5009" t="s">
        <v>315</v>
      </c>
      <c r="G5009" t="s">
        <v>32</v>
      </c>
      <c r="H5009" t="s">
        <v>33</v>
      </c>
      <c r="I5009" t="s">
        <v>43</v>
      </c>
      <c r="J5009" t="s">
        <v>44</v>
      </c>
      <c r="K5009" t="s">
        <v>36</v>
      </c>
      <c r="L5009" t="s">
        <v>37</v>
      </c>
      <c r="M5009">
        <v>0</v>
      </c>
      <c r="N5009">
        <v>0</v>
      </c>
      <c r="O5009">
        <v>39307</v>
      </c>
      <c r="P5009">
        <v>39308</v>
      </c>
      <c r="Q5009">
        <f>36-13.5</f>
        <v>22.5</v>
      </c>
      <c r="R5009" t="s">
        <v>38</v>
      </c>
      <c r="AB5009" t="s">
        <v>60</v>
      </c>
      <c r="AC5009" t="s">
        <v>41</v>
      </c>
      <c r="AD5009" t="s">
        <v>710</v>
      </c>
    </row>
    <row r="5010" spans="1:30" x14ac:dyDescent="0.35">
      <c r="A5010" s="7">
        <v>42941</v>
      </c>
      <c r="B5010" t="s">
        <v>30</v>
      </c>
      <c r="C5010">
        <v>111</v>
      </c>
      <c r="D5010">
        <v>6</v>
      </c>
      <c r="E5010">
        <v>2</v>
      </c>
      <c r="F5010" t="s">
        <v>315</v>
      </c>
      <c r="G5010" t="s">
        <v>32</v>
      </c>
      <c r="H5010" t="s">
        <v>33</v>
      </c>
      <c r="I5010" t="s">
        <v>59</v>
      </c>
      <c r="AB5010" t="s">
        <v>60</v>
      </c>
      <c r="AC5010" t="s">
        <v>41</v>
      </c>
    </row>
    <row r="5011" spans="1:30" x14ac:dyDescent="0.35">
      <c r="A5011" s="7">
        <v>42941</v>
      </c>
      <c r="B5011" t="s">
        <v>30</v>
      </c>
      <c r="C5011">
        <v>111</v>
      </c>
      <c r="D5011">
        <v>7</v>
      </c>
      <c r="E5011">
        <v>1</v>
      </c>
      <c r="F5011" t="s">
        <v>315</v>
      </c>
      <c r="G5011" t="s">
        <v>32</v>
      </c>
      <c r="H5011" t="s">
        <v>33</v>
      </c>
      <c r="I5011" t="s">
        <v>84</v>
      </c>
      <c r="AB5011" t="s">
        <v>60</v>
      </c>
      <c r="AC5011" t="s">
        <v>41</v>
      </c>
    </row>
    <row r="5012" spans="1:30" x14ac:dyDescent="0.35">
      <c r="A5012" s="7">
        <v>42941</v>
      </c>
      <c r="B5012" t="s">
        <v>30</v>
      </c>
      <c r="C5012">
        <v>111</v>
      </c>
      <c r="D5012">
        <v>7</v>
      </c>
      <c r="E5012">
        <v>2</v>
      </c>
      <c r="F5012" t="s">
        <v>315</v>
      </c>
      <c r="G5012" t="s">
        <v>32</v>
      </c>
      <c r="H5012" t="s">
        <v>33</v>
      </c>
      <c r="I5012" t="s">
        <v>84</v>
      </c>
      <c r="AB5012" t="s">
        <v>60</v>
      </c>
      <c r="AC5012" t="s">
        <v>41</v>
      </c>
    </row>
    <row r="5013" spans="1:30" x14ac:dyDescent="0.35">
      <c r="A5013" s="7">
        <v>42941</v>
      </c>
      <c r="B5013" t="s">
        <v>30</v>
      </c>
      <c r="C5013">
        <v>111</v>
      </c>
      <c r="D5013">
        <v>8</v>
      </c>
      <c r="E5013">
        <v>1</v>
      </c>
      <c r="F5013" t="s">
        <v>315</v>
      </c>
      <c r="G5013" t="s">
        <v>32</v>
      </c>
      <c r="H5013" t="s">
        <v>33</v>
      </c>
      <c r="I5013" t="s">
        <v>43</v>
      </c>
      <c r="J5013" t="s">
        <v>44</v>
      </c>
      <c r="K5013" t="s">
        <v>36</v>
      </c>
      <c r="L5013" t="s">
        <v>45</v>
      </c>
      <c r="M5013">
        <v>0</v>
      </c>
      <c r="N5013">
        <v>0</v>
      </c>
      <c r="O5013">
        <v>39301</v>
      </c>
      <c r="P5013">
        <v>39302</v>
      </c>
      <c r="Q5013">
        <f>37-15</f>
        <v>22</v>
      </c>
      <c r="R5013" t="s">
        <v>1021</v>
      </c>
      <c r="S5013" t="s">
        <v>102</v>
      </c>
      <c r="AB5013" t="s">
        <v>60</v>
      </c>
      <c r="AC5013" t="s">
        <v>41</v>
      </c>
    </row>
    <row r="5014" spans="1:30" x14ac:dyDescent="0.35">
      <c r="A5014" s="7">
        <v>42941</v>
      </c>
      <c r="B5014" t="s">
        <v>30</v>
      </c>
      <c r="C5014">
        <v>111</v>
      </c>
      <c r="D5014">
        <v>8</v>
      </c>
      <c r="E5014">
        <v>2</v>
      </c>
      <c r="F5014" t="s">
        <v>315</v>
      </c>
      <c r="G5014" t="s">
        <v>32</v>
      </c>
      <c r="H5014" t="s">
        <v>33</v>
      </c>
      <c r="I5014" t="s">
        <v>59</v>
      </c>
      <c r="AB5014" t="s">
        <v>60</v>
      </c>
      <c r="AC5014" t="s">
        <v>41</v>
      </c>
    </row>
    <row r="5015" spans="1:30" x14ac:dyDescent="0.35">
      <c r="A5015" s="7">
        <v>42941</v>
      </c>
      <c r="B5015" t="s">
        <v>30</v>
      </c>
      <c r="C5015">
        <v>111</v>
      </c>
      <c r="D5015">
        <v>9</v>
      </c>
      <c r="E5015">
        <v>1</v>
      </c>
      <c r="F5015" t="s">
        <v>315</v>
      </c>
      <c r="G5015" t="s">
        <v>32</v>
      </c>
      <c r="H5015" t="s">
        <v>33</v>
      </c>
      <c r="I5015" t="s">
        <v>59</v>
      </c>
      <c r="AB5015" t="s">
        <v>60</v>
      </c>
      <c r="AC5015" t="s">
        <v>41</v>
      </c>
    </row>
    <row r="5016" spans="1:30" x14ac:dyDescent="0.35">
      <c r="A5016" s="7">
        <v>42941</v>
      </c>
      <c r="B5016" t="s">
        <v>30</v>
      </c>
      <c r="C5016">
        <v>111</v>
      </c>
      <c r="D5016">
        <v>9</v>
      </c>
      <c r="E5016">
        <v>2</v>
      </c>
      <c r="F5016" t="s">
        <v>315</v>
      </c>
      <c r="G5016" t="s">
        <v>32</v>
      </c>
      <c r="H5016" t="s">
        <v>33</v>
      </c>
      <c r="I5016" t="s">
        <v>94</v>
      </c>
      <c r="J5016" t="s">
        <v>35</v>
      </c>
      <c r="K5016" t="s">
        <v>36</v>
      </c>
      <c r="L5016" t="s">
        <v>45</v>
      </c>
      <c r="M5016">
        <v>0</v>
      </c>
      <c r="N5016">
        <v>1</v>
      </c>
      <c r="O5016">
        <v>39451</v>
      </c>
      <c r="Q5016">
        <f>45-18</f>
        <v>27</v>
      </c>
      <c r="R5016" t="s">
        <v>1021</v>
      </c>
      <c r="S5016" t="s">
        <v>102</v>
      </c>
      <c r="AB5016" t="s">
        <v>60</v>
      </c>
      <c r="AC5016" t="s">
        <v>41</v>
      </c>
    </row>
    <row r="5017" spans="1:30" x14ac:dyDescent="0.35">
      <c r="A5017" s="7">
        <v>42941</v>
      </c>
      <c r="B5017" t="s">
        <v>30</v>
      </c>
      <c r="C5017">
        <v>111</v>
      </c>
      <c r="D5017">
        <v>10</v>
      </c>
      <c r="E5017">
        <v>1</v>
      </c>
      <c r="F5017" t="s">
        <v>315</v>
      </c>
      <c r="G5017" t="s">
        <v>32</v>
      </c>
      <c r="H5017" t="s">
        <v>33</v>
      </c>
      <c r="I5017" t="s">
        <v>84</v>
      </c>
      <c r="AB5017" t="s">
        <v>60</v>
      </c>
      <c r="AC5017" t="s">
        <v>41</v>
      </c>
    </row>
    <row r="5018" spans="1:30" x14ac:dyDescent="0.35">
      <c r="A5018" s="7">
        <v>42941</v>
      </c>
      <c r="B5018" t="s">
        <v>30</v>
      </c>
      <c r="C5018">
        <v>111</v>
      </c>
      <c r="D5018">
        <v>10</v>
      </c>
      <c r="E5018">
        <v>2</v>
      </c>
      <c r="F5018" t="s">
        <v>315</v>
      </c>
      <c r="G5018" t="s">
        <v>32</v>
      </c>
      <c r="H5018" t="s">
        <v>33</v>
      </c>
      <c r="I5018" t="s">
        <v>59</v>
      </c>
      <c r="AB5018" t="s">
        <v>60</v>
      </c>
      <c r="AC5018" t="s">
        <v>41</v>
      </c>
    </row>
    <row r="5019" spans="1:30" x14ac:dyDescent="0.35">
      <c r="A5019" s="7">
        <v>42941</v>
      </c>
      <c r="B5019" t="s">
        <v>30</v>
      </c>
      <c r="C5019">
        <v>112</v>
      </c>
      <c r="D5019">
        <v>1</v>
      </c>
      <c r="E5019">
        <v>1</v>
      </c>
      <c r="F5019" t="s">
        <v>315</v>
      </c>
      <c r="G5019" t="s">
        <v>32</v>
      </c>
      <c r="H5019" t="s">
        <v>33</v>
      </c>
      <c r="I5019" t="s">
        <v>59</v>
      </c>
      <c r="AB5019" t="s">
        <v>60</v>
      </c>
      <c r="AC5019" t="s">
        <v>41</v>
      </c>
    </row>
    <row r="5020" spans="1:30" x14ac:dyDescent="0.35">
      <c r="A5020" s="7">
        <v>42941</v>
      </c>
      <c r="B5020" t="s">
        <v>30</v>
      </c>
      <c r="C5020">
        <v>112</v>
      </c>
      <c r="D5020">
        <v>1</v>
      </c>
      <c r="E5020">
        <v>2</v>
      </c>
      <c r="F5020" t="s">
        <v>315</v>
      </c>
      <c r="G5020" t="s">
        <v>32</v>
      </c>
      <c r="H5020" t="s">
        <v>33</v>
      </c>
      <c r="I5020" t="s">
        <v>59</v>
      </c>
      <c r="AB5020" t="s">
        <v>60</v>
      </c>
      <c r="AC5020" t="s">
        <v>41</v>
      </c>
    </row>
    <row r="5021" spans="1:30" x14ac:dyDescent="0.35">
      <c r="A5021" s="7">
        <v>42941</v>
      </c>
      <c r="B5021" t="s">
        <v>30</v>
      </c>
      <c r="C5021">
        <v>112</v>
      </c>
      <c r="D5021">
        <v>2</v>
      </c>
      <c r="E5021">
        <v>1</v>
      </c>
      <c r="F5021" t="s">
        <v>315</v>
      </c>
      <c r="G5021" t="s">
        <v>32</v>
      </c>
      <c r="H5021" t="s">
        <v>33</v>
      </c>
      <c r="I5021" t="s">
        <v>59</v>
      </c>
      <c r="AB5021" t="s">
        <v>60</v>
      </c>
      <c r="AC5021" t="s">
        <v>41</v>
      </c>
    </row>
    <row r="5022" spans="1:30" x14ac:dyDescent="0.35">
      <c r="A5022" s="7">
        <v>42941</v>
      </c>
      <c r="B5022" t="s">
        <v>30</v>
      </c>
      <c r="C5022">
        <v>112</v>
      </c>
      <c r="D5022">
        <v>2</v>
      </c>
      <c r="E5022">
        <v>2</v>
      </c>
      <c r="F5022" t="s">
        <v>315</v>
      </c>
      <c r="G5022" t="s">
        <v>32</v>
      </c>
      <c r="H5022" t="s">
        <v>33</v>
      </c>
      <c r="I5022" t="s">
        <v>43</v>
      </c>
      <c r="J5022" t="s">
        <v>35</v>
      </c>
      <c r="K5022" t="s">
        <v>88</v>
      </c>
      <c r="L5022" t="s">
        <v>45</v>
      </c>
      <c r="M5022">
        <v>0</v>
      </c>
      <c r="N5022">
        <v>1</v>
      </c>
      <c r="O5022">
        <v>39734</v>
      </c>
      <c r="P5022">
        <v>39733</v>
      </c>
      <c r="Q5022">
        <f>28-13.5</f>
        <v>14.5</v>
      </c>
      <c r="R5022" t="s">
        <v>46</v>
      </c>
      <c r="S5022" t="s">
        <v>39</v>
      </c>
      <c r="Z5022" t="s">
        <v>102</v>
      </c>
      <c r="AB5022" t="s">
        <v>60</v>
      </c>
      <c r="AC5022" t="s">
        <v>41</v>
      </c>
    </row>
    <row r="5023" spans="1:30" x14ac:dyDescent="0.35">
      <c r="A5023" s="7">
        <v>42941</v>
      </c>
      <c r="B5023" t="s">
        <v>30</v>
      </c>
      <c r="C5023">
        <v>112</v>
      </c>
      <c r="D5023">
        <v>3</v>
      </c>
      <c r="E5023">
        <v>1</v>
      </c>
      <c r="F5023" t="s">
        <v>315</v>
      </c>
      <c r="G5023" t="s">
        <v>32</v>
      </c>
      <c r="H5023" t="s">
        <v>33</v>
      </c>
      <c r="I5023" t="s">
        <v>59</v>
      </c>
      <c r="AB5023" t="s">
        <v>60</v>
      </c>
      <c r="AC5023" t="s">
        <v>41</v>
      </c>
    </row>
    <row r="5024" spans="1:30" x14ac:dyDescent="0.35">
      <c r="A5024" s="7">
        <v>42941</v>
      </c>
      <c r="B5024" t="s">
        <v>30</v>
      </c>
      <c r="C5024">
        <v>112</v>
      </c>
      <c r="D5024">
        <v>3</v>
      </c>
      <c r="E5024">
        <v>2</v>
      </c>
      <c r="F5024" t="s">
        <v>315</v>
      </c>
      <c r="G5024" t="s">
        <v>32</v>
      </c>
      <c r="H5024" t="s">
        <v>33</v>
      </c>
      <c r="I5024" t="s">
        <v>59</v>
      </c>
      <c r="AB5024" t="s">
        <v>60</v>
      </c>
      <c r="AC5024" t="s">
        <v>41</v>
      </c>
    </row>
    <row r="5025" spans="1:29" x14ac:dyDescent="0.35">
      <c r="A5025" s="7">
        <v>42941</v>
      </c>
      <c r="B5025" t="s">
        <v>30</v>
      </c>
      <c r="C5025">
        <v>112</v>
      </c>
      <c r="D5025">
        <v>4</v>
      </c>
      <c r="E5025">
        <v>1</v>
      </c>
      <c r="F5025" t="s">
        <v>315</v>
      </c>
      <c r="G5025" t="s">
        <v>32</v>
      </c>
      <c r="H5025" t="s">
        <v>33</v>
      </c>
      <c r="I5025" t="s">
        <v>59</v>
      </c>
      <c r="AB5025" t="s">
        <v>60</v>
      </c>
      <c r="AC5025" t="s">
        <v>41</v>
      </c>
    </row>
    <row r="5026" spans="1:29" x14ac:dyDescent="0.35">
      <c r="A5026" s="7">
        <v>42941</v>
      </c>
      <c r="B5026" t="s">
        <v>30</v>
      </c>
      <c r="C5026">
        <v>112</v>
      </c>
      <c r="D5026">
        <v>4</v>
      </c>
      <c r="E5026">
        <v>2</v>
      </c>
      <c r="F5026" t="s">
        <v>315</v>
      </c>
      <c r="G5026" t="s">
        <v>32</v>
      </c>
      <c r="H5026" t="s">
        <v>33</v>
      </c>
      <c r="I5026" t="s">
        <v>72</v>
      </c>
      <c r="J5026" t="s">
        <v>66</v>
      </c>
      <c r="AB5026" t="s">
        <v>60</v>
      </c>
      <c r="AC5026" t="s">
        <v>41</v>
      </c>
    </row>
    <row r="5027" spans="1:29" x14ac:dyDescent="0.35">
      <c r="A5027" s="7">
        <v>42941</v>
      </c>
      <c r="B5027" t="s">
        <v>30</v>
      </c>
      <c r="C5027">
        <v>112</v>
      </c>
      <c r="D5027">
        <v>5</v>
      </c>
      <c r="E5027">
        <v>1</v>
      </c>
      <c r="F5027" t="s">
        <v>315</v>
      </c>
      <c r="G5027" t="s">
        <v>32</v>
      </c>
      <c r="H5027" t="s">
        <v>33</v>
      </c>
      <c r="I5027" t="s">
        <v>59</v>
      </c>
      <c r="AB5027" t="s">
        <v>60</v>
      </c>
      <c r="AC5027" t="s">
        <v>41</v>
      </c>
    </row>
    <row r="5028" spans="1:29" x14ac:dyDescent="0.35">
      <c r="A5028" s="7">
        <v>42941</v>
      </c>
      <c r="B5028" t="s">
        <v>30</v>
      </c>
      <c r="C5028">
        <v>112</v>
      </c>
      <c r="D5028">
        <v>5</v>
      </c>
      <c r="E5028">
        <v>2</v>
      </c>
      <c r="F5028" t="s">
        <v>315</v>
      </c>
      <c r="G5028" t="s">
        <v>32</v>
      </c>
      <c r="H5028" t="s">
        <v>33</v>
      </c>
      <c r="I5028" t="s">
        <v>59</v>
      </c>
      <c r="AB5028" t="s">
        <v>60</v>
      </c>
      <c r="AC5028" t="s">
        <v>41</v>
      </c>
    </row>
    <row r="5029" spans="1:29" x14ac:dyDescent="0.35">
      <c r="A5029" s="7">
        <v>42941</v>
      </c>
      <c r="B5029" t="s">
        <v>30</v>
      </c>
      <c r="C5029">
        <v>112</v>
      </c>
      <c r="D5029">
        <v>6</v>
      </c>
      <c r="E5029">
        <v>1</v>
      </c>
      <c r="F5029" t="s">
        <v>315</v>
      </c>
      <c r="G5029" t="s">
        <v>32</v>
      </c>
      <c r="H5029" t="s">
        <v>33</v>
      </c>
      <c r="I5029" t="s">
        <v>59</v>
      </c>
      <c r="AB5029" t="s">
        <v>60</v>
      </c>
      <c r="AC5029" t="s">
        <v>41</v>
      </c>
    </row>
    <row r="5030" spans="1:29" x14ac:dyDescent="0.35">
      <c r="A5030" s="7">
        <v>42941</v>
      </c>
      <c r="B5030" t="s">
        <v>30</v>
      </c>
      <c r="C5030">
        <v>112</v>
      </c>
      <c r="D5030">
        <v>6</v>
      </c>
      <c r="E5030">
        <v>2</v>
      </c>
      <c r="F5030" t="s">
        <v>315</v>
      </c>
      <c r="G5030" t="s">
        <v>32</v>
      </c>
      <c r="H5030" t="s">
        <v>33</v>
      </c>
      <c r="I5030" t="s">
        <v>43</v>
      </c>
      <c r="J5030" t="s">
        <v>35</v>
      </c>
      <c r="K5030" t="s">
        <v>36</v>
      </c>
      <c r="L5030" t="s">
        <v>45</v>
      </c>
      <c r="M5030">
        <v>0</v>
      </c>
      <c r="N5030">
        <v>1</v>
      </c>
      <c r="O5030">
        <v>39732</v>
      </c>
      <c r="P5030">
        <v>39731</v>
      </c>
      <c r="Q5030">
        <f>38-14</f>
        <v>24</v>
      </c>
      <c r="R5030" t="s">
        <v>1028</v>
      </c>
      <c r="S5030" t="s">
        <v>102</v>
      </c>
      <c r="AB5030" t="s">
        <v>60</v>
      </c>
      <c r="AC5030" t="s">
        <v>41</v>
      </c>
    </row>
    <row r="5031" spans="1:29" x14ac:dyDescent="0.35">
      <c r="A5031" s="7">
        <v>42941</v>
      </c>
      <c r="B5031" t="s">
        <v>30</v>
      </c>
      <c r="C5031">
        <v>112</v>
      </c>
      <c r="D5031">
        <v>7</v>
      </c>
      <c r="E5031">
        <v>1</v>
      </c>
      <c r="F5031" t="s">
        <v>315</v>
      </c>
      <c r="G5031" t="s">
        <v>32</v>
      </c>
      <c r="H5031" t="s">
        <v>33</v>
      </c>
      <c r="I5031" t="s">
        <v>94</v>
      </c>
      <c r="J5031" t="s">
        <v>44</v>
      </c>
      <c r="K5031" t="s">
        <v>36</v>
      </c>
      <c r="L5031" t="s">
        <v>45</v>
      </c>
      <c r="M5031">
        <v>0</v>
      </c>
      <c r="N5031">
        <v>0</v>
      </c>
      <c r="O5031">
        <v>11951</v>
      </c>
      <c r="Q5031">
        <f>39-13</f>
        <v>26</v>
      </c>
      <c r="R5031" t="s">
        <v>1021</v>
      </c>
      <c r="S5031" t="s">
        <v>102</v>
      </c>
      <c r="AB5031" t="s">
        <v>60</v>
      </c>
      <c r="AC5031" t="s">
        <v>41</v>
      </c>
    </row>
    <row r="5032" spans="1:29" x14ac:dyDescent="0.35">
      <c r="A5032" s="7">
        <v>42941</v>
      </c>
      <c r="B5032" t="s">
        <v>30</v>
      </c>
      <c r="C5032">
        <v>112</v>
      </c>
      <c r="D5032">
        <v>7</v>
      </c>
      <c r="E5032">
        <v>2</v>
      </c>
      <c r="F5032" t="s">
        <v>315</v>
      </c>
      <c r="G5032" t="s">
        <v>32</v>
      </c>
      <c r="H5032" t="s">
        <v>33</v>
      </c>
      <c r="I5032" t="s">
        <v>43</v>
      </c>
      <c r="J5032" t="s">
        <v>35</v>
      </c>
      <c r="K5032" t="s">
        <v>113</v>
      </c>
      <c r="L5032" t="s">
        <v>37</v>
      </c>
      <c r="M5032">
        <v>0</v>
      </c>
      <c r="N5032">
        <v>1</v>
      </c>
      <c r="O5032">
        <v>39730</v>
      </c>
      <c r="P5032">
        <v>39729</v>
      </c>
      <c r="Q5032">
        <f>30-14</f>
        <v>16</v>
      </c>
      <c r="R5032" t="s">
        <v>38</v>
      </c>
      <c r="Y5032" t="s">
        <v>1063</v>
      </c>
      <c r="AB5032" t="s">
        <v>60</v>
      </c>
      <c r="AC5032" t="s">
        <v>41</v>
      </c>
    </row>
    <row r="5033" spans="1:29" x14ac:dyDescent="0.35">
      <c r="A5033" s="7">
        <v>42941</v>
      </c>
      <c r="B5033" t="s">
        <v>30</v>
      </c>
      <c r="C5033">
        <v>112</v>
      </c>
      <c r="D5033">
        <v>8</v>
      </c>
      <c r="E5033">
        <v>1</v>
      </c>
      <c r="F5033" t="s">
        <v>315</v>
      </c>
      <c r="G5033" t="s">
        <v>32</v>
      </c>
      <c r="H5033" t="s">
        <v>33</v>
      </c>
      <c r="I5033" t="s">
        <v>59</v>
      </c>
      <c r="AB5033" t="s">
        <v>60</v>
      </c>
      <c r="AC5033" t="s">
        <v>41</v>
      </c>
    </row>
    <row r="5034" spans="1:29" x14ac:dyDescent="0.35">
      <c r="A5034" s="7">
        <v>42941</v>
      </c>
      <c r="B5034" t="s">
        <v>30</v>
      </c>
      <c r="C5034">
        <v>112</v>
      </c>
      <c r="D5034">
        <v>8</v>
      </c>
      <c r="E5034">
        <v>2</v>
      </c>
      <c r="F5034" t="s">
        <v>315</v>
      </c>
      <c r="G5034" t="s">
        <v>32</v>
      </c>
      <c r="H5034" t="s">
        <v>33</v>
      </c>
      <c r="I5034" t="s">
        <v>59</v>
      </c>
      <c r="AB5034" t="s">
        <v>60</v>
      </c>
      <c r="AC5034" t="s">
        <v>41</v>
      </c>
    </row>
    <row r="5035" spans="1:29" x14ac:dyDescent="0.35">
      <c r="A5035" s="7">
        <v>42941</v>
      </c>
      <c r="B5035" t="s">
        <v>30</v>
      </c>
      <c r="C5035">
        <v>112</v>
      </c>
      <c r="D5035">
        <v>9</v>
      </c>
      <c r="E5035">
        <v>1</v>
      </c>
      <c r="F5035" t="s">
        <v>315</v>
      </c>
      <c r="G5035" t="s">
        <v>32</v>
      </c>
      <c r="H5035" t="s">
        <v>33</v>
      </c>
      <c r="I5035" t="s">
        <v>94</v>
      </c>
      <c r="J5035" t="s">
        <v>35</v>
      </c>
      <c r="K5035" t="s">
        <v>36</v>
      </c>
      <c r="L5035" t="s">
        <v>37</v>
      </c>
      <c r="M5035">
        <v>0</v>
      </c>
      <c r="N5035">
        <v>1</v>
      </c>
      <c r="O5035">
        <v>39728</v>
      </c>
      <c r="Q5035">
        <f>41-13</f>
        <v>28</v>
      </c>
      <c r="R5035" t="s">
        <v>38</v>
      </c>
      <c r="Z5035" t="s">
        <v>102</v>
      </c>
      <c r="AB5035" t="s">
        <v>60</v>
      </c>
      <c r="AC5035" t="s">
        <v>41</v>
      </c>
    </row>
    <row r="5036" spans="1:29" x14ac:dyDescent="0.35">
      <c r="A5036" s="7">
        <v>42941</v>
      </c>
      <c r="B5036" t="s">
        <v>30</v>
      </c>
      <c r="C5036">
        <v>112</v>
      </c>
      <c r="D5036">
        <v>9</v>
      </c>
      <c r="E5036">
        <v>2</v>
      </c>
      <c r="F5036" t="s">
        <v>315</v>
      </c>
      <c r="G5036" t="s">
        <v>32</v>
      </c>
      <c r="H5036" t="s">
        <v>33</v>
      </c>
      <c r="I5036" t="s">
        <v>43</v>
      </c>
      <c r="J5036" t="s">
        <v>44</v>
      </c>
      <c r="K5036" t="s">
        <v>36</v>
      </c>
      <c r="L5036" t="s">
        <v>37</v>
      </c>
      <c r="M5036">
        <v>0</v>
      </c>
      <c r="N5036">
        <v>0</v>
      </c>
      <c r="O5036">
        <v>39000</v>
      </c>
      <c r="P5036">
        <v>38999</v>
      </c>
      <c r="Q5036">
        <f>37-14</f>
        <v>23</v>
      </c>
      <c r="R5036" t="s">
        <v>38</v>
      </c>
      <c r="AB5036" t="s">
        <v>60</v>
      </c>
      <c r="AC5036" t="s">
        <v>41</v>
      </c>
    </row>
    <row r="5037" spans="1:29" x14ac:dyDescent="0.35">
      <c r="A5037" s="7">
        <v>42941</v>
      </c>
      <c r="B5037" t="s">
        <v>30</v>
      </c>
      <c r="C5037">
        <v>112</v>
      </c>
      <c r="D5037">
        <v>10</v>
      </c>
      <c r="E5037">
        <v>1</v>
      </c>
      <c r="F5037" t="s">
        <v>315</v>
      </c>
      <c r="G5037" t="s">
        <v>32</v>
      </c>
      <c r="H5037" t="s">
        <v>33</v>
      </c>
      <c r="I5037" t="s">
        <v>34</v>
      </c>
      <c r="J5037" t="s">
        <v>44</v>
      </c>
      <c r="K5037" t="s">
        <v>36</v>
      </c>
      <c r="L5037" t="s">
        <v>37</v>
      </c>
      <c r="M5037">
        <v>0</v>
      </c>
      <c r="N5037">
        <v>0</v>
      </c>
      <c r="O5037">
        <v>39800</v>
      </c>
      <c r="Q5037">
        <f>168-72</f>
        <v>96</v>
      </c>
      <c r="R5037" t="s">
        <v>38</v>
      </c>
      <c r="AB5037" t="s">
        <v>60</v>
      </c>
      <c r="AC5037" t="s">
        <v>41</v>
      </c>
    </row>
    <row r="5038" spans="1:29" x14ac:dyDescent="0.35">
      <c r="A5038" s="7">
        <v>42941</v>
      </c>
      <c r="B5038" t="s">
        <v>30</v>
      </c>
      <c r="C5038">
        <v>112</v>
      </c>
      <c r="D5038">
        <v>10</v>
      </c>
      <c r="E5038">
        <v>2</v>
      </c>
      <c r="F5038" t="s">
        <v>315</v>
      </c>
      <c r="G5038" t="s">
        <v>32</v>
      </c>
      <c r="H5038" t="s">
        <v>33</v>
      </c>
      <c r="I5038" t="s">
        <v>59</v>
      </c>
      <c r="AB5038" t="s">
        <v>60</v>
      </c>
      <c r="AC5038" t="s">
        <v>41</v>
      </c>
    </row>
    <row r="5039" spans="1:29" x14ac:dyDescent="0.35">
      <c r="A5039" s="7">
        <v>42941</v>
      </c>
      <c r="B5039" t="s">
        <v>30</v>
      </c>
      <c r="C5039">
        <v>113</v>
      </c>
      <c r="D5039">
        <v>1</v>
      </c>
      <c r="E5039">
        <v>1</v>
      </c>
      <c r="F5039" t="s">
        <v>315</v>
      </c>
      <c r="G5039" t="s">
        <v>32</v>
      </c>
      <c r="H5039" t="s">
        <v>33</v>
      </c>
      <c r="I5039" t="s">
        <v>84</v>
      </c>
      <c r="AB5039" t="s">
        <v>60</v>
      </c>
      <c r="AC5039" t="s">
        <v>41</v>
      </c>
    </row>
    <row r="5040" spans="1:29" x14ac:dyDescent="0.35">
      <c r="A5040" s="7">
        <v>42941</v>
      </c>
      <c r="B5040" t="s">
        <v>30</v>
      </c>
      <c r="C5040">
        <v>113</v>
      </c>
      <c r="D5040">
        <v>1</v>
      </c>
      <c r="E5040">
        <v>2</v>
      </c>
      <c r="F5040" t="s">
        <v>315</v>
      </c>
      <c r="G5040" t="s">
        <v>32</v>
      </c>
      <c r="H5040" t="s">
        <v>33</v>
      </c>
      <c r="I5040" t="s">
        <v>84</v>
      </c>
      <c r="AB5040" t="s">
        <v>60</v>
      </c>
      <c r="AC5040" t="s">
        <v>41</v>
      </c>
    </row>
    <row r="5041" spans="1:29" x14ac:dyDescent="0.35">
      <c r="A5041" s="7">
        <v>42941</v>
      </c>
      <c r="B5041" t="s">
        <v>30</v>
      </c>
      <c r="C5041">
        <v>113</v>
      </c>
      <c r="D5041">
        <v>2</v>
      </c>
      <c r="E5041">
        <v>1</v>
      </c>
      <c r="F5041" t="s">
        <v>315</v>
      </c>
      <c r="G5041" t="s">
        <v>32</v>
      </c>
      <c r="H5041" t="s">
        <v>33</v>
      </c>
      <c r="I5041" t="s">
        <v>84</v>
      </c>
      <c r="AB5041" t="s">
        <v>60</v>
      </c>
      <c r="AC5041" t="s">
        <v>41</v>
      </c>
    </row>
    <row r="5042" spans="1:29" x14ac:dyDescent="0.35">
      <c r="A5042" s="7">
        <v>42941</v>
      </c>
      <c r="B5042" t="s">
        <v>30</v>
      </c>
      <c r="C5042">
        <v>113</v>
      </c>
      <c r="D5042">
        <v>2</v>
      </c>
      <c r="E5042">
        <v>2</v>
      </c>
      <c r="F5042" t="s">
        <v>315</v>
      </c>
      <c r="G5042" t="s">
        <v>32</v>
      </c>
      <c r="H5042" t="s">
        <v>33</v>
      </c>
      <c r="I5042" t="s">
        <v>84</v>
      </c>
      <c r="AB5042" t="s">
        <v>60</v>
      </c>
      <c r="AC5042" t="s">
        <v>41</v>
      </c>
    </row>
    <row r="5043" spans="1:29" x14ac:dyDescent="0.35">
      <c r="A5043" s="7">
        <v>42941</v>
      </c>
      <c r="B5043" t="s">
        <v>30</v>
      </c>
      <c r="C5043">
        <v>113</v>
      </c>
      <c r="D5043">
        <v>3</v>
      </c>
      <c r="E5043">
        <v>1</v>
      </c>
      <c r="F5043" t="s">
        <v>315</v>
      </c>
      <c r="G5043" t="s">
        <v>32</v>
      </c>
      <c r="H5043" t="s">
        <v>33</v>
      </c>
      <c r="I5043" t="s">
        <v>84</v>
      </c>
      <c r="AB5043" t="s">
        <v>60</v>
      </c>
      <c r="AC5043" t="s">
        <v>41</v>
      </c>
    </row>
    <row r="5044" spans="1:29" x14ac:dyDescent="0.35">
      <c r="A5044" s="7">
        <v>42941</v>
      </c>
      <c r="B5044" t="s">
        <v>30</v>
      </c>
      <c r="C5044">
        <v>113</v>
      </c>
      <c r="D5044">
        <v>4</v>
      </c>
      <c r="E5044">
        <v>1</v>
      </c>
      <c r="F5044" t="s">
        <v>315</v>
      </c>
      <c r="G5044" t="s">
        <v>32</v>
      </c>
      <c r="H5044" t="s">
        <v>33</v>
      </c>
      <c r="I5044" t="s">
        <v>84</v>
      </c>
      <c r="AB5044" t="s">
        <v>60</v>
      </c>
      <c r="AC5044" t="s">
        <v>41</v>
      </c>
    </row>
    <row r="5045" spans="1:29" x14ac:dyDescent="0.35">
      <c r="A5045" s="7">
        <v>42941</v>
      </c>
      <c r="B5045" t="s">
        <v>30</v>
      </c>
      <c r="C5045">
        <v>113</v>
      </c>
      <c r="D5045">
        <v>4</v>
      </c>
      <c r="E5045">
        <v>2</v>
      </c>
      <c r="F5045" t="s">
        <v>315</v>
      </c>
      <c r="G5045" t="s">
        <v>32</v>
      </c>
      <c r="H5045" t="s">
        <v>33</v>
      </c>
      <c r="I5045" t="s">
        <v>84</v>
      </c>
      <c r="AB5045" t="s">
        <v>60</v>
      </c>
      <c r="AC5045" t="s">
        <v>41</v>
      </c>
    </row>
    <row r="5046" spans="1:29" x14ac:dyDescent="0.35">
      <c r="A5046" s="7">
        <v>42941</v>
      </c>
      <c r="B5046" t="s">
        <v>30</v>
      </c>
      <c r="C5046">
        <v>113</v>
      </c>
      <c r="D5046">
        <v>5</v>
      </c>
      <c r="E5046">
        <v>1</v>
      </c>
      <c r="F5046" t="s">
        <v>315</v>
      </c>
      <c r="G5046" t="s">
        <v>32</v>
      </c>
      <c r="H5046" t="s">
        <v>33</v>
      </c>
      <c r="I5046" t="s">
        <v>84</v>
      </c>
      <c r="AB5046" t="s">
        <v>60</v>
      </c>
      <c r="AC5046" t="s">
        <v>41</v>
      </c>
    </row>
    <row r="5047" spans="1:29" x14ac:dyDescent="0.35">
      <c r="A5047" s="7">
        <v>42941</v>
      </c>
      <c r="B5047" t="s">
        <v>30</v>
      </c>
      <c r="C5047">
        <v>113</v>
      </c>
      <c r="D5047">
        <v>5</v>
      </c>
      <c r="E5047">
        <v>2</v>
      </c>
      <c r="F5047" t="s">
        <v>315</v>
      </c>
      <c r="G5047" t="s">
        <v>32</v>
      </c>
      <c r="H5047" t="s">
        <v>33</v>
      </c>
      <c r="I5047" t="s">
        <v>84</v>
      </c>
      <c r="AB5047" t="s">
        <v>60</v>
      </c>
      <c r="AC5047" t="s">
        <v>41</v>
      </c>
    </row>
    <row r="5048" spans="1:29" x14ac:dyDescent="0.35">
      <c r="A5048" s="7">
        <v>42941</v>
      </c>
      <c r="B5048" t="s">
        <v>30</v>
      </c>
      <c r="C5048">
        <v>113</v>
      </c>
      <c r="D5048">
        <v>6</v>
      </c>
      <c r="E5048">
        <v>1</v>
      </c>
      <c r="F5048" t="s">
        <v>315</v>
      </c>
      <c r="G5048" t="s">
        <v>32</v>
      </c>
      <c r="H5048" t="s">
        <v>33</v>
      </c>
      <c r="I5048" t="s">
        <v>84</v>
      </c>
      <c r="AB5048" t="s">
        <v>60</v>
      </c>
      <c r="AC5048" t="s">
        <v>41</v>
      </c>
    </row>
    <row r="5049" spans="1:29" x14ac:dyDescent="0.35">
      <c r="A5049" s="7">
        <v>42941</v>
      </c>
      <c r="B5049" t="s">
        <v>30</v>
      </c>
      <c r="C5049">
        <v>113</v>
      </c>
      <c r="D5049">
        <v>7</v>
      </c>
      <c r="E5049">
        <v>1</v>
      </c>
      <c r="F5049" t="s">
        <v>315</v>
      </c>
      <c r="G5049" t="s">
        <v>32</v>
      </c>
      <c r="H5049" t="s">
        <v>33</v>
      </c>
      <c r="I5049" t="s">
        <v>84</v>
      </c>
      <c r="AB5049" t="s">
        <v>60</v>
      </c>
      <c r="AC5049" t="s">
        <v>41</v>
      </c>
    </row>
    <row r="5050" spans="1:29" x14ac:dyDescent="0.35">
      <c r="A5050" s="7">
        <v>42941</v>
      </c>
      <c r="B5050" t="s">
        <v>30</v>
      </c>
      <c r="C5050">
        <v>113</v>
      </c>
      <c r="D5050">
        <v>7</v>
      </c>
      <c r="E5050">
        <v>2</v>
      </c>
      <c r="F5050" t="s">
        <v>315</v>
      </c>
      <c r="G5050" t="s">
        <v>32</v>
      </c>
      <c r="H5050" t="s">
        <v>33</v>
      </c>
      <c r="I5050" t="s">
        <v>84</v>
      </c>
      <c r="AB5050" t="s">
        <v>60</v>
      </c>
      <c r="AC5050" t="s">
        <v>41</v>
      </c>
    </row>
    <row r="5051" spans="1:29" x14ac:dyDescent="0.35">
      <c r="A5051" s="7">
        <v>42941</v>
      </c>
      <c r="B5051" t="s">
        <v>30</v>
      </c>
      <c r="C5051">
        <v>113</v>
      </c>
      <c r="D5051">
        <v>8</v>
      </c>
      <c r="E5051">
        <v>1</v>
      </c>
      <c r="F5051" t="s">
        <v>315</v>
      </c>
      <c r="G5051" t="s">
        <v>32</v>
      </c>
      <c r="H5051" t="s">
        <v>33</v>
      </c>
      <c r="I5051" t="s">
        <v>84</v>
      </c>
      <c r="AB5051" t="s">
        <v>60</v>
      </c>
      <c r="AC5051" t="s">
        <v>41</v>
      </c>
    </row>
    <row r="5052" spans="1:29" x14ac:dyDescent="0.35">
      <c r="A5052" s="7">
        <v>42941</v>
      </c>
      <c r="B5052" t="s">
        <v>30</v>
      </c>
      <c r="C5052">
        <v>113</v>
      </c>
      <c r="D5052">
        <v>9</v>
      </c>
      <c r="E5052">
        <v>1</v>
      </c>
      <c r="F5052" t="s">
        <v>315</v>
      </c>
      <c r="G5052" t="s">
        <v>32</v>
      </c>
      <c r="H5052" t="s">
        <v>33</v>
      </c>
      <c r="I5052" t="s">
        <v>84</v>
      </c>
      <c r="AB5052" t="s">
        <v>60</v>
      </c>
      <c r="AC5052" t="s">
        <v>41</v>
      </c>
    </row>
    <row r="5053" spans="1:29" x14ac:dyDescent="0.35">
      <c r="A5053" s="7">
        <v>42941</v>
      </c>
      <c r="B5053" t="s">
        <v>30</v>
      </c>
      <c r="C5053">
        <v>113</v>
      </c>
      <c r="D5053">
        <v>10</v>
      </c>
      <c r="E5053">
        <v>1</v>
      </c>
      <c r="F5053" t="s">
        <v>315</v>
      </c>
      <c r="G5053" t="s">
        <v>32</v>
      </c>
      <c r="H5053" t="s">
        <v>33</v>
      </c>
      <c r="I5053" t="s">
        <v>84</v>
      </c>
      <c r="AB5053" t="s">
        <v>60</v>
      </c>
      <c r="AC5053" t="s">
        <v>41</v>
      </c>
    </row>
    <row r="5054" spans="1:29" x14ac:dyDescent="0.35">
      <c r="A5054" s="7">
        <v>42941</v>
      </c>
      <c r="B5054" t="s">
        <v>30</v>
      </c>
      <c r="C5054">
        <v>113</v>
      </c>
      <c r="D5054">
        <v>10</v>
      </c>
      <c r="E5054">
        <v>2</v>
      </c>
      <c r="F5054" t="s">
        <v>315</v>
      </c>
      <c r="G5054" t="s">
        <v>32</v>
      </c>
      <c r="H5054" t="s">
        <v>33</v>
      </c>
      <c r="I5054" t="s">
        <v>84</v>
      </c>
      <c r="AB5054" t="s">
        <v>60</v>
      </c>
      <c r="AC5054" t="s">
        <v>41</v>
      </c>
    </row>
    <row r="5055" spans="1:29" x14ac:dyDescent="0.35">
      <c r="A5055" s="7">
        <v>42941</v>
      </c>
      <c r="B5055" t="s">
        <v>30</v>
      </c>
      <c r="C5055">
        <v>201</v>
      </c>
      <c r="D5055">
        <v>1</v>
      </c>
      <c r="E5055">
        <v>1</v>
      </c>
      <c r="F5055" t="s">
        <v>1020</v>
      </c>
      <c r="G5055" t="s">
        <v>32</v>
      </c>
      <c r="H5055" t="s">
        <v>33</v>
      </c>
      <c r="I5055" t="s">
        <v>59</v>
      </c>
      <c r="AB5055" t="s">
        <v>47</v>
      </c>
      <c r="AC5055" t="s">
        <v>86</v>
      </c>
    </row>
    <row r="5056" spans="1:29" x14ac:dyDescent="0.35">
      <c r="A5056" s="7">
        <v>42941</v>
      </c>
      <c r="B5056" t="s">
        <v>30</v>
      </c>
      <c r="C5056">
        <v>201</v>
      </c>
      <c r="D5056">
        <v>2</v>
      </c>
      <c r="E5056">
        <v>1</v>
      </c>
      <c r="F5056" t="s">
        <v>1020</v>
      </c>
      <c r="G5056" t="s">
        <v>32</v>
      </c>
      <c r="H5056" t="s">
        <v>33</v>
      </c>
      <c r="I5056" t="s">
        <v>59</v>
      </c>
      <c r="AB5056" t="s">
        <v>47</v>
      </c>
      <c r="AC5056" t="s">
        <v>86</v>
      </c>
    </row>
    <row r="5057" spans="1:29" x14ac:dyDescent="0.35">
      <c r="A5057" s="7">
        <v>42941</v>
      </c>
      <c r="B5057" t="s">
        <v>30</v>
      </c>
      <c r="C5057">
        <v>201</v>
      </c>
      <c r="D5057">
        <v>2</v>
      </c>
      <c r="E5057">
        <v>2</v>
      </c>
      <c r="F5057" t="s">
        <v>1020</v>
      </c>
      <c r="G5057" t="s">
        <v>32</v>
      </c>
      <c r="H5057" t="s">
        <v>33</v>
      </c>
      <c r="I5057" t="s">
        <v>59</v>
      </c>
      <c r="AB5057" t="s">
        <v>47</v>
      </c>
      <c r="AC5057" t="s">
        <v>86</v>
      </c>
    </row>
    <row r="5058" spans="1:29" x14ac:dyDescent="0.35">
      <c r="A5058" s="7">
        <v>42941</v>
      </c>
      <c r="B5058" t="s">
        <v>30</v>
      </c>
      <c r="C5058">
        <v>201</v>
      </c>
      <c r="D5058">
        <v>3</v>
      </c>
      <c r="E5058">
        <v>1</v>
      </c>
      <c r="F5058" t="s">
        <v>1020</v>
      </c>
      <c r="G5058" t="s">
        <v>32</v>
      </c>
      <c r="H5058" t="s">
        <v>33</v>
      </c>
      <c r="I5058" t="s">
        <v>59</v>
      </c>
      <c r="AB5058" t="s">
        <v>47</v>
      </c>
      <c r="AC5058" t="s">
        <v>86</v>
      </c>
    </row>
    <row r="5059" spans="1:29" x14ac:dyDescent="0.35">
      <c r="A5059" s="7">
        <v>42941</v>
      </c>
      <c r="B5059" t="s">
        <v>30</v>
      </c>
      <c r="C5059">
        <v>201</v>
      </c>
      <c r="D5059">
        <v>4</v>
      </c>
      <c r="E5059">
        <v>1</v>
      </c>
      <c r="F5059" t="s">
        <v>1020</v>
      </c>
      <c r="G5059" t="s">
        <v>32</v>
      </c>
      <c r="H5059" t="s">
        <v>33</v>
      </c>
      <c r="I5059" t="s">
        <v>59</v>
      </c>
      <c r="AB5059" t="s">
        <v>47</v>
      </c>
      <c r="AC5059" t="s">
        <v>86</v>
      </c>
    </row>
    <row r="5060" spans="1:29" x14ac:dyDescent="0.35">
      <c r="A5060" s="7">
        <v>42941</v>
      </c>
      <c r="B5060" t="s">
        <v>30</v>
      </c>
      <c r="C5060">
        <v>201</v>
      </c>
      <c r="D5060">
        <v>4</v>
      </c>
      <c r="E5060">
        <v>2</v>
      </c>
      <c r="F5060" t="s">
        <v>1020</v>
      </c>
      <c r="G5060" t="s">
        <v>32</v>
      </c>
      <c r="H5060" t="s">
        <v>33</v>
      </c>
      <c r="I5060" t="s">
        <v>59</v>
      </c>
      <c r="AB5060" t="s">
        <v>47</v>
      </c>
      <c r="AC5060" t="s">
        <v>86</v>
      </c>
    </row>
    <row r="5061" spans="1:29" x14ac:dyDescent="0.35">
      <c r="A5061" s="7">
        <v>42941</v>
      </c>
      <c r="B5061" t="s">
        <v>30</v>
      </c>
      <c r="C5061">
        <v>201</v>
      </c>
      <c r="D5061">
        <v>5</v>
      </c>
      <c r="E5061">
        <v>1</v>
      </c>
      <c r="F5061" t="s">
        <v>1020</v>
      </c>
      <c r="G5061" t="s">
        <v>32</v>
      </c>
      <c r="H5061" t="s">
        <v>33</v>
      </c>
      <c r="I5061" t="s">
        <v>43</v>
      </c>
      <c r="J5061" t="s">
        <v>44</v>
      </c>
      <c r="K5061" t="s">
        <v>113</v>
      </c>
      <c r="L5061" t="s">
        <v>37</v>
      </c>
      <c r="M5061">
        <v>0</v>
      </c>
      <c r="N5061">
        <v>0</v>
      </c>
      <c r="O5061">
        <v>38946</v>
      </c>
      <c r="P5061">
        <v>38945</v>
      </c>
      <c r="Q5061">
        <f>30-14</f>
        <v>16</v>
      </c>
      <c r="R5061" t="s">
        <v>64</v>
      </c>
      <c r="AB5061" t="s">
        <v>47</v>
      </c>
      <c r="AC5061" t="s">
        <v>86</v>
      </c>
    </row>
    <row r="5062" spans="1:29" x14ac:dyDescent="0.35">
      <c r="A5062" s="7">
        <v>42941</v>
      </c>
      <c r="B5062" t="s">
        <v>30</v>
      </c>
      <c r="C5062">
        <v>201</v>
      </c>
      <c r="D5062">
        <v>5</v>
      </c>
      <c r="E5062">
        <v>2</v>
      </c>
      <c r="F5062" t="s">
        <v>1020</v>
      </c>
      <c r="G5062" t="s">
        <v>32</v>
      </c>
      <c r="H5062" t="s">
        <v>33</v>
      </c>
      <c r="I5062" t="s">
        <v>59</v>
      </c>
      <c r="AB5062" t="s">
        <v>47</v>
      </c>
      <c r="AC5062" t="s">
        <v>86</v>
      </c>
    </row>
    <row r="5063" spans="1:29" x14ac:dyDescent="0.35">
      <c r="A5063" s="7">
        <v>42941</v>
      </c>
      <c r="B5063" t="s">
        <v>30</v>
      </c>
      <c r="C5063">
        <v>201</v>
      </c>
      <c r="D5063">
        <v>6</v>
      </c>
      <c r="E5063">
        <v>1</v>
      </c>
      <c r="F5063" t="s">
        <v>1020</v>
      </c>
      <c r="G5063" t="s">
        <v>32</v>
      </c>
      <c r="H5063" t="s">
        <v>33</v>
      </c>
      <c r="I5063" t="s">
        <v>59</v>
      </c>
      <c r="AB5063" t="s">
        <v>47</v>
      </c>
      <c r="AC5063" t="s">
        <v>86</v>
      </c>
    </row>
    <row r="5064" spans="1:29" x14ac:dyDescent="0.35">
      <c r="A5064" s="7">
        <v>42941</v>
      </c>
      <c r="B5064" t="s">
        <v>30</v>
      </c>
      <c r="C5064">
        <v>201</v>
      </c>
      <c r="D5064">
        <v>6</v>
      </c>
      <c r="E5064">
        <v>2</v>
      </c>
      <c r="F5064" t="s">
        <v>1020</v>
      </c>
      <c r="G5064" t="s">
        <v>32</v>
      </c>
      <c r="H5064" t="s">
        <v>33</v>
      </c>
      <c r="I5064" t="s">
        <v>59</v>
      </c>
      <c r="AB5064" t="s">
        <v>47</v>
      </c>
      <c r="AC5064" t="s">
        <v>86</v>
      </c>
    </row>
    <row r="5065" spans="1:29" x14ac:dyDescent="0.35">
      <c r="A5065" s="7">
        <v>42941</v>
      </c>
      <c r="B5065" t="s">
        <v>30</v>
      </c>
      <c r="C5065">
        <v>201</v>
      </c>
      <c r="D5065">
        <v>7</v>
      </c>
      <c r="E5065">
        <v>1</v>
      </c>
      <c r="F5065" t="s">
        <v>1020</v>
      </c>
      <c r="G5065" t="s">
        <v>32</v>
      </c>
      <c r="H5065" t="s">
        <v>33</v>
      </c>
      <c r="I5065" t="s">
        <v>43</v>
      </c>
      <c r="J5065" t="s">
        <v>44</v>
      </c>
      <c r="K5065" t="s">
        <v>36</v>
      </c>
      <c r="L5065" t="s">
        <v>45</v>
      </c>
      <c r="M5065">
        <v>0</v>
      </c>
      <c r="N5065">
        <v>0</v>
      </c>
      <c r="O5065">
        <v>39326</v>
      </c>
      <c r="P5065">
        <v>39327</v>
      </c>
      <c r="Q5065">
        <f>32-14</f>
        <v>18</v>
      </c>
      <c r="R5065" t="s">
        <v>1021</v>
      </c>
      <c r="S5065" t="s">
        <v>102</v>
      </c>
      <c r="AB5065" t="s">
        <v>47</v>
      </c>
      <c r="AC5065" t="s">
        <v>86</v>
      </c>
    </row>
    <row r="5066" spans="1:29" x14ac:dyDescent="0.35">
      <c r="A5066" s="7">
        <v>42941</v>
      </c>
      <c r="B5066" t="s">
        <v>30</v>
      </c>
      <c r="C5066">
        <v>201</v>
      </c>
      <c r="D5066">
        <v>7</v>
      </c>
      <c r="E5066">
        <v>2</v>
      </c>
      <c r="F5066" t="s">
        <v>1020</v>
      </c>
      <c r="G5066" t="s">
        <v>32</v>
      </c>
      <c r="H5066" t="s">
        <v>33</v>
      </c>
      <c r="I5066" t="s">
        <v>59</v>
      </c>
      <c r="AB5066" t="s">
        <v>47</v>
      </c>
      <c r="AC5066" t="s">
        <v>86</v>
      </c>
    </row>
    <row r="5067" spans="1:29" x14ac:dyDescent="0.35">
      <c r="A5067" s="7">
        <v>42941</v>
      </c>
      <c r="B5067" t="s">
        <v>30</v>
      </c>
      <c r="C5067">
        <v>201</v>
      </c>
      <c r="D5067">
        <v>8</v>
      </c>
      <c r="E5067">
        <v>1</v>
      </c>
      <c r="F5067" t="s">
        <v>1020</v>
      </c>
      <c r="G5067" t="s">
        <v>32</v>
      </c>
      <c r="H5067" t="s">
        <v>33</v>
      </c>
      <c r="I5067" t="s">
        <v>59</v>
      </c>
      <c r="AB5067" t="s">
        <v>47</v>
      </c>
      <c r="AC5067" t="s">
        <v>86</v>
      </c>
    </row>
    <row r="5068" spans="1:29" x14ac:dyDescent="0.35">
      <c r="A5068" s="7">
        <v>42941</v>
      </c>
      <c r="B5068" t="s">
        <v>30</v>
      </c>
      <c r="C5068">
        <v>201</v>
      </c>
      <c r="D5068">
        <v>10</v>
      </c>
      <c r="E5068">
        <v>1</v>
      </c>
      <c r="F5068" t="s">
        <v>1020</v>
      </c>
      <c r="G5068" t="s">
        <v>32</v>
      </c>
      <c r="H5068" t="s">
        <v>33</v>
      </c>
      <c r="I5068" t="s">
        <v>59</v>
      </c>
      <c r="AB5068" t="s">
        <v>47</v>
      </c>
      <c r="AC5068" t="s">
        <v>86</v>
      </c>
    </row>
    <row r="5069" spans="1:29" x14ac:dyDescent="0.35">
      <c r="A5069" s="7">
        <v>42941</v>
      </c>
      <c r="B5069" t="s">
        <v>30</v>
      </c>
      <c r="C5069">
        <v>202</v>
      </c>
      <c r="D5069">
        <v>3</v>
      </c>
      <c r="E5069">
        <v>1</v>
      </c>
      <c r="F5069" t="s">
        <v>1020</v>
      </c>
      <c r="G5069" t="s">
        <v>32</v>
      </c>
      <c r="H5069" t="s">
        <v>33</v>
      </c>
      <c r="I5069" t="s">
        <v>59</v>
      </c>
      <c r="AB5069" t="s">
        <v>47</v>
      </c>
      <c r="AC5069" t="s">
        <v>86</v>
      </c>
    </row>
    <row r="5070" spans="1:29" x14ac:dyDescent="0.35">
      <c r="A5070" s="7">
        <v>42941</v>
      </c>
      <c r="B5070" t="s">
        <v>30</v>
      </c>
      <c r="C5070">
        <v>202</v>
      </c>
      <c r="D5070">
        <v>4</v>
      </c>
      <c r="E5070">
        <v>1</v>
      </c>
      <c r="F5070" t="s">
        <v>1020</v>
      </c>
      <c r="G5070" t="s">
        <v>32</v>
      </c>
      <c r="H5070" t="s">
        <v>33</v>
      </c>
      <c r="I5070" t="s">
        <v>59</v>
      </c>
      <c r="AB5070" t="s">
        <v>47</v>
      </c>
      <c r="AC5070" t="s">
        <v>86</v>
      </c>
    </row>
    <row r="5071" spans="1:29" x14ac:dyDescent="0.35">
      <c r="A5071" s="7">
        <v>42941</v>
      </c>
      <c r="B5071" t="s">
        <v>30</v>
      </c>
      <c r="C5071">
        <v>202</v>
      </c>
      <c r="D5071">
        <v>4</v>
      </c>
      <c r="E5071">
        <v>2</v>
      </c>
      <c r="F5071" t="s">
        <v>1020</v>
      </c>
      <c r="G5071" t="s">
        <v>32</v>
      </c>
      <c r="H5071" t="s">
        <v>33</v>
      </c>
      <c r="I5071" t="s">
        <v>59</v>
      </c>
      <c r="AB5071" t="s">
        <v>47</v>
      </c>
      <c r="AC5071" t="s">
        <v>86</v>
      </c>
    </row>
    <row r="5072" spans="1:29" x14ac:dyDescent="0.35">
      <c r="A5072" s="7">
        <v>42941</v>
      </c>
      <c r="B5072" t="s">
        <v>30</v>
      </c>
      <c r="C5072">
        <v>202</v>
      </c>
      <c r="D5072">
        <v>5</v>
      </c>
      <c r="E5072">
        <v>1</v>
      </c>
      <c r="F5072" t="s">
        <v>1020</v>
      </c>
      <c r="G5072" t="s">
        <v>32</v>
      </c>
      <c r="H5072" t="s">
        <v>33</v>
      </c>
      <c r="I5072" t="s">
        <v>59</v>
      </c>
      <c r="AB5072" t="s">
        <v>47</v>
      </c>
      <c r="AC5072" t="s">
        <v>86</v>
      </c>
    </row>
    <row r="5073" spans="1:30" x14ac:dyDescent="0.35">
      <c r="A5073" s="7">
        <v>42941</v>
      </c>
      <c r="B5073" t="s">
        <v>30</v>
      </c>
      <c r="C5073">
        <v>202</v>
      </c>
      <c r="D5073">
        <v>5</v>
      </c>
      <c r="E5073">
        <v>2</v>
      </c>
      <c r="F5073" t="s">
        <v>1020</v>
      </c>
      <c r="G5073" t="s">
        <v>32</v>
      </c>
      <c r="H5073" t="s">
        <v>33</v>
      </c>
      <c r="I5073" t="s">
        <v>59</v>
      </c>
      <c r="AB5073" t="s">
        <v>47</v>
      </c>
      <c r="AC5073" t="s">
        <v>86</v>
      </c>
    </row>
    <row r="5074" spans="1:30" x14ac:dyDescent="0.35">
      <c r="A5074" s="7">
        <v>42941</v>
      </c>
      <c r="B5074" t="s">
        <v>30</v>
      </c>
      <c r="C5074">
        <v>202</v>
      </c>
      <c r="D5074">
        <v>6</v>
      </c>
      <c r="E5074">
        <v>1</v>
      </c>
      <c r="F5074" t="s">
        <v>1020</v>
      </c>
      <c r="G5074" t="s">
        <v>32</v>
      </c>
      <c r="H5074" t="s">
        <v>33</v>
      </c>
      <c r="I5074" t="s">
        <v>59</v>
      </c>
      <c r="AB5074" t="s">
        <v>47</v>
      </c>
      <c r="AC5074" t="s">
        <v>86</v>
      </c>
    </row>
    <row r="5075" spans="1:30" x14ac:dyDescent="0.35">
      <c r="A5075" s="7">
        <v>42941</v>
      </c>
      <c r="B5075" t="s">
        <v>30</v>
      </c>
      <c r="C5075">
        <v>203</v>
      </c>
      <c r="D5075">
        <v>2</v>
      </c>
      <c r="E5075">
        <v>1</v>
      </c>
      <c r="F5075" t="s">
        <v>1020</v>
      </c>
      <c r="G5075" t="s">
        <v>32</v>
      </c>
      <c r="H5075" t="s">
        <v>33</v>
      </c>
      <c r="I5075" t="s">
        <v>43</v>
      </c>
      <c r="J5075" t="s">
        <v>35</v>
      </c>
      <c r="K5075" t="s">
        <v>36</v>
      </c>
      <c r="L5075" t="s">
        <v>45</v>
      </c>
      <c r="M5075">
        <v>0</v>
      </c>
      <c r="N5075">
        <v>1</v>
      </c>
      <c r="O5075">
        <v>39370</v>
      </c>
      <c r="P5075">
        <v>39369</v>
      </c>
      <c r="Q5075">
        <f>34-13</f>
        <v>21</v>
      </c>
      <c r="R5075" t="s">
        <v>1021</v>
      </c>
      <c r="S5075" t="s">
        <v>102</v>
      </c>
      <c r="AB5075" t="s">
        <v>47</v>
      </c>
      <c r="AC5075" t="s">
        <v>86</v>
      </c>
    </row>
    <row r="5076" spans="1:30" x14ac:dyDescent="0.35">
      <c r="A5076" s="7">
        <v>42941</v>
      </c>
      <c r="B5076" t="s">
        <v>30</v>
      </c>
      <c r="C5076">
        <v>203</v>
      </c>
      <c r="D5076">
        <v>6</v>
      </c>
      <c r="E5076">
        <v>1</v>
      </c>
      <c r="F5076" t="s">
        <v>1020</v>
      </c>
      <c r="G5076" t="s">
        <v>32</v>
      </c>
      <c r="H5076" t="s">
        <v>33</v>
      </c>
      <c r="I5076" t="s">
        <v>94</v>
      </c>
      <c r="J5076" t="s">
        <v>35</v>
      </c>
      <c r="K5076" t="s">
        <v>36</v>
      </c>
      <c r="L5076" t="s">
        <v>45</v>
      </c>
      <c r="M5076">
        <v>0</v>
      </c>
      <c r="N5076">
        <v>1</v>
      </c>
      <c r="P5076">
        <v>39371</v>
      </c>
      <c r="Q5076">
        <f>38-13</f>
        <v>25</v>
      </c>
      <c r="R5076" t="s">
        <v>1021</v>
      </c>
      <c r="S5076" t="s">
        <v>102</v>
      </c>
      <c r="AB5076" t="s">
        <v>47</v>
      </c>
      <c r="AC5076" t="s">
        <v>86</v>
      </c>
      <c r="AD5076" t="s">
        <v>1024</v>
      </c>
    </row>
    <row r="5077" spans="1:30" x14ac:dyDescent="0.35">
      <c r="A5077" s="7">
        <v>42941</v>
      </c>
      <c r="B5077" t="s">
        <v>30</v>
      </c>
      <c r="C5077">
        <v>304</v>
      </c>
      <c r="D5077">
        <v>1</v>
      </c>
      <c r="E5077">
        <v>1</v>
      </c>
      <c r="F5077" t="s">
        <v>1020</v>
      </c>
      <c r="G5077" t="s">
        <v>32</v>
      </c>
      <c r="H5077" t="s">
        <v>33</v>
      </c>
      <c r="I5077" t="s">
        <v>59</v>
      </c>
      <c r="AB5077" t="s">
        <v>47</v>
      </c>
      <c r="AC5077" t="s">
        <v>86</v>
      </c>
    </row>
    <row r="5078" spans="1:30" x14ac:dyDescent="0.35">
      <c r="A5078" s="7">
        <v>42941</v>
      </c>
      <c r="B5078" t="s">
        <v>30</v>
      </c>
      <c r="C5078">
        <v>304</v>
      </c>
      <c r="D5078">
        <v>1</v>
      </c>
      <c r="E5078">
        <v>2</v>
      </c>
      <c r="F5078" t="s">
        <v>1020</v>
      </c>
      <c r="G5078" t="s">
        <v>32</v>
      </c>
      <c r="H5078" t="s">
        <v>33</v>
      </c>
      <c r="I5078" t="s">
        <v>59</v>
      </c>
      <c r="AB5078" t="s">
        <v>47</v>
      </c>
      <c r="AC5078" t="s">
        <v>86</v>
      </c>
    </row>
    <row r="5079" spans="1:30" x14ac:dyDescent="0.35">
      <c r="A5079" s="7">
        <v>42941</v>
      </c>
      <c r="B5079" t="s">
        <v>30</v>
      </c>
      <c r="C5079">
        <v>304</v>
      </c>
      <c r="D5079">
        <v>2</v>
      </c>
      <c r="E5079">
        <v>1</v>
      </c>
      <c r="F5079" t="s">
        <v>1020</v>
      </c>
      <c r="G5079" t="s">
        <v>32</v>
      </c>
      <c r="H5079" t="s">
        <v>33</v>
      </c>
      <c r="I5079" t="s">
        <v>59</v>
      </c>
      <c r="AB5079" t="s">
        <v>47</v>
      </c>
      <c r="AC5079" t="s">
        <v>86</v>
      </c>
    </row>
    <row r="5080" spans="1:30" x14ac:dyDescent="0.35">
      <c r="A5080" s="7">
        <v>42941</v>
      </c>
      <c r="B5080" t="s">
        <v>30</v>
      </c>
      <c r="C5080">
        <v>304</v>
      </c>
      <c r="D5080">
        <v>3</v>
      </c>
      <c r="E5080">
        <v>1</v>
      </c>
      <c r="F5080" t="s">
        <v>1020</v>
      </c>
      <c r="G5080" t="s">
        <v>32</v>
      </c>
      <c r="H5080" t="s">
        <v>33</v>
      </c>
      <c r="I5080" t="s">
        <v>59</v>
      </c>
      <c r="AB5080" t="s">
        <v>47</v>
      </c>
      <c r="AC5080" t="s">
        <v>86</v>
      </c>
    </row>
    <row r="5081" spans="1:30" x14ac:dyDescent="0.35">
      <c r="A5081" s="7">
        <v>42941</v>
      </c>
      <c r="B5081" t="s">
        <v>30</v>
      </c>
      <c r="C5081">
        <v>304</v>
      </c>
      <c r="D5081">
        <v>4</v>
      </c>
      <c r="E5081">
        <v>1</v>
      </c>
      <c r="F5081" t="s">
        <v>1020</v>
      </c>
      <c r="G5081" t="s">
        <v>32</v>
      </c>
      <c r="H5081" t="s">
        <v>33</v>
      </c>
      <c r="I5081" t="s">
        <v>59</v>
      </c>
      <c r="AB5081" t="s">
        <v>47</v>
      </c>
      <c r="AC5081" t="s">
        <v>86</v>
      </c>
    </row>
    <row r="5082" spans="1:30" x14ac:dyDescent="0.35">
      <c r="A5082" s="7">
        <v>42941</v>
      </c>
      <c r="B5082" t="s">
        <v>30</v>
      </c>
      <c r="C5082">
        <v>304</v>
      </c>
      <c r="D5082">
        <v>7</v>
      </c>
      <c r="E5082">
        <v>1</v>
      </c>
      <c r="F5082" t="s">
        <v>1020</v>
      </c>
      <c r="G5082" t="s">
        <v>32</v>
      </c>
      <c r="H5082" t="s">
        <v>33</v>
      </c>
      <c r="I5082" t="s">
        <v>43</v>
      </c>
      <c r="J5082" t="s">
        <v>35</v>
      </c>
      <c r="K5082" t="s">
        <v>88</v>
      </c>
      <c r="L5082" t="s">
        <v>45</v>
      </c>
      <c r="M5082">
        <v>0</v>
      </c>
      <c r="N5082">
        <v>1</v>
      </c>
      <c r="O5082">
        <v>39373</v>
      </c>
      <c r="P5082">
        <v>39372</v>
      </c>
      <c r="Q5082">
        <f>30-13</f>
        <v>17</v>
      </c>
      <c r="R5082" t="s">
        <v>46</v>
      </c>
      <c r="S5082" t="s">
        <v>39</v>
      </c>
      <c r="AB5082" t="s">
        <v>47</v>
      </c>
      <c r="AC5082" t="s">
        <v>86</v>
      </c>
    </row>
    <row r="5083" spans="1:30" x14ac:dyDescent="0.35">
      <c r="A5083" s="7">
        <v>42941</v>
      </c>
      <c r="B5083" t="s">
        <v>30</v>
      </c>
      <c r="C5083">
        <v>304</v>
      </c>
      <c r="D5083">
        <v>10</v>
      </c>
      <c r="E5083">
        <v>1</v>
      </c>
      <c r="F5083" t="s">
        <v>1020</v>
      </c>
      <c r="G5083" t="s">
        <v>32</v>
      </c>
      <c r="H5083" t="s">
        <v>33</v>
      </c>
      <c r="I5083" t="s">
        <v>43</v>
      </c>
      <c r="J5083" t="s">
        <v>44</v>
      </c>
      <c r="K5083" t="s">
        <v>88</v>
      </c>
      <c r="L5083" t="s">
        <v>45</v>
      </c>
      <c r="M5083">
        <v>0</v>
      </c>
      <c r="N5083">
        <v>0</v>
      </c>
      <c r="O5083">
        <v>38934</v>
      </c>
      <c r="P5083">
        <v>38933</v>
      </c>
      <c r="Q5083">
        <f>30-13</f>
        <v>17</v>
      </c>
      <c r="R5083" t="s">
        <v>46</v>
      </c>
      <c r="S5083" t="s">
        <v>39</v>
      </c>
      <c r="Y5083" t="s">
        <v>1064</v>
      </c>
      <c r="Z5083" t="s">
        <v>102</v>
      </c>
      <c r="AB5083" t="s">
        <v>47</v>
      </c>
      <c r="AC5083" t="s">
        <v>86</v>
      </c>
    </row>
    <row r="5084" spans="1:30" x14ac:dyDescent="0.35">
      <c r="A5084" s="7">
        <v>42941</v>
      </c>
      <c r="B5084" t="s">
        <v>30</v>
      </c>
      <c r="C5084">
        <v>402</v>
      </c>
      <c r="D5084">
        <v>1</v>
      </c>
      <c r="E5084">
        <v>1</v>
      </c>
      <c r="F5084" t="s">
        <v>315</v>
      </c>
      <c r="G5084" t="s">
        <v>32</v>
      </c>
      <c r="H5084" t="s">
        <v>33</v>
      </c>
      <c r="I5084" t="s">
        <v>59</v>
      </c>
      <c r="AB5084" t="s">
        <v>60</v>
      </c>
      <c r="AC5084" t="s">
        <v>41</v>
      </c>
    </row>
    <row r="5085" spans="1:30" x14ac:dyDescent="0.35">
      <c r="A5085" s="7">
        <v>42941</v>
      </c>
      <c r="B5085" t="s">
        <v>30</v>
      </c>
      <c r="C5085">
        <v>402</v>
      </c>
      <c r="D5085">
        <v>1</v>
      </c>
      <c r="E5085">
        <v>2</v>
      </c>
      <c r="F5085" t="s">
        <v>315</v>
      </c>
      <c r="G5085" t="s">
        <v>32</v>
      </c>
      <c r="H5085" t="s">
        <v>33</v>
      </c>
      <c r="I5085" t="s">
        <v>84</v>
      </c>
      <c r="AB5085" t="s">
        <v>60</v>
      </c>
      <c r="AC5085" t="s">
        <v>41</v>
      </c>
    </row>
    <row r="5086" spans="1:30" x14ac:dyDescent="0.35">
      <c r="A5086" s="7">
        <v>42941</v>
      </c>
      <c r="B5086" t="s">
        <v>30</v>
      </c>
      <c r="C5086">
        <v>402</v>
      </c>
      <c r="D5086">
        <v>2</v>
      </c>
      <c r="E5086">
        <v>1</v>
      </c>
      <c r="F5086" t="s">
        <v>315</v>
      </c>
      <c r="G5086" t="s">
        <v>32</v>
      </c>
      <c r="H5086" t="s">
        <v>33</v>
      </c>
      <c r="I5086" t="s">
        <v>84</v>
      </c>
      <c r="AB5086" t="s">
        <v>60</v>
      </c>
      <c r="AC5086" t="s">
        <v>41</v>
      </c>
    </row>
    <row r="5087" spans="1:30" x14ac:dyDescent="0.35">
      <c r="A5087" s="7">
        <v>42941</v>
      </c>
      <c r="B5087" t="s">
        <v>30</v>
      </c>
      <c r="C5087">
        <v>402</v>
      </c>
      <c r="D5087">
        <v>2</v>
      </c>
      <c r="E5087">
        <v>2</v>
      </c>
      <c r="F5087" t="s">
        <v>315</v>
      </c>
      <c r="G5087" t="s">
        <v>32</v>
      </c>
      <c r="H5087" t="s">
        <v>33</v>
      </c>
      <c r="I5087" t="s">
        <v>84</v>
      </c>
      <c r="AB5087" t="s">
        <v>60</v>
      </c>
      <c r="AC5087" t="s">
        <v>41</v>
      </c>
    </row>
    <row r="5088" spans="1:30" x14ac:dyDescent="0.35">
      <c r="A5088" s="7">
        <v>42941</v>
      </c>
      <c r="B5088" t="s">
        <v>30</v>
      </c>
      <c r="C5088">
        <v>402</v>
      </c>
      <c r="D5088">
        <v>3</v>
      </c>
      <c r="E5088">
        <v>1</v>
      </c>
      <c r="F5088" t="s">
        <v>315</v>
      </c>
      <c r="G5088" t="s">
        <v>32</v>
      </c>
      <c r="H5088" t="s">
        <v>33</v>
      </c>
      <c r="I5088" t="s">
        <v>58</v>
      </c>
      <c r="J5088" t="s">
        <v>139</v>
      </c>
      <c r="AB5088" t="s">
        <v>60</v>
      </c>
      <c r="AC5088" t="s">
        <v>41</v>
      </c>
    </row>
    <row r="5089" spans="1:29" x14ac:dyDescent="0.35">
      <c r="A5089" s="7">
        <v>42941</v>
      </c>
      <c r="B5089" t="s">
        <v>30</v>
      </c>
      <c r="C5089">
        <v>402</v>
      </c>
      <c r="D5089">
        <v>3</v>
      </c>
      <c r="E5089">
        <v>2</v>
      </c>
      <c r="F5089" t="s">
        <v>315</v>
      </c>
      <c r="G5089" t="s">
        <v>32</v>
      </c>
      <c r="H5089" t="s">
        <v>33</v>
      </c>
      <c r="I5089" t="s">
        <v>59</v>
      </c>
      <c r="AB5089" t="s">
        <v>60</v>
      </c>
      <c r="AC5089" t="s">
        <v>41</v>
      </c>
    </row>
    <row r="5090" spans="1:29" x14ac:dyDescent="0.35">
      <c r="A5090" s="7">
        <v>42941</v>
      </c>
      <c r="B5090" t="s">
        <v>30</v>
      </c>
      <c r="C5090">
        <v>402</v>
      </c>
      <c r="D5090">
        <v>4</v>
      </c>
      <c r="E5090">
        <v>1</v>
      </c>
      <c r="F5090" t="s">
        <v>315</v>
      </c>
      <c r="G5090" t="s">
        <v>32</v>
      </c>
      <c r="H5090" t="s">
        <v>33</v>
      </c>
      <c r="I5090" t="s">
        <v>59</v>
      </c>
      <c r="AB5090" t="s">
        <v>60</v>
      </c>
      <c r="AC5090" t="s">
        <v>41</v>
      </c>
    </row>
    <row r="5091" spans="1:29" x14ac:dyDescent="0.35">
      <c r="A5091" s="7">
        <v>42941</v>
      </c>
      <c r="B5091" t="s">
        <v>30</v>
      </c>
      <c r="C5091">
        <v>402</v>
      </c>
      <c r="D5091">
        <v>4</v>
      </c>
      <c r="E5091">
        <v>2</v>
      </c>
      <c r="F5091" t="s">
        <v>315</v>
      </c>
      <c r="G5091" t="s">
        <v>32</v>
      </c>
      <c r="H5091" t="s">
        <v>33</v>
      </c>
      <c r="I5091" t="s">
        <v>59</v>
      </c>
      <c r="AB5091" t="s">
        <v>60</v>
      </c>
      <c r="AC5091" t="s">
        <v>41</v>
      </c>
    </row>
    <row r="5092" spans="1:29" x14ac:dyDescent="0.35">
      <c r="A5092" s="7">
        <v>42941</v>
      </c>
      <c r="B5092" t="s">
        <v>30</v>
      </c>
      <c r="C5092">
        <v>402</v>
      </c>
      <c r="D5092">
        <v>5</v>
      </c>
      <c r="E5092">
        <v>1</v>
      </c>
      <c r="F5092" t="s">
        <v>315</v>
      </c>
      <c r="G5092" t="s">
        <v>32</v>
      </c>
      <c r="H5092" t="s">
        <v>33</v>
      </c>
      <c r="I5092" t="s">
        <v>84</v>
      </c>
      <c r="AB5092" t="s">
        <v>60</v>
      </c>
      <c r="AC5092" t="s">
        <v>41</v>
      </c>
    </row>
    <row r="5093" spans="1:29" x14ac:dyDescent="0.35">
      <c r="A5093" s="7">
        <v>42941</v>
      </c>
      <c r="B5093" t="s">
        <v>30</v>
      </c>
      <c r="C5093">
        <v>402</v>
      </c>
      <c r="D5093">
        <v>5</v>
      </c>
      <c r="E5093">
        <v>2</v>
      </c>
      <c r="F5093" t="s">
        <v>315</v>
      </c>
      <c r="G5093" t="s">
        <v>32</v>
      </c>
      <c r="H5093" t="s">
        <v>33</v>
      </c>
      <c r="I5093" t="s">
        <v>84</v>
      </c>
      <c r="AB5093" t="s">
        <v>60</v>
      </c>
      <c r="AC5093" t="s">
        <v>41</v>
      </c>
    </row>
    <row r="5094" spans="1:29" x14ac:dyDescent="0.35">
      <c r="A5094" s="7">
        <v>42941</v>
      </c>
      <c r="B5094" t="s">
        <v>30</v>
      </c>
      <c r="C5094">
        <v>402</v>
      </c>
      <c r="D5094">
        <v>6</v>
      </c>
      <c r="E5094">
        <v>1</v>
      </c>
      <c r="F5094" t="s">
        <v>315</v>
      </c>
      <c r="G5094" t="s">
        <v>32</v>
      </c>
      <c r="H5094" t="s">
        <v>33</v>
      </c>
      <c r="I5094" t="s">
        <v>84</v>
      </c>
      <c r="AB5094" t="s">
        <v>60</v>
      </c>
      <c r="AC5094" t="s">
        <v>41</v>
      </c>
    </row>
    <row r="5095" spans="1:29" x14ac:dyDescent="0.35">
      <c r="A5095" s="7">
        <v>42941</v>
      </c>
      <c r="B5095" t="s">
        <v>30</v>
      </c>
      <c r="C5095">
        <v>402</v>
      </c>
      <c r="D5095">
        <v>6</v>
      </c>
      <c r="E5095">
        <v>2</v>
      </c>
      <c r="F5095" t="s">
        <v>315</v>
      </c>
      <c r="G5095" t="s">
        <v>32</v>
      </c>
      <c r="H5095" t="s">
        <v>33</v>
      </c>
      <c r="I5095" t="s">
        <v>84</v>
      </c>
      <c r="AB5095" t="s">
        <v>60</v>
      </c>
      <c r="AC5095" t="s">
        <v>41</v>
      </c>
    </row>
    <row r="5096" spans="1:29" x14ac:dyDescent="0.35">
      <c r="A5096" s="7">
        <v>42941</v>
      </c>
      <c r="B5096" t="s">
        <v>30</v>
      </c>
      <c r="C5096">
        <v>402</v>
      </c>
      <c r="D5096">
        <v>7</v>
      </c>
      <c r="E5096">
        <v>1</v>
      </c>
      <c r="F5096" t="s">
        <v>315</v>
      </c>
      <c r="G5096" t="s">
        <v>32</v>
      </c>
      <c r="H5096" t="s">
        <v>33</v>
      </c>
      <c r="I5096" t="s">
        <v>84</v>
      </c>
      <c r="AB5096" t="s">
        <v>60</v>
      </c>
      <c r="AC5096" t="s">
        <v>41</v>
      </c>
    </row>
    <row r="5097" spans="1:29" x14ac:dyDescent="0.35">
      <c r="A5097" s="7">
        <v>42941</v>
      </c>
      <c r="B5097" t="s">
        <v>30</v>
      </c>
      <c r="C5097">
        <v>402</v>
      </c>
      <c r="D5097">
        <v>7</v>
      </c>
      <c r="E5097">
        <v>2</v>
      </c>
      <c r="F5097" t="s">
        <v>315</v>
      </c>
      <c r="G5097" t="s">
        <v>32</v>
      </c>
      <c r="H5097" t="s">
        <v>33</v>
      </c>
      <c r="I5097" t="s">
        <v>84</v>
      </c>
      <c r="AB5097" t="s">
        <v>60</v>
      </c>
      <c r="AC5097" t="s">
        <v>41</v>
      </c>
    </row>
    <row r="5098" spans="1:29" x14ac:dyDescent="0.35">
      <c r="A5098" s="7">
        <v>42941</v>
      </c>
      <c r="B5098" t="s">
        <v>30</v>
      </c>
      <c r="C5098">
        <v>402</v>
      </c>
      <c r="D5098">
        <v>8</v>
      </c>
      <c r="E5098">
        <v>1</v>
      </c>
      <c r="F5098" t="s">
        <v>315</v>
      </c>
      <c r="G5098" t="s">
        <v>32</v>
      </c>
      <c r="H5098" t="s">
        <v>33</v>
      </c>
      <c r="I5098" t="s">
        <v>84</v>
      </c>
      <c r="AB5098" t="s">
        <v>60</v>
      </c>
      <c r="AC5098" t="s">
        <v>41</v>
      </c>
    </row>
    <row r="5099" spans="1:29" x14ac:dyDescent="0.35">
      <c r="A5099" s="7">
        <v>42941</v>
      </c>
      <c r="B5099" t="s">
        <v>30</v>
      </c>
      <c r="C5099">
        <v>402</v>
      </c>
      <c r="D5099">
        <v>8</v>
      </c>
      <c r="E5099">
        <v>2</v>
      </c>
      <c r="F5099" t="s">
        <v>315</v>
      </c>
      <c r="G5099" t="s">
        <v>32</v>
      </c>
      <c r="H5099" t="s">
        <v>33</v>
      </c>
      <c r="I5099" t="s">
        <v>84</v>
      </c>
      <c r="AB5099" t="s">
        <v>60</v>
      </c>
      <c r="AC5099" t="s">
        <v>41</v>
      </c>
    </row>
    <row r="5100" spans="1:29" x14ac:dyDescent="0.35">
      <c r="A5100" s="7">
        <v>42941</v>
      </c>
      <c r="B5100" t="s">
        <v>30</v>
      </c>
      <c r="C5100">
        <v>402</v>
      </c>
      <c r="D5100">
        <v>9</v>
      </c>
      <c r="E5100">
        <v>1</v>
      </c>
      <c r="F5100" t="s">
        <v>315</v>
      </c>
      <c r="G5100" t="s">
        <v>32</v>
      </c>
      <c r="H5100" t="s">
        <v>33</v>
      </c>
      <c r="I5100" t="s">
        <v>84</v>
      </c>
      <c r="AB5100" t="s">
        <v>60</v>
      </c>
      <c r="AC5100" t="s">
        <v>41</v>
      </c>
    </row>
    <row r="5101" spans="1:29" x14ac:dyDescent="0.35">
      <c r="A5101" s="7">
        <v>42941</v>
      </c>
      <c r="B5101" t="s">
        <v>30</v>
      </c>
      <c r="C5101">
        <v>402</v>
      </c>
      <c r="D5101">
        <v>9</v>
      </c>
      <c r="E5101">
        <v>2</v>
      </c>
      <c r="F5101" t="s">
        <v>315</v>
      </c>
      <c r="G5101" t="s">
        <v>32</v>
      </c>
      <c r="H5101" t="s">
        <v>33</v>
      </c>
      <c r="I5101" t="s">
        <v>84</v>
      </c>
      <c r="AB5101" t="s">
        <v>60</v>
      </c>
      <c r="AC5101" t="s">
        <v>41</v>
      </c>
    </row>
    <row r="5102" spans="1:29" x14ac:dyDescent="0.35">
      <c r="A5102" s="7">
        <v>42941</v>
      </c>
      <c r="B5102" t="s">
        <v>30</v>
      </c>
      <c r="C5102">
        <v>402</v>
      </c>
      <c r="D5102">
        <v>10</v>
      </c>
      <c r="E5102">
        <v>1</v>
      </c>
      <c r="F5102" t="s">
        <v>315</v>
      </c>
      <c r="G5102" t="s">
        <v>32</v>
      </c>
      <c r="H5102" t="s">
        <v>33</v>
      </c>
      <c r="I5102" t="s">
        <v>84</v>
      </c>
      <c r="AB5102" t="s">
        <v>60</v>
      </c>
      <c r="AC5102" t="s">
        <v>41</v>
      </c>
    </row>
    <row r="5103" spans="1:29" x14ac:dyDescent="0.35">
      <c r="A5103" s="7">
        <v>42941</v>
      </c>
      <c r="B5103" t="s">
        <v>30</v>
      </c>
      <c r="C5103">
        <v>402</v>
      </c>
      <c r="D5103">
        <v>10</v>
      </c>
      <c r="E5103">
        <v>2</v>
      </c>
      <c r="F5103" t="s">
        <v>315</v>
      </c>
      <c r="G5103" t="s">
        <v>32</v>
      </c>
      <c r="H5103" t="s">
        <v>33</v>
      </c>
      <c r="I5103" t="s">
        <v>43</v>
      </c>
      <c r="J5103" t="s">
        <v>139</v>
      </c>
      <c r="O5103">
        <v>39795</v>
      </c>
      <c r="P5103">
        <v>39794</v>
      </c>
      <c r="AB5103" t="s">
        <v>60</v>
      </c>
      <c r="AC5103" t="s">
        <v>41</v>
      </c>
    </row>
    <row r="5104" spans="1:29" x14ac:dyDescent="0.35">
      <c r="A5104" s="7">
        <v>42942</v>
      </c>
      <c r="B5104" t="s">
        <v>30</v>
      </c>
      <c r="C5104">
        <v>111</v>
      </c>
      <c r="D5104">
        <v>1</v>
      </c>
      <c r="E5104">
        <v>1</v>
      </c>
      <c r="F5104" t="s">
        <v>315</v>
      </c>
      <c r="G5104" t="s">
        <v>32</v>
      </c>
      <c r="H5104" t="s">
        <v>33</v>
      </c>
      <c r="I5104" t="s">
        <v>59</v>
      </c>
      <c r="AB5104" t="s">
        <v>60</v>
      </c>
      <c r="AC5104" t="s">
        <v>41</v>
      </c>
    </row>
    <row r="5105" spans="1:29" x14ac:dyDescent="0.35">
      <c r="A5105" s="7">
        <v>42942</v>
      </c>
      <c r="B5105" t="s">
        <v>30</v>
      </c>
      <c r="C5105">
        <v>111</v>
      </c>
      <c r="D5105">
        <v>1</v>
      </c>
      <c r="E5105">
        <v>2</v>
      </c>
      <c r="F5105" t="s">
        <v>315</v>
      </c>
      <c r="G5105" t="s">
        <v>32</v>
      </c>
      <c r="H5105" t="s">
        <v>33</v>
      </c>
      <c r="I5105" t="s">
        <v>59</v>
      </c>
      <c r="AB5105" t="s">
        <v>60</v>
      </c>
      <c r="AC5105" t="s">
        <v>41</v>
      </c>
    </row>
    <row r="5106" spans="1:29" x14ac:dyDescent="0.35">
      <c r="A5106" s="7">
        <v>42942</v>
      </c>
      <c r="B5106" t="s">
        <v>30</v>
      </c>
      <c r="C5106">
        <v>111</v>
      </c>
      <c r="D5106">
        <v>2</v>
      </c>
      <c r="E5106">
        <v>1</v>
      </c>
      <c r="F5106" t="s">
        <v>315</v>
      </c>
      <c r="G5106" t="s">
        <v>32</v>
      </c>
      <c r="H5106" t="s">
        <v>33</v>
      </c>
      <c r="I5106" t="s">
        <v>84</v>
      </c>
      <c r="AB5106" t="s">
        <v>60</v>
      </c>
      <c r="AC5106" t="s">
        <v>41</v>
      </c>
    </row>
    <row r="5107" spans="1:29" x14ac:dyDescent="0.35">
      <c r="A5107" s="7">
        <v>42942</v>
      </c>
      <c r="B5107" t="s">
        <v>30</v>
      </c>
      <c r="C5107">
        <v>111</v>
      </c>
      <c r="D5107">
        <v>2</v>
      </c>
      <c r="E5107">
        <v>2</v>
      </c>
      <c r="F5107" t="s">
        <v>315</v>
      </c>
      <c r="G5107" t="s">
        <v>32</v>
      </c>
      <c r="H5107" t="s">
        <v>33</v>
      </c>
      <c r="I5107" t="s">
        <v>43</v>
      </c>
      <c r="J5107" t="s">
        <v>44</v>
      </c>
      <c r="K5107" t="s">
        <v>36</v>
      </c>
      <c r="L5107" t="s">
        <v>45</v>
      </c>
      <c r="M5107">
        <v>0</v>
      </c>
      <c r="N5107">
        <v>0</v>
      </c>
      <c r="O5107">
        <v>39309</v>
      </c>
      <c r="P5107">
        <v>39310</v>
      </c>
      <c r="Q5107">
        <f>32-14</f>
        <v>18</v>
      </c>
      <c r="R5107" t="s">
        <v>1021</v>
      </c>
      <c r="S5107" t="s">
        <v>39</v>
      </c>
      <c r="Z5107" t="s">
        <v>102</v>
      </c>
      <c r="AB5107" t="s">
        <v>60</v>
      </c>
      <c r="AC5107" t="s">
        <v>41</v>
      </c>
    </row>
    <row r="5108" spans="1:29" x14ac:dyDescent="0.35">
      <c r="A5108" s="7">
        <v>42942</v>
      </c>
      <c r="B5108" t="s">
        <v>30</v>
      </c>
      <c r="C5108">
        <v>111</v>
      </c>
      <c r="D5108">
        <v>3</v>
      </c>
      <c r="E5108">
        <v>1</v>
      </c>
      <c r="F5108" t="s">
        <v>315</v>
      </c>
      <c r="G5108" t="s">
        <v>32</v>
      </c>
      <c r="H5108" t="s">
        <v>33</v>
      </c>
      <c r="I5108" t="s">
        <v>59</v>
      </c>
      <c r="AB5108" t="s">
        <v>60</v>
      </c>
      <c r="AC5108" t="s">
        <v>41</v>
      </c>
    </row>
    <row r="5109" spans="1:29" x14ac:dyDescent="0.35">
      <c r="A5109" s="7">
        <v>42942</v>
      </c>
      <c r="B5109" t="s">
        <v>30</v>
      </c>
      <c r="C5109">
        <v>111</v>
      </c>
      <c r="D5109">
        <v>3</v>
      </c>
      <c r="E5109">
        <v>2</v>
      </c>
      <c r="F5109" t="s">
        <v>315</v>
      </c>
      <c r="G5109" t="s">
        <v>32</v>
      </c>
      <c r="H5109" t="s">
        <v>33</v>
      </c>
      <c r="I5109" t="s">
        <v>94</v>
      </c>
      <c r="J5109" t="s">
        <v>92</v>
      </c>
      <c r="AB5109" t="s">
        <v>60</v>
      </c>
      <c r="AC5109" t="s">
        <v>41</v>
      </c>
    </row>
    <row r="5110" spans="1:29" x14ac:dyDescent="0.35">
      <c r="A5110" s="7">
        <v>42942</v>
      </c>
      <c r="B5110" t="s">
        <v>30</v>
      </c>
      <c r="C5110">
        <v>111</v>
      </c>
      <c r="D5110">
        <v>4</v>
      </c>
      <c r="E5110">
        <v>1</v>
      </c>
      <c r="F5110" t="s">
        <v>315</v>
      </c>
      <c r="G5110" t="s">
        <v>32</v>
      </c>
      <c r="H5110" t="s">
        <v>33</v>
      </c>
      <c r="I5110" t="s">
        <v>59</v>
      </c>
      <c r="AB5110" t="s">
        <v>60</v>
      </c>
      <c r="AC5110" t="s">
        <v>41</v>
      </c>
    </row>
    <row r="5111" spans="1:29" x14ac:dyDescent="0.35">
      <c r="A5111" s="7">
        <v>42942</v>
      </c>
      <c r="B5111" t="s">
        <v>30</v>
      </c>
      <c r="C5111">
        <v>111</v>
      </c>
      <c r="D5111">
        <v>4</v>
      </c>
      <c r="E5111">
        <v>2</v>
      </c>
      <c r="F5111" t="s">
        <v>315</v>
      </c>
      <c r="G5111" t="s">
        <v>32</v>
      </c>
      <c r="H5111" t="s">
        <v>33</v>
      </c>
      <c r="I5111" t="s">
        <v>59</v>
      </c>
      <c r="AB5111" t="s">
        <v>60</v>
      </c>
      <c r="AC5111" t="s">
        <v>41</v>
      </c>
    </row>
    <row r="5112" spans="1:29" x14ac:dyDescent="0.35">
      <c r="A5112" s="7">
        <v>42942</v>
      </c>
      <c r="B5112" t="s">
        <v>30</v>
      </c>
      <c r="C5112">
        <v>111</v>
      </c>
      <c r="D5112">
        <v>5</v>
      </c>
      <c r="E5112">
        <v>1</v>
      </c>
      <c r="F5112" t="s">
        <v>315</v>
      </c>
      <c r="G5112" t="s">
        <v>32</v>
      </c>
      <c r="H5112" t="s">
        <v>33</v>
      </c>
      <c r="I5112" t="s">
        <v>59</v>
      </c>
      <c r="AB5112" t="s">
        <v>60</v>
      </c>
      <c r="AC5112" t="s">
        <v>41</v>
      </c>
    </row>
    <row r="5113" spans="1:29" x14ac:dyDescent="0.35">
      <c r="A5113" s="7">
        <v>42942</v>
      </c>
      <c r="B5113" t="s">
        <v>30</v>
      </c>
      <c r="C5113">
        <v>111</v>
      </c>
      <c r="D5113">
        <v>5</v>
      </c>
      <c r="E5113">
        <v>2</v>
      </c>
      <c r="F5113" t="s">
        <v>315</v>
      </c>
      <c r="G5113" t="s">
        <v>32</v>
      </c>
      <c r="H5113" t="s">
        <v>33</v>
      </c>
      <c r="I5113" t="s">
        <v>59</v>
      </c>
      <c r="AB5113" t="s">
        <v>60</v>
      </c>
      <c r="AC5113" t="s">
        <v>41</v>
      </c>
    </row>
    <row r="5114" spans="1:29" x14ac:dyDescent="0.35">
      <c r="A5114" s="7">
        <v>42942</v>
      </c>
      <c r="B5114" t="s">
        <v>30</v>
      </c>
      <c r="C5114">
        <v>111</v>
      </c>
      <c r="D5114">
        <v>6</v>
      </c>
      <c r="E5114">
        <v>1</v>
      </c>
      <c r="F5114" t="s">
        <v>315</v>
      </c>
      <c r="G5114" t="s">
        <v>32</v>
      </c>
      <c r="H5114" t="s">
        <v>33</v>
      </c>
      <c r="I5114" t="s">
        <v>59</v>
      </c>
      <c r="AB5114" t="s">
        <v>60</v>
      </c>
      <c r="AC5114" t="s">
        <v>41</v>
      </c>
    </row>
    <row r="5115" spans="1:29" x14ac:dyDescent="0.35">
      <c r="A5115" s="7">
        <v>42942</v>
      </c>
      <c r="B5115" t="s">
        <v>30</v>
      </c>
      <c r="C5115">
        <v>111</v>
      </c>
      <c r="D5115">
        <v>6</v>
      </c>
      <c r="E5115">
        <v>2</v>
      </c>
      <c r="F5115" t="s">
        <v>315</v>
      </c>
      <c r="G5115" t="s">
        <v>32</v>
      </c>
      <c r="H5115" t="s">
        <v>33</v>
      </c>
      <c r="I5115" t="s">
        <v>59</v>
      </c>
      <c r="AB5115" t="s">
        <v>60</v>
      </c>
      <c r="AC5115" t="s">
        <v>41</v>
      </c>
    </row>
    <row r="5116" spans="1:29" x14ac:dyDescent="0.35">
      <c r="A5116" s="7">
        <v>42942</v>
      </c>
      <c r="B5116" t="s">
        <v>30</v>
      </c>
      <c r="C5116">
        <v>111</v>
      </c>
      <c r="D5116">
        <v>7</v>
      </c>
      <c r="E5116">
        <v>1</v>
      </c>
      <c r="F5116" t="s">
        <v>315</v>
      </c>
      <c r="G5116" t="s">
        <v>32</v>
      </c>
      <c r="H5116" t="s">
        <v>33</v>
      </c>
      <c r="I5116" t="s">
        <v>43</v>
      </c>
      <c r="J5116" t="s">
        <v>44</v>
      </c>
      <c r="K5116" t="s">
        <v>36</v>
      </c>
      <c r="L5116" t="s">
        <v>37</v>
      </c>
      <c r="M5116">
        <v>0</v>
      </c>
      <c r="N5116">
        <v>0</v>
      </c>
      <c r="O5116">
        <v>39307</v>
      </c>
      <c r="P5116">
        <v>39308</v>
      </c>
      <c r="Q5116">
        <f>36-13</f>
        <v>23</v>
      </c>
      <c r="R5116" t="s">
        <v>38</v>
      </c>
      <c r="AB5116" t="s">
        <v>60</v>
      </c>
      <c r="AC5116" t="s">
        <v>41</v>
      </c>
    </row>
    <row r="5117" spans="1:29" x14ac:dyDescent="0.35">
      <c r="A5117" s="7">
        <v>42942</v>
      </c>
      <c r="B5117" t="s">
        <v>30</v>
      </c>
      <c r="C5117">
        <v>111</v>
      </c>
      <c r="D5117">
        <v>7</v>
      </c>
      <c r="E5117">
        <v>2</v>
      </c>
      <c r="F5117" t="s">
        <v>315</v>
      </c>
      <c r="G5117" t="s">
        <v>32</v>
      </c>
      <c r="H5117" t="s">
        <v>33</v>
      </c>
      <c r="I5117" t="s">
        <v>59</v>
      </c>
      <c r="AB5117" t="s">
        <v>60</v>
      </c>
      <c r="AC5117" t="s">
        <v>41</v>
      </c>
    </row>
    <row r="5118" spans="1:29" x14ac:dyDescent="0.35">
      <c r="A5118" s="7">
        <v>42942</v>
      </c>
      <c r="B5118" t="s">
        <v>30</v>
      </c>
      <c r="C5118">
        <v>111</v>
      </c>
      <c r="D5118">
        <v>8</v>
      </c>
      <c r="E5118">
        <v>1</v>
      </c>
      <c r="F5118" t="s">
        <v>315</v>
      </c>
      <c r="G5118" t="s">
        <v>32</v>
      </c>
      <c r="H5118" t="s">
        <v>33</v>
      </c>
      <c r="I5118" t="s">
        <v>59</v>
      </c>
      <c r="AB5118" t="s">
        <v>60</v>
      </c>
      <c r="AC5118" t="s">
        <v>41</v>
      </c>
    </row>
    <row r="5119" spans="1:29" x14ac:dyDescent="0.35">
      <c r="A5119" s="7">
        <v>42942</v>
      </c>
      <c r="B5119" t="s">
        <v>30</v>
      </c>
      <c r="C5119">
        <v>111</v>
      </c>
      <c r="D5119">
        <v>8</v>
      </c>
      <c r="E5119">
        <v>2</v>
      </c>
      <c r="F5119" t="s">
        <v>315</v>
      </c>
      <c r="G5119" t="s">
        <v>32</v>
      </c>
      <c r="H5119" t="s">
        <v>33</v>
      </c>
      <c r="I5119" t="s">
        <v>59</v>
      </c>
      <c r="AB5119" t="s">
        <v>60</v>
      </c>
      <c r="AC5119" t="s">
        <v>41</v>
      </c>
    </row>
    <row r="5120" spans="1:29" x14ac:dyDescent="0.35">
      <c r="A5120" s="7">
        <v>42942</v>
      </c>
      <c r="B5120" t="s">
        <v>30</v>
      </c>
      <c r="C5120">
        <v>111</v>
      </c>
      <c r="D5120">
        <v>9</v>
      </c>
      <c r="E5120">
        <v>1</v>
      </c>
      <c r="F5120" t="s">
        <v>315</v>
      </c>
      <c r="G5120" t="s">
        <v>32</v>
      </c>
      <c r="H5120" t="s">
        <v>33</v>
      </c>
      <c r="I5120" t="s">
        <v>59</v>
      </c>
      <c r="AB5120" t="s">
        <v>60</v>
      </c>
      <c r="AC5120" t="s">
        <v>41</v>
      </c>
    </row>
    <row r="5121" spans="1:30" x14ac:dyDescent="0.35">
      <c r="A5121" s="7">
        <v>42942</v>
      </c>
      <c r="B5121" t="s">
        <v>30</v>
      </c>
      <c r="C5121">
        <v>111</v>
      </c>
      <c r="D5121">
        <v>9</v>
      </c>
      <c r="E5121">
        <v>2</v>
      </c>
      <c r="F5121" t="s">
        <v>315</v>
      </c>
      <c r="G5121" t="s">
        <v>32</v>
      </c>
      <c r="H5121" t="s">
        <v>33</v>
      </c>
      <c r="I5121" t="s">
        <v>43</v>
      </c>
      <c r="J5121" t="s">
        <v>44</v>
      </c>
      <c r="K5121" t="s">
        <v>36</v>
      </c>
      <c r="L5121" t="s">
        <v>37</v>
      </c>
      <c r="M5121">
        <v>0</v>
      </c>
      <c r="N5121">
        <v>0</v>
      </c>
      <c r="O5121">
        <v>2871</v>
      </c>
      <c r="P5121">
        <v>2870</v>
      </c>
      <c r="Q5121">
        <f>34-14</f>
        <v>20</v>
      </c>
      <c r="R5121" t="s">
        <v>38</v>
      </c>
      <c r="Y5121" t="s">
        <v>1065</v>
      </c>
      <c r="AB5121" t="s">
        <v>60</v>
      </c>
      <c r="AC5121" t="s">
        <v>41</v>
      </c>
    </row>
    <row r="5122" spans="1:30" x14ac:dyDescent="0.35">
      <c r="A5122" s="7">
        <v>42942</v>
      </c>
      <c r="B5122" t="s">
        <v>30</v>
      </c>
      <c r="C5122">
        <v>111</v>
      </c>
      <c r="D5122">
        <v>10</v>
      </c>
      <c r="E5122">
        <v>1</v>
      </c>
      <c r="F5122" t="s">
        <v>315</v>
      </c>
      <c r="G5122" t="s">
        <v>32</v>
      </c>
      <c r="H5122" t="s">
        <v>33</v>
      </c>
      <c r="I5122" t="s">
        <v>59</v>
      </c>
      <c r="AB5122" t="s">
        <v>60</v>
      </c>
      <c r="AC5122" t="s">
        <v>41</v>
      </c>
    </row>
    <row r="5123" spans="1:30" x14ac:dyDescent="0.35">
      <c r="A5123" s="7">
        <v>42942</v>
      </c>
      <c r="B5123" t="s">
        <v>30</v>
      </c>
      <c r="C5123">
        <v>111</v>
      </c>
      <c r="D5123">
        <v>10</v>
      </c>
      <c r="E5123">
        <v>2</v>
      </c>
      <c r="F5123" t="s">
        <v>315</v>
      </c>
      <c r="G5123" t="s">
        <v>32</v>
      </c>
      <c r="H5123" t="s">
        <v>33</v>
      </c>
      <c r="I5123" t="s">
        <v>84</v>
      </c>
      <c r="AB5123" t="s">
        <v>60</v>
      </c>
      <c r="AC5123" t="s">
        <v>41</v>
      </c>
    </row>
    <row r="5124" spans="1:30" x14ac:dyDescent="0.35">
      <c r="A5124" s="7">
        <v>42942</v>
      </c>
      <c r="B5124" t="s">
        <v>30</v>
      </c>
      <c r="C5124">
        <v>112</v>
      </c>
      <c r="D5124">
        <v>2</v>
      </c>
      <c r="E5124">
        <v>1</v>
      </c>
      <c r="F5124" t="s">
        <v>315</v>
      </c>
      <c r="G5124" t="s">
        <v>32</v>
      </c>
      <c r="H5124" t="s">
        <v>33</v>
      </c>
      <c r="I5124" t="s">
        <v>43</v>
      </c>
      <c r="J5124" t="s">
        <v>44</v>
      </c>
      <c r="K5124" t="s">
        <v>113</v>
      </c>
      <c r="L5124" t="s">
        <v>45</v>
      </c>
      <c r="M5124">
        <v>0</v>
      </c>
      <c r="N5124">
        <v>0</v>
      </c>
      <c r="O5124">
        <v>39734</v>
      </c>
      <c r="P5124">
        <v>39733</v>
      </c>
      <c r="Q5124">
        <f>30-15</f>
        <v>15</v>
      </c>
      <c r="R5124" t="s">
        <v>46</v>
      </c>
      <c r="S5124" t="s">
        <v>39</v>
      </c>
      <c r="AB5124" t="s">
        <v>60</v>
      </c>
      <c r="AC5124" t="s">
        <v>41</v>
      </c>
    </row>
    <row r="5125" spans="1:30" x14ac:dyDescent="0.35">
      <c r="A5125" s="7">
        <v>42942</v>
      </c>
      <c r="B5125" t="s">
        <v>30</v>
      </c>
      <c r="C5125">
        <v>112</v>
      </c>
      <c r="D5125">
        <v>2</v>
      </c>
      <c r="E5125">
        <v>2</v>
      </c>
      <c r="F5125" t="s">
        <v>315</v>
      </c>
      <c r="G5125" t="s">
        <v>32</v>
      </c>
      <c r="H5125" t="s">
        <v>33</v>
      </c>
      <c r="I5125" t="s">
        <v>43</v>
      </c>
      <c r="J5125" t="s">
        <v>44</v>
      </c>
      <c r="K5125" t="s">
        <v>36</v>
      </c>
      <c r="L5125" t="s">
        <v>45</v>
      </c>
      <c r="M5125">
        <v>0</v>
      </c>
      <c r="N5125">
        <v>0</v>
      </c>
      <c r="O5125">
        <v>39732</v>
      </c>
      <c r="P5125">
        <v>39731</v>
      </c>
      <c r="Q5125">
        <f>35-14</f>
        <v>21</v>
      </c>
      <c r="R5125" t="s">
        <v>1021</v>
      </c>
      <c r="S5125" t="s">
        <v>102</v>
      </c>
      <c r="Z5125" t="s">
        <v>102</v>
      </c>
      <c r="AB5125" t="s">
        <v>60</v>
      </c>
      <c r="AC5125" t="s">
        <v>41</v>
      </c>
    </row>
    <row r="5126" spans="1:30" x14ac:dyDescent="0.35">
      <c r="A5126" s="7">
        <v>42942</v>
      </c>
      <c r="B5126" t="s">
        <v>30</v>
      </c>
      <c r="C5126">
        <v>112</v>
      </c>
      <c r="D5126">
        <v>3</v>
      </c>
      <c r="E5126">
        <v>1</v>
      </c>
      <c r="F5126" t="s">
        <v>315</v>
      </c>
      <c r="G5126" t="s">
        <v>32</v>
      </c>
      <c r="H5126" t="s">
        <v>33</v>
      </c>
      <c r="I5126" t="s">
        <v>59</v>
      </c>
      <c r="AB5126" t="s">
        <v>60</v>
      </c>
      <c r="AC5126" t="s">
        <v>41</v>
      </c>
    </row>
    <row r="5127" spans="1:30" x14ac:dyDescent="0.35">
      <c r="A5127" s="7">
        <v>42942</v>
      </c>
      <c r="B5127" t="s">
        <v>30</v>
      </c>
      <c r="C5127">
        <v>112</v>
      </c>
      <c r="D5127">
        <v>4</v>
      </c>
      <c r="E5127">
        <v>1</v>
      </c>
      <c r="F5127" t="s">
        <v>315</v>
      </c>
      <c r="G5127" t="s">
        <v>32</v>
      </c>
      <c r="H5127" t="s">
        <v>33</v>
      </c>
      <c r="I5127" t="s">
        <v>59</v>
      </c>
      <c r="AB5127" t="s">
        <v>60</v>
      </c>
      <c r="AC5127" t="s">
        <v>41</v>
      </c>
    </row>
    <row r="5128" spans="1:30" x14ac:dyDescent="0.35">
      <c r="A5128" s="7">
        <v>42942</v>
      </c>
      <c r="B5128" t="s">
        <v>30</v>
      </c>
      <c r="C5128">
        <v>112</v>
      </c>
      <c r="D5128">
        <v>5</v>
      </c>
      <c r="E5128">
        <v>1</v>
      </c>
      <c r="F5128" t="s">
        <v>315</v>
      </c>
      <c r="G5128" t="s">
        <v>32</v>
      </c>
      <c r="H5128" t="s">
        <v>33</v>
      </c>
      <c r="I5128" t="s">
        <v>59</v>
      </c>
      <c r="AB5128" t="s">
        <v>60</v>
      </c>
      <c r="AC5128" t="s">
        <v>41</v>
      </c>
    </row>
    <row r="5129" spans="1:30" x14ac:dyDescent="0.35">
      <c r="A5129" s="7">
        <v>42942</v>
      </c>
      <c r="B5129" t="s">
        <v>30</v>
      </c>
      <c r="C5129">
        <v>112</v>
      </c>
      <c r="D5129">
        <v>6</v>
      </c>
      <c r="E5129">
        <v>1</v>
      </c>
      <c r="F5129" t="s">
        <v>315</v>
      </c>
      <c r="G5129" t="s">
        <v>32</v>
      </c>
      <c r="H5129" t="s">
        <v>33</v>
      </c>
      <c r="I5129" t="s">
        <v>59</v>
      </c>
      <c r="AB5129" t="s">
        <v>60</v>
      </c>
      <c r="AC5129" t="s">
        <v>41</v>
      </c>
    </row>
    <row r="5130" spans="1:30" x14ac:dyDescent="0.35">
      <c r="A5130" s="7">
        <v>42942</v>
      </c>
      <c r="B5130" t="s">
        <v>30</v>
      </c>
      <c r="C5130">
        <v>112</v>
      </c>
      <c r="D5130">
        <v>6</v>
      </c>
      <c r="E5130">
        <v>2</v>
      </c>
      <c r="F5130" t="s">
        <v>315</v>
      </c>
      <c r="G5130" t="s">
        <v>32</v>
      </c>
      <c r="H5130" t="s">
        <v>33</v>
      </c>
      <c r="I5130" t="s">
        <v>94</v>
      </c>
      <c r="J5130" t="s">
        <v>44</v>
      </c>
      <c r="K5130" t="s">
        <v>36</v>
      </c>
      <c r="L5130" t="s">
        <v>45</v>
      </c>
      <c r="M5130">
        <v>0</v>
      </c>
      <c r="N5130">
        <v>0</v>
      </c>
      <c r="O5130">
        <v>11951</v>
      </c>
      <c r="Q5130">
        <f>37-14</f>
        <v>23</v>
      </c>
      <c r="R5130" t="s">
        <v>1021</v>
      </c>
      <c r="S5130" t="s">
        <v>102</v>
      </c>
      <c r="AB5130" t="s">
        <v>60</v>
      </c>
      <c r="AC5130" t="s">
        <v>41</v>
      </c>
    </row>
    <row r="5131" spans="1:30" x14ac:dyDescent="0.35">
      <c r="A5131" s="7">
        <v>42942</v>
      </c>
      <c r="B5131" t="s">
        <v>30</v>
      </c>
      <c r="C5131">
        <v>112</v>
      </c>
      <c r="D5131">
        <v>7</v>
      </c>
      <c r="E5131">
        <v>1</v>
      </c>
      <c r="F5131" t="s">
        <v>315</v>
      </c>
      <c r="G5131" t="s">
        <v>32</v>
      </c>
      <c r="H5131" t="s">
        <v>33</v>
      </c>
      <c r="I5131" t="s">
        <v>72</v>
      </c>
      <c r="J5131" t="s">
        <v>56</v>
      </c>
      <c r="AB5131" t="s">
        <v>60</v>
      </c>
      <c r="AC5131" t="s">
        <v>41</v>
      </c>
    </row>
    <row r="5132" spans="1:30" x14ac:dyDescent="0.35">
      <c r="A5132" s="7">
        <v>42942</v>
      </c>
      <c r="B5132" t="s">
        <v>30</v>
      </c>
      <c r="C5132">
        <v>112</v>
      </c>
      <c r="D5132">
        <v>7</v>
      </c>
      <c r="E5132">
        <v>2</v>
      </c>
      <c r="F5132" t="s">
        <v>315</v>
      </c>
      <c r="G5132" t="s">
        <v>32</v>
      </c>
      <c r="H5132" t="s">
        <v>33</v>
      </c>
      <c r="I5132" t="s">
        <v>43</v>
      </c>
      <c r="J5132" t="s">
        <v>44</v>
      </c>
      <c r="K5132" t="s">
        <v>36</v>
      </c>
      <c r="L5132" t="s">
        <v>37</v>
      </c>
      <c r="M5132">
        <v>0</v>
      </c>
      <c r="N5132">
        <v>0</v>
      </c>
      <c r="O5132">
        <v>39000</v>
      </c>
      <c r="P5132">
        <v>38999</v>
      </c>
      <c r="Q5132">
        <f>37.5-14.5</f>
        <v>23</v>
      </c>
      <c r="R5132" t="s">
        <v>38</v>
      </c>
      <c r="Z5132" t="s">
        <v>102</v>
      </c>
      <c r="AB5132" t="s">
        <v>60</v>
      </c>
      <c r="AC5132" t="s">
        <v>41</v>
      </c>
    </row>
    <row r="5133" spans="1:30" x14ac:dyDescent="0.35">
      <c r="A5133" s="7">
        <v>42942</v>
      </c>
      <c r="B5133" t="s">
        <v>30</v>
      </c>
      <c r="C5133">
        <v>112</v>
      </c>
      <c r="D5133">
        <v>8</v>
      </c>
      <c r="E5133">
        <v>1</v>
      </c>
      <c r="F5133" t="s">
        <v>315</v>
      </c>
      <c r="G5133" t="s">
        <v>32</v>
      </c>
      <c r="H5133" t="s">
        <v>33</v>
      </c>
      <c r="I5133" t="s">
        <v>43</v>
      </c>
      <c r="J5133" t="s">
        <v>44</v>
      </c>
      <c r="K5133" t="s">
        <v>88</v>
      </c>
      <c r="L5133" t="s">
        <v>37</v>
      </c>
      <c r="M5133">
        <v>0</v>
      </c>
      <c r="N5133">
        <v>0</v>
      </c>
      <c r="O5133">
        <v>39730</v>
      </c>
      <c r="P5133">
        <v>39729</v>
      </c>
      <c r="Q5133">
        <f>30.5-15</f>
        <v>15.5</v>
      </c>
      <c r="R5133" t="s">
        <v>64</v>
      </c>
      <c r="Y5133" t="s">
        <v>1066</v>
      </c>
      <c r="AB5133" t="s">
        <v>60</v>
      </c>
      <c r="AC5133" t="s">
        <v>41</v>
      </c>
    </row>
    <row r="5134" spans="1:30" x14ac:dyDescent="0.35">
      <c r="A5134" s="7">
        <v>42942</v>
      </c>
      <c r="B5134" t="s">
        <v>30</v>
      </c>
      <c r="C5134">
        <v>112</v>
      </c>
      <c r="D5134">
        <v>9</v>
      </c>
      <c r="E5134">
        <v>1</v>
      </c>
      <c r="F5134" t="s">
        <v>315</v>
      </c>
      <c r="G5134" t="s">
        <v>32</v>
      </c>
      <c r="H5134" t="s">
        <v>33</v>
      </c>
      <c r="I5134" t="s">
        <v>94</v>
      </c>
      <c r="J5134" t="s">
        <v>35</v>
      </c>
      <c r="K5134" t="s">
        <v>36</v>
      </c>
      <c r="L5134" t="s">
        <v>37</v>
      </c>
      <c r="M5134">
        <v>0</v>
      </c>
      <c r="N5134">
        <v>1</v>
      </c>
      <c r="P5134">
        <v>39457</v>
      </c>
      <c r="Q5134">
        <f>37-13</f>
        <v>24</v>
      </c>
      <c r="R5134" t="s">
        <v>38</v>
      </c>
      <c r="AB5134" t="s">
        <v>60</v>
      </c>
      <c r="AC5134" t="s">
        <v>41</v>
      </c>
      <c r="AD5134" t="s">
        <v>1024</v>
      </c>
    </row>
    <row r="5135" spans="1:30" x14ac:dyDescent="0.35">
      <c r="A5135" s="7">
        <v>42942</v>
      </c>
      <c r="B5135" t="s">
        <v>30</v>
      </c>
      <c r="C5135">
        <v>112</v>
      </c>
      <c r="D5135">
        <v>10</v>
      </c>
      <c r="E5135">
        <v>1</v>
      </c>
      <c r="F5135" t="s">
        <v>315</v>
      </c>
      <c r="G5135" t="s">
        <v>32</v>
      </c>
      <c r="H5135" t="s">
        <v>33</v>
      </c>
      <c r="I5135" t="s">
        <v>59</v>
      </c>
      <c r="AB5135" t="s">
        <v>60</v>
      </c>
      <c r="AC5135" t="s">
        <v>41</v>
      </c>
    </row>
    <row r="5136" spans="1:30" x14ac:dyDescent="0.35">
      <c r="A5136" s="7">
        <v>42942</v>
      </c>
      <c r="B5136" t="s">
        <v>30</v>
      </c>
      <c r="C5136">
        <v>112</v>
      </c>
      <c r="D5136">
        <v>10</v>
      </c>
      <c r="E5136">
        <v>2</v>
      </c>
      <c r="F5136" t="s">
        <v>315</v>
      </c>
      <c r="G5136" t="s">
        <v>32</v>
      </c>
      <c r="H5136" t="s">
        <v>33</v>
      </c>
      <c r="I5136" t="s">
        <v>59</v>
      </c>
      <c r="AB5136" t="s">
        <v>60</v>
      </c>
      <c r="AC5136" t="s">
        <v>41</v>
      </c>
    </row>
    <row r="5137" spans="1:30" x14ac:dyDescent="0.35">
      <c r="A5137" s="7">
        <v>42942</v>
      </c>
      <c r="B5137" t="s">
        <v>30</v>
      </c>
      <c r="C5137">
        <v>113</v>
      </c>
      <c r="D5137">
        <v>2</v>
      </c>
      <c r="E5137">
        <v>1</v>
      </c>
      <c r="F5137" t="s">
        <v>315</v>
      </c>
      <c r="G5137" t="s">
        <v>32</v>
      </c>
      <c r="H5137" t="s">
        <v>33</v>
      </c>
      <c r="I5137" t="s">
        <v>84</v>
      </c>
      <c r="AB5137" t="s">
        <v>60</v>
      </c>
      <c r="AC5137" t="s">
        <v>41</v>
      </c>
    </row>
    <row r="5138" spans="1:30" x14ac:dyDescent="0.35">
      <c r="A5138" s="7">
        <v>42942</v>
      </c>
      <c r="B5138" t="s">
        <v>30</v>
      </c>
      <c r="C5138">
        <v>113</v>
      </c>
      <c r="D5138">
        <v>8</v>
      </c>
      <c r="E5138">
        <v>1</v>
      </c>
      <c r="F5138" t="s">
        <v>315</v>
      </c>
      <c r="G5138" t="s">
        <v>32</v>
      </c>
      <c r="H5138" t="s">
        <v>33</v>
      </c>
      <c r="I5138" t="s">
        <v>43</v>
      </c>
      <c r="J5138" t="s">
        <v>139</v>
      </c>
      <c r="AB5138" t="s">
        <v>60</v>
      </c>
      <c r="AC5138" t="s">
        <v>41</v>
      </c>
      <c r="AD5138" t="s">
        <v>1067</v>
      </c>
    </row>
    <row r="5139" spans="1:30" x14ac:dyDescent="0.35">
      <c r="A5139" s="7">
        <v>42942</v>
      </c>
      <c r="B5139" t="s">
        <v>30</v>
      </c>
      <c r="C5139">
        <v>113</v>
      </c>
      <c r="D5139">
        <v>9</v>
      </c>
      <c r="E5139">
        <v>1</v>
      </c>
      <c r="F5139" t="s">
        <v>315</v>
      </c>
      <c r="G5139" t="s">
        <v>32</v>
      </c>
      <c r="H5139" t="s">
        <v>33</v>
      </c>
      <c r="I5139" t="s">
        <v>84</v>
      </c>
      <c r="AB5139" t="s">
        <v>60</v>
      </c>
      <c r="AC5139" t="s">
        <v>41</v>
      </c>
    </row>
    <row r="5140" spans="1:30" x14ac:dyDescent="0.35">
      <c r="A5140" s="7">
        <v>42942</v>
      </c>
      <c r="B5140" t="s">
        <v>30</v>
      </c>
      <c r="C5140">
        <v>201</v>
      </c>
      <c r="D5140">
        <v>1</v>
      </c>
      <c r="E5140">
        <v>1</v>
      </c>
      <c r="F5140" t="s">
        <v>1020</v>
      </c>
      <c r="G5140" t="s">
        <v>32</v>
      </c>
      <c r="H5140" t="s">
        <v>33</v>
      </c>
      <c r="I5140" t="s">
        <v>59</v>
      </c>
      <c r="AB5140" t="s">
        <v>60</v>
      </c>
      <c r="AC5140" t="s">
        <v>41</v>
      </c>
    </row>
    <row r="5141" spans="1:30" x14ac:dyDescent="0.35">
      <c r="A5141" s="7">
        <v>42942</v>
      </c>
      <c r="B5141" t="s">
        <v>30</v>
      </c>
      <c r="C5141">
        <v>201</v>
      </c>
      <c r="D5141">
        <v>2</v>
      </c>
      <c r="E5141">
        <v>1</v>
      </c>
      <c r="F5141" t="s">
        <v>1020</v>
      </c>
      <c r="G5141" t="s">
        <v>32</v>
      </c>
      <c r="H5141" t="s">
        <v>33</v>
      </c>
      <c r="I5141" t="s">
        <v>59</v>
      </c>
      <c r="AB5141" t="s">
        <v>60</v>
      </c>
      <c r="AC5141" t="s">
        <v>41</v>
      </c>
    </row>
    <row r="5142" spans="1:30" x14ac:dyDescent="0.35">
      <c r="A5142" s="7">
        <v>42942</v>
      </c>
      <c r="B5142" t="s">
        <v>30</v>
      </c>
      <c r="C5142">
        <v>201</v>
      </c>
      <c r="D5142">
        <v>3</v>
      </c>
      <c r="E5142">
        <v>1</v>
      </c>
      <c r="F5142" t="s">
        <v>1020</v>
      </c>
      <c r="G5142" t="s">
        <v>32</v>
      </c>
      <c r="H5142" t="s">
        <v>33</v>
      </c>
      <c r="I5142" t="s">
        <v>43</v>
      </c>
      <c r="J5142" t="s">
        <v>35</v>
      </c>
      <c r="K5142" t="s">
        <v>36</v>
      </c>
      <c r="L5142" t="s">
        <v>45</v>
      </c>
      <c r="M5142">
        <v>0</v>
      </c>
      <c r="N5142">
        <v>1</v>
      </c>
      <c r="O5142">
        <v>39375</v>
      </c>
      <c r="P5142">
        <v>39374</v>
      </c>
      <c r="Q5142">
        <f>33-13</f>
        <v>20</v>
      </c>
      <c r="R5142" t="s">
        <v>1028</v>
      </c>
      <c r="S5142" t="s">
        <v>102</v>
      </c>
      <c r="AB5142" t="s">
        <v>60</v>
      </c>
      <c r="AC5142" t="s">
        <v>41</v>
      </c>
      <c r="AD5142" t="s">
        <v>1068</v>
      </c>
    </row>
    <row r="5143" spans="1:30" x14ac:dyDescent="0.35">
      <c r="A5143" s="7">
        <v>42942</v>
      </c>
      <c r="B5143" t="s">
        <v>30</v>
      </c>
      <c r="C5143">
        <v>201</v>
      </c>
      <c r="D5143">
        <v>3</v>
      </c>
      <c r="E5143">
        <v>2</v>
      </c>
      <c r="F5143" t="s">
        <v>1020</v>
      </c>
      <c r="G5143" t="s">
        <v>32</v>
      </c>
      <c r="H5143" t="s">
        <v>33</v>
      </c>
      <c r="I5143" t="s">
        <v>59</v>
      </c>
      <c r="AB5143" t="s">
        <v>60</v>
      </c>
      <c r="AC5143" t="s">
        <v>41</v>
      </c>
    </row>
    <row r="5144" spans="1:30" x14ac:dyDescent="0.35">
      <c r="A5144" s="7">
        <v>42942</v>
      </c>
      <c r="B5144" t="s">
        <v>30</v>
      </c>
      <c r="C5144">
        <v>201</v>
      </c>
      <c r="D5144">
        <v>4</v>
      </c>
      <c r="E5144">
        <v>1</v>
      </c>
      <c r="F5144" t="s">
        <v>1020</v>
      </c>
      <c r="G5144" t="s">
        <v>32</v>
      </c>
      <c r="H5144" t="s">
        <v>33</v>
      </c>
      <c r="I5144" t="s">
        <v>59</v>
      </c>
      <c r="AB5144" t="s">
        <v>60</v>
      </c>
      <c r="AC5144" t="s">
        <v>41</v>
      </c>
    </row>
    <row r="5145" spans="1:30" x14ac:dyDescent="0.35">
      <c r="A5145" s="7">
        <v>42942</v>
      </c>
      <c r="B5145" t="s">
        <v>30</v>
      </c>
      <c r="C5145">
        <v>201</v>
      </c>
      <c r="D5145">
        <v>5</v>
      </c>
      <c r="E5145">
        <v>1</v>
      </c>
      <c r="F5145" t="s">
        <v>1020</v>
      </c>
      <c r="G5145" t="s">
        <v>32</v>
      </c>
      <c r="H5145" t="s">
        <v>33</v>
      </c>
      <c r="I5145" t="s">
        <v>59</v>
      </c>
      <c r="AB5145" t="s">
        <v>60</v>
      </c>
      <c r="AC5145" t="s">
        <v>41</v>
      </c>
    </row>
    <row r="5146" spans="1:30" x14ac:dyDescent="0.35">
      <c r="A5146" s="7">
        <v>42942</v>
      </c>
      <c r="B5146" t="s">
        <v>30</v>
      </c>
      <c r="C5146">
        <v>201</v>
      </c>
      <c r="D5146">
        <v>7</v>
      </c>
      <c r="E5146">
        <v>1</v>
      </c>
      <c r="F5146" t="s">
        <v>1020</v>
      </c>
      <c r="G5146" t="s">
        <v>32</v>
      </c>
      <c r="H5146" t="s">
        <v>33</v>
      </c>
      <c r="I5146" t="s">
        <v>59</v>
      </c>
      <c r="AB5146" t="s">
        <v>60</v>
      </c>
      <c r="AC5146" t="s">
        <v>41</v>
      </c>
    </row>
    <row r="5147" spans="1:30" x14ac:dyDescent="0.35">
      <c r="A5147" s="7">
        <v>42942</v>
      </c>
      <c r="B5147" t="s">
        <v>30</v>
      </c>
      <c r="C5147">
        <v>201</v>
      </c>
      <c r="D5147">
        <v>7</v>
      </c>
      <c r="E5147">
        <v>2</v>
      </c>
      <c r="F5147" t="s">
        <v>1020</v>
      </c>
      <c r="G5147" t="s">
        <v>32</v>
      </c>
      <c r="H5147" t="s">
        <v>33</v>
      </c>
      <c r="I5147" t="s">
        <v>59</v>
      </c>
      <c r="AB5147" t="s">
        <v>60</v>
      </c>
      <c r="AC5147" t="s">
        <v>41</v>
      </c>
    </row>
    <row r="5148" spans="1:30" x14ac:dyDescent="0.35">
      <c r="A5148" s="7">
        <v>42942</v>
      </c>
      <c r="B5148" t="s">
        <v>30</v>
      </c>
      <c r="C5148">
        <v>202</v>
      </c>
      <c r="D5148">
        <v>1</v>
      </c>
      <c r="E5148">
        <v>1</v>
      </c>
      <c r="F5148" t="s">
        <v>1020</v>
      </c>
      <c r="G5148" t="s">
        <v>32</v>
      </c>
      <c r="H5148" t="s">
        <v>33</v>
      </c>
      <c r="I5148" t="s">
        <v>59</v>
      </c>
      <c r="AB5148" t="s">
        <v>60</v>
      </c>
      <c r="AC5148" t="s">
        <v>41</v>
      </c>
    </row>
    <row r="5149" spans="1:30" x14ac:dyDescent="0.35">
      <c r="A5149" s="7">
        <v>42942</v>
      </c>
      <c r="B5149" t="s">
        <v>30</v>
      </c>
      <c r="C5149">
        <v>202</v>
      </c>
      <c r="D5149">
        <v>1</v>
      </c>
      <c r="E5149">
        <v>2</v>
      </c>
      <c r="F5149" t="s">
        <v>1020</v>
      </c>
      <c r="G5149" t="s">
        <v>32</v>
      </c>
      <c r="H5149" t="s">
        <v>33</v>
      </c>
      <c r="I5149" t="s">
        <v>59</v>
      </c>
      <c r="AB5149" t="s">
        <v>60</v>
      </c>
      <c r="AC5149" t="s">
        <v>41</v>
      </c>
    </row>
    <row r="5150" spans="1:30" x14ac:dyDescent="0.35">
      <c r="A5150" s="7">
        <v>42942</v>
      </c>
      <c r="B5150" t="s">
        <v>30</v>
      </c>
      <c r="C5150">
        <v>202</v>
      </c>
      <c r="D5150">
        <v>2</v>
      </c>
      <c r="E5150">
        <v>1</v>
      </c>
      <c r="F5150" t="s">
        <v>1020</v>
      </c>
      <c r="G5150" t="s">
        <v>32</v>
      </c>
      <c r="H5150" t="s">
        <v>33</v>
      </c>
      <c r="I5150" t="s">
        <v>59</v>
      </c>
      <c r="AB5150" t="s">
        <v>60</v>
      </c>
      <c r="AC5150" t="s">
        <v>41</v>
      </c>
    </row>
    <row r="5151" spans="1:30" x14ac:dyDescent="0.35">
      <c r="A5151" s="7">
        <v>42942</v>
      </c>
      <c r="B5151" t="s">
        <v>30</v>
      </c>
      <c r="C5151">
        <v>202</v>
      </c>
      <c r="D5151">
        <v>2</v>
      </c>
      <c r="E5151">
        <v>2</v>
      </c>
      <c r="F5151" t="s">
        <v>1020</v>
      </c>
      <c r="G5151" t="s">
        <v>32</v>
      </c>
      <c r="H5151" t="s">
        <v>33</v>
      </c>
      <c r="I5151" t="s">
        <v>59</v>
      </c>
      <c r="AB5151" t="s">
        <v>60</v>
      </c>
      <c r="AC5151" t="s">
        <v>41</v>
      </c>
    </row>
    <row r="5152" spans="1:30" x14ac:dyDescent="0.35">
      <c r="A5152" s="7">
        <v>42942</v>
      </c>
      <c r="B5152" t="s">
        <v>30</v>
      </c>
      <c r="C5152">
        <v>202</v>
      </c>
      <c r="D5152">
        <v>3</v>
      </c>
      <c r="E5152">
        <v>1</v>
      </c>
      <c r="F5152" t="s">
        <v>1020</v>
      </c>
      <c r="G5152" t="s">
        <v>32</v>
      </c>
      <c r="H5152" t="s">
        <v>33</v>
      </c>
      <c r="I5152" t="s">
        <v>59</v>
      </c>
      <c r="AB5152" t="s">
        <v>60</v>
      </c>
      <c r="AC5152" t="s">
        <v>41</v>
      </c>
    </row>
    <row r="5153" spans="1:30" x14ac:dyDescent="0.35">
      <c r="A5153" s="7">
        <v>42942</v>
      </c>
      <c r="B5153" t="s">
        <v>30</v>
      </c>
      <c r="C5153">
        <v>202</v>
      </c>
      <c r="D5153">
        <v>3</v>
      </c>
      <c r="E5153">
        <v>2</v>
      </c>
      <c r="F5153" t="s">
        <v>1020</v>
      </c>
      <c r="G5153" t="s">
        <v>32</v>
      </c>
      <c r="H5153" t="s">
        <v>33</v>
      </c>
      <c r="I5153" t="s">
        <v>59</v>
      </c>
      <c r="AB5153" t="s">
        <v>60</v>
      </c>
      <c r="AC5153" t="s">
        <v>41</v>
      </c>
    </row>
    <row r="5154" spans="1:30" x14ac:dyDescent="0.35">
      <c r="A5154" s="7">
        <v>42942</v>
      </c>
      <c r="B5154" t="s">
        <v>30</v>
      </c>
      <c r="C5154">
        <v>202</v>
      </c>
      <c r="D5154">
        <v>4</v>
      </c>
      <c r="E5154">
        <v>1</v>
      </c>
      <c r="F5154" t="s">
        <v>1020</v>
      </c>
      <c r="G5154" t="s">
        <v>32</v>
      </c>
      <c r="H5154" t="s">
        <v>33</v>
      </c>
      <c r="I5154" t="s">
        <v>84</v>
      </c>
      <c r="AB5154" t="s">
        <v>60</v>
      </c>
      <c r="AC5154" t="s">
        <v>41</v>
      </c>
    </row>
    <row r="5155" spans="1:30" x14ac:dyDescent="0.35">
      <c r="A5155" s="7">
        <v>42942</v>
      </c>
      <c r="B5155" t="s">
        <v>30</v>
      </c>
      <c r="C5155">
        <v>202</v>
      </c>
      <c r="D5155">
        <v>4</v>
      </c>
      <c r="E5155">
        <v>2</v>
      </c>
      <c r="F5155" t="s">
        <v>1020</v>
      </c>
      <c r="G5155" t="s">
        <v>32</v>
      </c>
      <c r="H5155" t="s">
        <v>33</v>
      </c>
      <c r="I5155" t="s">
        <v>59</v>
      </c>
      <c r="AB5155" t="s">
        <v>60</v>
      </c>
      <c r="AC5155" t="s">
        <v>41</v>
      </c>
    </row>
    <row r="5156" spans="1:30" x14ac:dyDescent="0.35">
      <c r="A5156" s="7">
        <v>42942</v>
      </c>
      <c r="B5156" t="s">
        <v>30</v>
      </c>
      <c r="C5156">
        <v>202</v>
      </c>
      <c r="D5156">
        <v>5</v>
      </c>
      <c r="E5156">
        <v>1</v>
      </c>
      <c r="F5156" t="s">
        <v>1020</v>
      </c>
      <c r="G5156" t="s">
        <v>32</v>
      </c>
      <c r="H5156" t="s">
        <v>33</v>
      </c>
      <c r="I5156" t="s">
        <v>43</v>
      </c>
      <c r="J5156" t="s">
        <v>139</v>
      </c>
      <c r="AB5156" t="s">
        <v>60</v>
      </c>
      <c r="AC5156" t="s">
        <v>41</v>
      </c>
      <c r="AD5156" t="s">
        <v>1069</v>
      </c>
    </row>
    <row r="5157" spans="1:30" x14ac:dyDescent="0.35">
      <c r="A5157" s="7">
        <v>42942</v>
      </c>
      <c r="B5157" t="s">
        <v>30</v>
      </c>
      <c r="C5157">
        <v>202</v>
      </c>
      <c r="D5157">
        <v>5</v>
      </c>
      <c r="E5157">
        <v>2</v>
      </c>
      <c r="F5157" t="s">
        <v>1020</v>
      </c>
      <c r="G5157" t="s">
        <v>32</v>
      </c>
      <c r="H5157" t="s">
        <v>33</v>
      </c>
      <c r="I5157" t="s">
        <v>59</v>
      </c>
      <c r="AB5157" t="s">
        <v>60</v>
      </c>
      <c r="AC5157" t="s">
        <v>41</v>
      </c>
    </row>
    <row r="5158" spans="1:30" x14ac:dyDescent="0.35">
      <c r="A5158" s="7">
        <v>42942</v>
      </c>
      <c r="B5158" t="s">
        <v>30</v>
      </c>
      <c r="C5158">
        <v>202</v>
      </c>
      <c r="D5158">
        <v>6</v>
      </c>
      <c r="E5158">
        <v>1</v>
      </c>
      <c r="F5158" t="s">
        <v>1020</v>
      </c>
      <c r="G5158" t="s">
        <v>32</v>
      </c>
      <c r="H5158" t="s">
        <v>33</v>
      </c>
      <c r="I5158" t="s">
        <v>59</v>
      </c>
      <c r="AB5158" t="s">
        <v>60</v>
      </c>
      <c r="AC5158" t="s">
        <v>41</v>
      </c>
    </row>
    <row r="5159" spans="1:30" x14ac:dyDescent="0.35">
      <c r="A5159" s="7">
        <v>42942</v>
      </c>
      <c r="B5159" t="s">
        <v>30</v>
      </c>
      <c r="C5159">
        <v>202</v>
      </c>
      <c r="D5159">
        <v>6</v>
      </c>
      <c r="E5159">
        <v>2</v>
      </c>
      <c r="F5159" t="s">
        <v>1020</v>
      </c>
      <c r="G5159" t="s">
        <v>32</v>
      </c>
      <c r="H5159" t="s">
        <v>33</v>
      </c>
      <c r="I5159" t="s">
        <v>59</v>
      </c>
      <c r="AB5159" t="s">
        <v>60</v>
      </c>
      <c r="AC5159" t="s">
        <v>41</v>
      </c>
    </row>
    <row r="5160" spans="1:30" x14ac:dyDescent="0.35">
      <c r="A5160" s="7">
        <v>42942</v>
      </c>
      <c r="B5160" t="s">
        <v>30</v>
      </c>
      <c r="C5160">
        <v>202</v>
      </c>
      <c r="D5160">
        <v>7</v>
      </c>
      <c r="E5160">
        <v>1</v>
      </c>
      <c r="F5160" t="s">
        <v>1020</v>
      </c>
      <c r="G5160" t="s">
        <v>32</v>
      </c>
      <c r="H5160" t="s">
        <v>33</v>
      </c>
      <c r="I5160" t="s">
        <v>84</v>
      </c>
      <c r="AB5160" t="s">
        <v>60</v>
      </c>
      <c r="AC5160" t="s">
        <v>41</v>
      </c>
    </row>
    <row r="5161" spans="1:30" x14ac:dyDescent="0.35">
      <c r="A5161" s="7">
        <v>42942</v>
      </c>
      <c r="B5161" t="s">
        <v>30</v>
      </c>
      <c r="C5161">
        <v>203</v>
      </c>
      <c r="D5161">
        <v>1</v>
      </c>
      <c r="E5161">
        <v>1</v>
      </c>
      <c r="F5161" t="s">
        <v>1020</v>
      </c>
      <c r="G5161" t="s">
        <v>32</v>
      </c>
      <c r="H5161" t="s">
        <v>33</v>
      </c>
      <c r="I5161" t="s">
        <v>43</v>
      </c>
      <c r="J5161" t="s">
        <v>139</v>
      </c>
      <c r="AB5161" t="s">
        <v>60</v>
      </c>
      <c r="AC5161" t="s">
        <v>41</v>
      </c>
      <c r="AD5161" t="s">
        <v>1069</v>
      </c>
    </row>
    <row r="5162" spans="1:30" x14ac:dyDescent="0.35">
      <c r="A5162" s="7">
        <v>42942</v>
      </c>
      <c r="B5162" t="s">
        <v>30</v>
      </c>
      <c r="C5162">
        <v>203</v>
      </c>
      <c r="D5162">
        <v>1</v>
      </c>
      <c r="E5162">
        <v>2</v>
      </c>
      <c r="F5162" t="s">
        <v>1020</v>
      </c>
      <c r="G5162" t="s">
        <v>32</v>
      </c>
      <c r="H5162" t="s">
        <v>33</v>
      </c>
      <c r="I5162" t="s">
        <v>59</v>
      </c>
      <c r="AB5162" t="s">
        <v>60</v>
      </c>
      <c r="AC5162" t="s">
        <v>41</v>
      </c>
    </row>
    <row r="5163" spans="1:30" x14ac:dyDescent="0.35">
      <c r="A5163" s="7">
        <v>42942</v>
      </c>
      <c r="B5163" t="s">
        <v>30</v>
      </c>
      <c r="C5163">
        <v>203</v>
      </c>
      <c r="D5163">
        <v>2</v>
      </c>
      <c r="E5163">
        <v>1</v>
      </c>
      <c r="F5163" t="s">
        <v>1020</v>
      </c>
      <c r="G5163" t="s">
        <v>32</v>
      </c>
      <c r="H5163" t="s">
        <v>33</v>
      </c>
      <c r="I5163" t="s">
        <v>59</v>
      </c>
      <c r="AB5163" t="s">
        <v>60</v>
      </c>
      <c r="AC5163" t="s">
        <v>41</v>
      </c>
    </row>
    <row r="5164" spans="1:30" x14ac:dyDescent="0.35">
      <c r="A5164" s="7">
        <v>42942</v>
      </c>
      <c r="B5164" t="s">
        <v>30</v>
      </c>
      <c r="C5164">
        <v>203</v>
      </c>
      <c r="D5164">
        <v>2</v>
      </c>
      <c r="E5164">
        <v>2</v>
      </c>
      <c r="F5164" t="s">
        <v>1020</v>
      </c>
      <c r="G5164" t="s">
        <v>32</v>
      </c>
      <c r="H5164" t="s">
        <v>33</v>
      </c>
      <c r="I5164" t="s">
        <v>59</v>
      </c>
      <c r="AB5164" t="s">
        <v>60</v>
      </c>
      <c r="AC5164" t="s">
        <v>41</v>
      </c>
    </row>
    <row r="5165" spans="1:30" x14ac:dyDescent="0.35">
      <c r="A5165" s="7">
        <v>42942</v>
      </c>
      <c r="B5165" t="s">
        <v>30</v>
      </c>
      <c r="C5165">
        <v>203</v>
      </c>
      <c r="D5165">
        <v>3</v>
      </c>
      <c r="E5165">
        <v>1</v>
      </c>
      <c r="F5165" t="s">
        <v>1020</v>
      </c>
      <c r="G5165" t="s">
        <v>32</v>
      </c>
      <c r="H5165" t="s">
        <v>33</v>
      </c>
      <c r="I5165" t="s">
        <v>59</v>
      </c>
      <c r="AB5165" t="s">
        <v>60</v>
      </c>
      <c r="AC5165" t="s">
        <v>41</v>
      </c>
    </row>
    <row r="5166" spans="1:30" x14ac:dyDescent="0.35">
      <c r="A5166" s="7">
        <v>42942</v>
      </c>
      <c r="B5166" t="s">
        <v>30</v>
      </c>
      <c r="C5166">
        <v>203</v>
      </c>
      <c r="D5166">
        <v>8</v>
      </c>
      <c r="E5166">
        <v>1</v>
      </c>
      <c r="F5166" t="s">
        <v>1020</v>
      </c>
      <c r="G5166" t="s">
        <v>32</v>
      </c>
      <c r="H5166" t="s">
        <v>33</v>
      </c>
      <c r="I5166" t="s">
        <v>59</v>
      </c>
      <c r="AB5166" t="s">
        <v>60</v>
      </c>
      <c r="AC5166" t="s">
        <v>41</v>
      </c>
    </row>
    <row r="5167" spans="1:30" x14ac:dyDescent="0.35">
      <c r="A5167" s="7">
        <v>42942</v>
      </c>
      <c r="B5167" t="s">
        <v>30</v>
      </c>
      <c r="C5167">
        <v>203</v>
      </c>
      <c r="D5167">
        <v>8</v>
      </c>
      <c r="E5167">
        <v>2</v>
      </c>
      <c r="F5167" t="s">
        <v>1020</v>
      </c>
      <c r="G5167" t="s">
        <v>32</v>
      </c>
      <c r="H5167" t="s">
        <v>33</v>
      </c>
      <c r="I5167" t="s">
        <v>59</v>
      </c>
      <c r="AB5167" t="s">
        <v>60</v>
      </c>
      <c r="AC5167" t="s">
        <v>41</v>
      </c>
    </row>
    <row r="5168" spans="1:30" x14ac:dyDescent="0.35">
      <c r="A5168" s="7">
        <v>42942</v>
      </c>
      <c r="B5168" t="s">
        <v>30</v>
      </c>
      <c r="C5168">
        <v>203</v>
      </c>
      <c r="D5168">
        <v>9</v>
      </c>
      <c r="E5168">
        <v>1</v>
      </c>
      <c r="F5168" t="s">
        <v>1020</v>
      </c>
      <c r="G5168" t="s">
        <v>32</v>
      </c>
      <c r="H5168" t="s">
        <v>33</v>
      </c>
      <c r="I5168" t="s">
        <v>59</v>
      </c>
      <c r="AB5168" t="s">
        <v>60</v>
      </c>
      <c r="AC5168" t="s">
        <v>41</v>
      </c>
    </row>
    <row r="5169" spans="1:29" x14ac:dyDescent="0.35">
      <c r="A5169" s="7">
        <v>42942</v>
      </c>
      <c r="B5169" t="s">
        <v>30</v>
      </c>
      <c r="C5169">
        <v>304</v>
      </c>
      <c r="D5169">
        <v>1</v>
      </c>
      <c r="E5169">
        <v>1</v>
      </c>
      <c r="F5169" t="s">
        <v>1020</v>
      </c>
      <c r="G5169" t="s">
        <v>32</v>
      </c>
      <c r="H5169" t="s">
        <v>33</v>
      </c>
      <c r="I5169" t="s">
        <v>59</v>
      </c>
      <c r="AB5169" t="s">
        <v>60</v>
      </c>
      <c r="AC5169" t="s">
        <v>41</v>
      </c>
    </row>
    <row r="5170" spans="1:29" x14ac:dyDescent="0.35">
      <c r="A5170" s="7">
        <v>42942</v>
      </c>
      <c r="B5170" t="s">
        <v>30</v>
      </c>
      <c r="C5170">
        <v>304</v>
      </c>
      <c r="D5170">
        <v>1</v>
      </c>
      <c r="E5170">
        <v>2</v>
      </c>
      <c r="F5170" t="s">
        <v>1020</v>
      </c>
      <c r="G5170" t="s">
        <v>32</v>
      </c>
      <c r="H5170" t="s">
        <v>33</v>
      </c>
      <c r="I5170" t="s">
        <v>59</v>
      </c>
      <c r="AB5170" t="s">
        <v>60</v>
      </c>
      <c r="AC5170" t="s">
        <v>41</v>
      </c>
    </row>
    <row r="5171" spans="1:29" x14ac:dyDescent="0.35">
      <c r="A5171" s="7">
        <v>42942</v>
      </c>
      <c r="B5171" t="s">
        <v>30</v>
      </c>
      <c r="C5171">
        <v>304</v>
      </c>
      <c r="D5171">
        <v>2</v>
      </c>
      <c r="E5171">
        <v>1</v>
      </c>
      <c r="F5171" t="s">
        <v>1020</v>
      </c>
      <c r="G5171" t="s">
        <v>32</v>
      </c>
      <c r="H5171" t="s">
        <v>33</v>
      </c>
      <c r="I5171" t="s">
        <v>59</v>
      </c>
      <c r="AB5171" t="s">
        <v>60</v>
      </c>
      <c r="AC5171" t="s">
        <v>41</v>
      </c>
    </row>
    <row r="5172" spans="1:29" x14ac:dyDescent="0.35">
      <c r="A5172" s="7">
        <v>42942</v>
      </c>
      <c r="B5172" t="s">
        <v>30</v>
      </c>
      <c r="C5172">
        <v>304</v>
      </c>
      <c r="D5172">
        <v>2</v>
      </c>
      <c r="E5172">
        <v>2</v>
      </c>
      <c r="F5172" t="s">
        <v>1020</v>
      </c>
      <c r="G5172" t="s">
        <v>32</v>
      </c>
      <c r="H5172" t="s">
        <v>33</v>
      </c>
      <c r="I5172" t="s">
        <v>59</v>
      </c>
      <c r="AB5172" t="s">
        <v>60</v>
      </c>
      <c r="AC5172" t="s">
        <v>41</v>
      </c>
    </row>
    <row r="5173" spans="1:29" x14ac:dyDescent="0.35">
      <c r="A5173" s="7">
        <v>42942</v>
      </c>
      <c r="B5173" t="s">
        <v>30</v>
      </c>
      <c r="C5173">
        <v>304</v>
      </c>
      <c r="D5173">
        <v>3</v>
      </c>
      <c r="E5173">
        <v>1</v>
      </c>
      <c r="F5173" t="s">
        <v>1020</v>
      </c>
      <c r="G5173" t="s">
        <v>32</v>
      </c>
      <c r="H5173" t="s">
        <v>33</v>
      </c>
      <c r="I5173" t="s">
        <v>59</v>
      </c>
      <c r="AB5173" t="s">
        <v>60</v>
      </c>
      <c r="AC5173" t="s">
        <v>41</v>
      </c>
    </row>
    <row r="5174" spans="1:29" x14ac:dyDescent="0.35">
      <c r="A5174" s="7">
        <v>42942</v>
      </c>
      <c r="B5174" t="s">
        <v>30</v>
      </c>
      <c r="C5174">
        <v>304</v>
      </c>
      <c r="D5174">
        <v>3</v>
      </c>
      <c r="E5174">
        <v>2</v>
      </c>
      <c r="F5174" t="s">
        <v>1020</v>
      </c>
      <c r="G5174" t="s">
        <v>32</v>
      </c>
      <c r="H5174" t="s">
        <v>33</v>
      </c>
      <c r="I5174" t="s">
        <v>59</v>
      </c>
      <c r="AB5174" t="s">
        <v>60</v>
      </c>
      <c r="AC5174" t="s">
        <v>41</v>
      </c>
    </row>
    <row r="5175" spans="1:29" x14ac:dyDescent="0.35">
      <c r="A5175" s="7">
        <v>42942</v>
      </c>
      <c r="B5175" t="s">
        <v>30</v>
      </c>
      <c r="C5175">
        <v>304</v>
      </c>
      <c r="D5175">
        <v>4</v>
      </c>
      <c r="E5175">
        <v>1</v>
      </c>
      <c r="F5175" t="s">
        <v>1020</v>
      </c>
      <c r="G5175" t="s">
        <v>32</v>
      </c>
      <c r="H5175" t="s">
        <v>33</v>
      </c>
      <c r="I5175" t="s">
        <v>59</v>
      </c>
      <c r="AB5175" t="s">
        <v>60</v>
      </c>
      <c r="AC5175" t="s">
        <v>41</v>
      </c>
    </row>
    <row r="5176" spans="1:29" x14ac:dyDescent="0.35">
      <c r="A5176" s="7">
        <v>42942</v>
      </c>
      <c r="B5176" t="s">
        <v>30</v>
      </c>
      <c r="C5176">
        <v>304</v>
      </c>
      <c r="D5176">
        <v>4</v>
      </c>
      <c r="E5176">
        <v>2</v>
      </c>
      <c r="F5176" t="s">
        <v>1020</v>
      </c>
      <c r="G5176" t="s">
        <v>32</v>
      </c>
      <c r="H5176" t="s">
        <v>33</v>
      </c>
      <c r="I5176" t="s">
        <v>84</v>
      </c>
      <c r="AB5176" t="s">
        <v>60</v>
      </c>
      <c r="AC5176" t="s">
        <v>41</v>
      </c>
    </row>
    <row r="5177" spans="1:29" x14ac:dyDescent="0.35">
      <c r="A5177" s="7">
        <v>42942</v>
      </c>
      <c r="B5177" t="s">
        <v>30</v>
      </c>
      <c r="C5177">
        <v>304</v>
      </c>
      <c r="D5177">
        <v>5</v>
      </c>
      <c r="E5177">
        <v>1</v>
      </c>
      <c r="F5177" t="s">
        <v>1020</v>
      </c>
      <c r="G5177" t="s">
        <v>32</v>
      </c>
      <c r="H5177" t="s">
        <v>33</v>
      </c>
      <c r="I5177" t="s">
        <v>84</v>
      </c>
      <c r="AB5177" t="s">
        <v>60</v>
      </c>
      <c r="AC5177" t="s">
        <v>41</v>
      </c>
    </row>
    <row r="5178" spans="1:29" x14ac:dyDescent="0.35">
      <c r="A5178" s="7">
        <v>42942</v>
      </c>
      <c r="B5178" t="s">
        <v>30</v>
      </c>
      <c r="C5178">
        <v>304</v>
      </c>
      <c r="D5178">
        <v>7</v>
      </c>
      <c r="E5178">
        <v>1</v>
      </c>
      <c r="F5178" t="s">
        <v>1020</v>
      </c>
      <c r="G5178" t="s">
        <v>32</v>
      </c>
      <c r="H5178" t="s">
        <v>33</v>
      </c>
      <c r="I5178" t="s">
        <v>1029</v>
      </c>
      <c r="J5178" t="s">
        <v>66</v>
      </c>
      <c r="AB5178" t="s">
        <v>60</v>
      </c>
      <c r="AC5178" t="s">
        <v>41</v>
      </c>
    </row>
    <row r="5179" spans="1:29" x14ac:dyDescent="0.35">
      <c r="A5179" s="7">
        <v>42942</v>
      </c>
      <c r="B5179" t="s">
        <v>30</v>
      </c>
      <c r="C5179">
        <v>304</v>
      </c>
      <c r="D5179">
        <v>8</v>
      </c>
      <c r="E5179">
        <v>1</v>
      </c>
      <c r="F5179" t="s">
        <v>1020</v>
      </c>
      <c r="G5179" t="s">
        <v>32</v>
      </c>
      <c r="H5179" t="s">
        <v>33</v>
      </c>
      <c r="I5179" t="s">
        <v>59</v>
      </c>
      <c r="AB5179" t="s">
        <v>60</v>
      </c>
      <c r="AC5179" t="s">
        <v>41</v>
      </c>
    </row>
    <row r="5180" spans="1:29" x14ac:dyDescent="0.35">
      <c r="A5180" s="7">
        <v>42942</v>
      </c>
      <c r="B5180" t="s">
        <v>30</v>
      </c>
      <c r="C5180">
        <v>304</v>
      </c>
      <c r="D5180">
        <v>9</v>
      </c>
      <c r="E5180">
        <v>1</v>
      </c>
      <c r="F5180" t="s">
        <v>1020</v>
      </c>
      <c r="G5180" t="s">
        <v>32</v>
      </c>
      <c r="H5180" t="s">
        <v>33</v>
      </c>
      <c r="I5180" t="s">
        <v>72</v>
      </c>
      <c r="J5180" t="s">
        <v>56</v>
      </c>
      <c r="AB5180" t="s">
        <v>60</v>
      </c>
      <c r="AC5180" t="s">
        <v>41</v>
      </c>
    </row>
    <row r="5181" spans="1:29" x14ac:dyDescent="0.35">
      <c r="A5181" s="7">
        <v>42942</v>
      </c>
      <c r="B5181" t="s">
        <v>30</v>
      </c>
      <c r="C5181">
        <v>304</v>
      </c>
      <c r="D5181">
        <v>9</v>
      </c>
      <c r="E5181">
        <v>2</v>
      </c>
      <c r="F5181" t="s">
        <v>1020</v>
      </c>
      <c r="G5181" t="s">
        <v>32</v>
      </c>
      <c r="H5181" t="s">
        <v>33</v>
      </c>
      <c r="I5181" t="s">
        <v>72</v>
      </c>
      <c r="J5181" t="s">
        <v>56</v>
      </c>
      <c r="AB5181" t="s">
        <v>60</v>
      </c>
      <c r="AC5181" t="s">
        <v>41</v>
      </c>
    </row>
    <row r="5182" spans="1:29" x14ac:dyDescent="0.35">
      <c r="A5182" s="7">
        <v>42942</v>
      </c>
      <c r="B5182" t="s">
        <v>30</v>
      </c>
      <c r="C5182">
        <v>402</v>
      </c>
      <c r="D5182">
        <v>1</v>
      </c>
      <c r="E5182">
        <v>1</v>
      </c>
      <c r="F5182" t="s">
        <v>315</v>
      </c>
      <c r="G5182" t="s">
        <v>32</v>
      </c>
      <c r="H5182" t="s">
        <v>33</v>
      </c>
      <c r="I5182" t="s">
        <v>58</v>
      </c>
      <c r="J5182" t="s">
        <v>35</v>
      </c>
      <c r="K5182" t="s">
        <v>36</v>
      </c>
      <c r="L5182" t="s">
        <v>37</v>
      </c>
      <c r="M5182">
        <v>0</v>
      </c>
      <c r="N5182">
        <v>1</v>
      </c>
      <c r="P5182">
        <v>39452</v>
      </c>
      <c r="Q5182">
        <f>39.5-14</f>
        <v>25.5</v>
      </c>
      <c r="R5182" t="s">
        <v>38</v>
      </c>
      <c r="Z5182" t="s">
        <v>102</v>
      </c>
      <c r="AB5182" t="s">
        <v>60</v>
      </c>
      <c r="AC5182" t="s">
        <v>41</v>
      </c>
    </row>
    <row r="5183" spans="1:29" x14ac:dyDescent="0.35">
      <c r="A5183" s="7">
        <v>42942</v>
      </c>
      <c r="B5183" t="s">
        <v>30</v>
      </c>
      <c r="C5183">
        <v>402</v>
      </c>
      <c r="D5183">
        <v>1</v>
      </c>
      <c r="E5183">
        <v>2</v>
      </c>
      <c r="F5183" t="s">
        <v>315</v>
      </c>
      <c r="G5183" t="s">
        <v>32</v>
      </c>
      <c r="H5183" t="s">
        <v>33</v>
      </c>
      <c r="I5183" t="s">
        <v>59</v>
      </c>
      <c r="AB5183" t="s">
        <v>60</v>
      </c>
      <c r="AC5183" t="s">
        <v>41</v>
      </c>
    </row>
    <row r="5184" spans="1:29" x14ac:dyDescent="0.35">
      <c r="A5184" s="7">
        <v>42942</v>
      </c>
      <c r="B5184" t="s">
        <v>30</v>
      </c>
      <c r="C5184">
        <v>402</v>
      </c>
      <c r="D5184">
        <v>2</v>
      </c>
      <c r="E5184">
        <v>1</v>
      </c>
      <c r="F5184" t="s">
        <v>315</v>
      </c>
      <c r="G5184" t="s">
        <v>32</v>
      </c>
      <c r="H5184" t="s">
        <v>33</v>
      </c>
      <c r="I5184" t="s">
        <v>59</v>
      </c>
      <c r="AB5184" t="s">
        <v>60</v>
      </c>
      <c r="AC5184" t="s">
        <v>41</v>
      </c>
    </row>
    <row r="5185" spans="1:29" x14ac:dyDescent="0.35">
      <c r="A5185" s="7">
        <v>42942</v>
      </c>
      <c r="B5185" t="s">
        <v>30</v>
      </c>
      <c r="C5185">
        <v>402</v>
      </c>
      <c r="D5185">
        <v>2</v>
      </c>
      <c r="E5185">
        <v>2</v>
      </c>
      <c r="F5185" t="s">
        <v>315</v>
      </c>
      <c r="G5185" t="s">
        <v>32</v>
      </c>
      <c r="H5185" t="s">
        <v>33</v>
      </c>
      <c r="I5185" t="s">
        <v>59</v>
      </c>
      <c r="AB5185" t="s">
        <v>60</v>
      </c>
      <c r="AC5185" t="s">
        <v>41</v>
      </c>
    </row>
    <row r="5186" spans="1:29" x14ac:dyDescent="0.35">
      <c r="A5186" s="7">
        <v>42942</v>
      </c>
      <c r="B5186" t="s">
        <v>30</v>
      </c>
      <c r="C5186">
        <v>402</v>
      </c>
      <c r="D5186">
        <v>3</v>
      </c>
      <c r="E5186">
        <v>1</v>
      </c>
      <c r="F5186" t="s">
        <v>315</v>
      </c>
      <c r="G5186" t="s">
        <v>32</v>
      </c>
      <c r="H5186" t="s">
        <v>33</v>
      </c>
      <c r="I5186" t="s">
        <v>59</v>
      </c>
      <c r="AB5186" t="s">
        <v>60</v>
      </c>
      <c r="AC5186" t="s">
        <v>41</v>
      </c>
    </row>
    <row r="5187" spans="1:29" x14ac:dyDescent="0.35">
      <c r="A5187" s="7">
        <v>42942</v>
      </c>
      <c r="B5187" t="s">
        <v>30</v>
      </c>
      <c r="C5187">
        <v>402</v>
      </c>
      <c r="D5187">
        <v>3</v>
      </c>
      <c r="E5187">
        <v>2</v>
      </c>
      <c r="F5187" t="s">
        <v>315</v>
      </c>
      <c r="G5187" t="s">
        <v>32</v>
      </c>
      <c r="H5187" t="s">
        <v>33</v>
      </c>
      <c r="I5187" t="s">
        <v>43</v>
      </c>
      <c r="J5187" t="s">
        <v>35</v>
      </c>
      <c r="K5187" t="s">
        <v>36</v>
      </c>
      <c r="L5187" t="s">
        <v>45</v>
      </c>
      <c r="M5187">
        <v>0</v>
      </c>
      <c r="N5187">
        <v>1</v>
      </c>
      <c r="O5187">
        <v>39454</v>
      </c>
      <c r="P5187">
        <v>39453</v>
      </c>
      <c r="Q5187">
        <f>34-14</f>
        <v>20</v>
      </c>
      <c r="R5187" t="s">
        <v>79</v>
      </c>
      <c r="S5187" t="s">
        <v>39</v>
      </c>
      <c r="Z5187" t="s">
        <v>102</v>
      </c>
      <c r="AB5187" t="s">
        <v>60</v>
      </c>
      <c r="AC5187" t="s">
        <v>41</v>
      </c>
    </row>
    <row r="5188" spans="1:29" x14ac:dyDescent="0.35">
      <c r="A5188" s="7">
        <v>42942</v>
      </c>
      <c r="B5188" t="s">
        <v>30</v>
      </c>
      <c r="C5188">
        <v>402</v>
      </c>
      <c r="D5188">
        <v>4</v>
      </c>
      <c r="E5188">
        <v>1</v>
      </c>
      <c r="F5188" t="s">
        <v>315</v>
      </c>
      <c r="G5188" t="s">
        <v>32</v>
      </c>
      <c r="H5188" t="s">
        <v>33</v>
      </c>
      <c r="I5188" t="s">
        <v>59</v>
      </c>
      <c r="AB5188" t="s">
        <v>60</v>
      </c>
      <c r="AC5188" t="s">
        <v>41</v>
      </c>
    </row>
    <row r="5189" spans="1:29" x14ac:dyDescent="0.35">
      <c r="A5189" s="7">
        <v>42942</v>
      </c>
      <c r="B5189" t="s">
        <v>30</v>
      </c>
      <c r="C5189">
        <v>402</v>
      </c>
      <c r="D5189">
        <v>5</v>
      </c>
      <c r="E5189">
        <v>1</v>
      </c>
      <c r="F5189" t="s">
        <v>315</v>
      </c>
      <c r="G5189" t="s">
        <v>32</v>
      </c>
      <c r="H5189" t="s">
        <v>33</v>
      </c>
      <c r="I5189" t="s">
        <v>59</v>
      </c>
      <c r="AB5189" t="s">
        <v>60</v>
      </c>
      <c r="AC5189" t="s">
        <v>41</v>
      </c>
    </row>
    <row r="5190" spans="1:29" x14ac:dyDescent="0.35">
      <c r="A5190" s="7">
        <v>42942</v>
      </c>
      <c r="B5190" t="s">
        <v>30</v>
      </c>
      <c r="C5190">
        <v>402</v>
      </c>
      <c r="D5190">
        <v>6</v>
      </c>
      <c r="E5190">
        <v>1</v>
      </c>
      <c r="F5190" t="s">
        <v>315</v>
      </c>
      <c r="G5190" t="s">
        <v>32</v>
      </c>
      <c r="H5190" t="s">
        <v>33</v>
      </c>
      <c r="I5190" t="s">
        <v>59</v>
      </c>
      <c r="AB5190" t="s">
        <v>60</v>
      </c>
      <c r="AC5190" t="s">
        <v>41</v>
      </c>
    </row>
    <row r="5191" spans="1:29" x14ac:dyDescent="0.35">
      <c r="A5191" s="7">
        <v>42942</v>
      </c>
      <c r="B5191" t="s">
        <v>30</v>
      </c>
      <c r="C5191">
        <v>402</v>
      </c>
      <c r="D5191">
        <v>6</v>
      </c>
      <c r="E5191">
        <v>2</v>
      </c>
      <c r="F5191" t="s">
        <v>315</v>
      </c>
      <c r="G5191" t="s">
        <v>32</v>
      </c>
      <c r="H5191" t="s">
        <v>33</v>
      </c>
      <c r="I5191" t="s">
        <v>59</v>
      </c>
      <c r="AB5191" t="s">
        <v>60</v>
      </c>
      <c r="AC5191" t="s">
        <v>41</v>
      </c>
    </row>
    <row r="5192" spans="1:29" x14ac:dyDescent="0.35">
      <c r="A5192" s="7">
        <v>42942</v>
      </c>
      <c r="B5192" t="s">
        <v>30</v>
      </c>
      <c r="C5192">
        <v>402</v>
      </c>
      <c r="D5192">
        <v>7</v>
      </c>
      <c r="E5192">
        <v>1</v>
      </c>
      <c r="F5192" t="s">
        <v>315</v>
      </c>
      <c r="G5192" t="s">
        <v>32</v>
      </c>
      <c r="H5192" t="s">
        <v>33</v>
      </c>
      <c r="I5192" t="s">
        <v>43</v>
      </c>
      <c r="J5192" t="s">
        <v>44</v>
      </c>
      <c r="K5192" t="s">
        <v>36</v>
      </c>
      <c r="L5192" t="s">
        <v>37</v>
      </c>
      <c r="M5192">
        <v>0</v>
      </c>
      <c r="N5192">
        <v>0</v>
      </c>
      <c r="O5192">
        <v>38912</v>
      </c>
      <c r="P5192">
        <v>38913</v>
      </c>
      <c r="Q5192">
        <f>34-16.5</f>
        <v>17.5</v>
      </c>
      <c r="R5192" t="s">
        <v>38</v>
      </c>
      <c r="Z5192" t="s">
        <v>102</v>
      </c>
      <c r="AB5192" t="s">
        <v>60</v>
      </c>
      <c r="AC5192" t="s">
        <v>41</v>
      </c>
    </row>
    <row r="5193" spans="1:29" x14ac:dyDescent="0.35">
      <c r="A5193" s="7">
        <v>42942</v>
      </c>
      <c r="B5193" t="s">
        <v>30</v>
      </c>
      <c r="C5193">
        <v>402</v>
      </c>
      <c r="D5193">
        <v>8</v>
      </c>
      <c r="E5193">
        <v>1</v>
      </c>
      <c r="F5193" t="s">
        <v>315</v>
      </c>
      <c r="G5193" t="s">
        <v>32</v>
      </c>
      <c r="H5193" t="s">
        <v>33</v>
      </c>
      <c r="I5193" t="s">
        <v>59</v>
      </c>
      <c r="AB5193" t="s">
        <v>60</v>
      </c>
      <c r="AC5193" t="s">
        <v>41</v>
      </c>
    </row>
    <row r="5194" spans="1:29" x14ac:dyDescent="0.35">
      <c r="A5194" s="7">
        <v>42942</v>
      </c>
      <c r="B5194" t="s">
        <v>30</v>
      </c>
      <c r="C5194">
        <v>402</v>
      </c>
      <c r="D5194">
        <v>9</v>
      </c>
      <c r="E5194">
        <v>1</v>
      </c>
      <c r="F5194" t="s">
        <v>315</v>
      </c>
      <c r="G5194" t="s">
        <v>32</v>
      </c>
      <c r="H5194" t="s">
        <v>33</v>
      </c>
      <c r="I5194" t="s">
        <v>59</v>
      </c>
      <c r="AB5194" t="s">
        <v>60</v>
      </c>
      <c r="AC5194" t="s">
        <v>41</v>
      </c>
    </row>
    <row r="5195" spans="1:29" x14ac:dyDescent="0.35">
      <c r="A5195" s="7">
        <v>42942</v>
      </c>
      <c r="B5195" t="s">
        <v>30</v>
      </c>
      <c r="C5195">
        <v>402</v>
      </c>
      <c r="D5195">
        <v>9</v>
      </c>
      <c r="E5195">
        <v>2</v>
      </c>
      <c r="F5195" t="s">
        <v>315</v>
      </c>
      <c r="G5195" t="s">
        <v>32</v>
      </c>
      <c r="H5195" t="s">
        <v>33</v>
      </c>
      <c r="I5195" t="s">
        <v>59</v>
      </c>
      <c r="AB5195" t="s">
        <v>60</v>
      </c>
      <c r="AC5195" t="s">
        <v>41</v>
      </c>
    </row>
    <row r="5196" spans="1:29" x14ac:dyDescent="0.35">
      <c r="A5196" s="7">
        <v>42942</v>
      </c>
      <c r="B5196" t="s">
        <v>30</v>
      </c>
      <c r="C5196">
        <v>402</v>
      </c>
      <c r="D5196">
        <v>10</v>
      </c>
      <c r="E5196">
        <v>1</v>
      </c>
      <c r="F5196" t="s">
        <v>315</v>
      </c>
      <c r="G5196" t="s">
        <v>32</v>
      </c>
      <c r="H5196" t="s">
        <v>33</v>
      </c>
      <c r="I5196" t="s">
        <v>59</v>
      </c>
      <c r="AB5196" t="s">
        <v>60</v>
      </c>
      <c r="AC5196" t="s">
        <v>41</v>
      </c>
    </row>
    <row r="5197" spans="1:29" x14ac:dyDescent="0.35">
      <c r="A5197" s="7">
        <v>42942</v>
      </c>
      <c r="B5197" t="s">
        <v>30</v>
      </c>
      <c r="C5197">
        <v>402</v>
      </c>
      <c r="D5197">
        <v>10</v>
      </c>
      <c r="E5197">
        <v>2</v>
      </c>
      <c r="F5197" t="s">
        <v>315</v>
      </c>
      <c r="G5197" t="s">
        <v>32</v>
      </c>
      <c r="H5197" t="s">
        <v>33</v>
      </c>
      <c r="I5197" t="s">
        <v>43</v>
      </c>
      <c r="J5197" t="s">
        <v>35</v>
      </c>
      <c r="K5197" t="s">
        <v>36</v>
      </c>
      <c r="L5197" t="s">
        <v>37</v>
      </c>
      <c r="M5197">
        <v>0</v>
      </c>
      <c r="N5197">
        <v>1</v>
      </c>
      <c r="O5197">
        <v>39456</v>
      </c>
      <c r="P5197">
        <v>39455</v>
      </c>
      <c r="Q5197">
        <f>35-13.5</f>
        <v>21.5</v>
      </c>
      <c r="R5197" t="s">
        <v>38</v>
      </c>
      <c r="Z5197" t="s">
        <v>102</v>
      </c>
      <c r="AB5197" t="s">
        <v>60</v>
      </c>
      <c r="AC5197" t="s">
        <v>41</v>
      </c>
    </row>
    <row r="5198" spans="1:29" x14ac:dyDescent="0.35">
      <c r="A5198" s="7">
        <v>42943</v>
      </c>
      <c r="B5198" t="s">
        <v>30</v>
      </c>
      <c r="C5198">
        <v>111</v>
      </c>
      <c r="D5198">
        <v>1</v>
      </c>
      <c r="E5198">
        <v>1</v>
      </c>
      <c r="F5198" t="s">
        <v>315</v>
      </c>
      <c r="G5198" t="s">
        <v>32</v>
      </c>
      <c r="H5198" t="s">
        <v>33</v>
      </c>
      <c r="I5198" t="s">
        <v>59</v>
      </c>
      <c r="AB5198" t="s">
        <v>86</v>
      </c>
      <c r="AC5198" t="s">
        <v>87</v>
      </c>
    </row>
    <row r="5199" spans="1:29" x14ac:dyDescent="0.35">
      <c r="A5199" s="7">
        <v>42943</v>
      </c>
      <c r="B5199" t="s">
        <v>30</v>
      </c>
      <c r="C5199">
        <v>111</v>
      </c>
      <c r="D5199">
        <v>1</v>
      </c>
      <c r="E5199">
        <v>2</v>
      </c>
      <c r="F5199" t="s">
        <v>315</v>
      </c>
      <c r="G5199" t="s">
        <v>32</v>
      </c>
      <c r="H5199" t="s">
        <v>33</v>
      </c>
      <c r="I5199" t="s">
        <v>59</v>
      </c>
      <c r="AB5199" t="s">
        <v>86</v>
      </c>
      <c r="AC5199" t="s">
        <v>87</v>
      </c>
    </row>
    <row r="5200" spans="1:29" x14ac:dyDescent="0.35">
      <c r="A5200" s="7">
        <v>42943</v>
      </c>
      <c r="B5200" t="s">
        <v>30</v>
      </c>
      <c r="C5200">
        <v>111</v>
      </c>
      <c r="D5200">
        <v>2</v>
      </c>
      <c r="E5200">
        <v>1</v>
      </c>
      <c r="F5200" t="s">
        <v>315</v>
      </c>
      <c r="G5200" t="s">
        <v>32</v>
      </c>
      <c r="H5200" t="s">
        <v>33</v>
      </c>
      <c r="I5200" t="s">
        <v>59</v>
      </c>
      <c r="AB5200" t="s">
        <v>86</v>
      </c>
      <c r="AC5200" t="s">
        <v>87</v>
      </c>
    </row>
    <row r="5201" spans="1:30" x14ac:dyDescent="0.35">
      <c r="A5201" s="7">
        <v>42943</v>
      </c>
      <c r="B5201" t="s">
        <v>30</v>
      </c>
      <c r="C5201">
        <v>111</v>
      </c>
      <c r="D5201">
        <v>2</v>
      </c>
      <c r="E5201">
        <v>2</v>
      </c>
      <c r="F5201" t="s">
        <v>315</v>
      </c>
      <c r="G5201" t="s">
        <v>32</v>
      </c>
      <c r="H5201" t="s">
        <v>33</v>
      </c>
      <c r="I5201" t="s">
        <v>59</v>
      </c>
      <c r="AB5201" t="s">
        <v>86</v>
      </c>
      <c r="AC5201" t="s">
        <v>87</v>
      </c>
    </row>
    <row r="5202" spans="1:30" x14ac:dyDescent="0.35">
      <c r="A5202" s="7">
        <v>42943</v>
      </c>
      <c r="B5202" t="s">
        <v>30</v>
      </c>
      <c r="C5202">
        <v>111</v>
      </c>
      <c r="D5202">
        <v>3</v>
      </c>
      <c r="E5202">
        <v>1</v>
      </c>
      <c r="F5202" t="s">
        <v>315</v>
      </c>
      <c r="G5202" t="s">
        <v>32</v>
      </c>
      <c r="H5202" t="s">
        <v>33</v>
      </c>
      <c r="I5202" t="s">
        <v>59</v>
      </c>
      <c r="AB5202" t="s">
        <v>86</v>
      </c>
      <c r="AC5202" t="s">
        <v>87</v>
      </c>
    </row>
    <row r="5203" spans="1:30" x14ac:dyDescent="0.35">
      <c r="A5203" s="7">
        <v>42943</v>
      </c>
      <c r="B5203" t="s">
        <v>30</v>
      </c>
      <c r="C5203">
        <v>111</v>
      </c>
      <c r="D5203">
        <v>3</v>
      </c>
      <c r="E5203">
        <v>2</v>
      </c>
      <c r="F5203" t="s">
        <v>315</v>
      </c>
      <c r="G5203" t="s">
        <v>32</v>
      </c>
      <c r="H5203" t="s">
        <v>33</v>
      </c>
      <c r="I5203" t="s">
        <v>59</v>
      </c>
      <c r="AB5203" t="s">
        <v>86</v>
      </c>
      <c r="AC5203" t="s">
        <v>87</v>
      </c>
    </row>
    <row r="5204" spans="1:30" x14ac:dyDescent="0.35">
      <c r="A5204" s="7">
        <v>42943</v>
      </c>
      <c r="B5204" t="s">
        <v>30</v>
      </c>
      <c r="C5204">
        <v>111</v>
      </c>
      <c r="D5204">
        <v>4</v>
      </c>
      <c r="E5204">
        <v>1</v>
      </c>
      <c r="F5204" t="s">
        <v>315</v>
      </c>
      <c r="G5204" t="s">
        <v>32</v>
      </c>
      <c r="H5204" t="s">
        <v>33</v>
      </c>
      <c r="I5204" t="s">
        <v>59</v>
      </c>
      <c r="AB5204" t="s">
        <v>86</v>
      </c>
      <c r="AC5204" t="s">
        <v>87</v>
      </c>
    </row>
    <row r="5205" spans="1:30" x14ac:dyDescent="0.35">
      <c r="A5205" s="7">
        <v>42943</v>
      </c>
      <c r="B5205" t="s">
        <v>30</v>
      </c>
      <c r="C5205">
        <v>111</v>
      </c>
      <c r="D5205">
        <v>4</v>
      </c>
      <c r="E5205">
        <v>2</v>
      </c>
      <c r="F5205" t="s">
        <v>315</v>
      </c>
      <c r="G5205" t="s">
        <v>32</v>
      </c>
      <c r="H5205" t="s">
        <v>33</v>
      </c>
      <c r="I5205" t="s">
        <v>59</v>
      </c>
      <c r="AB5205" t="s">
        <v>86</v>
      </c>
      <c r="AC5205" t="s">
        <v>87</v>
      </c>
    </row>
    <row r="5206" spans="1:30" x14ac:dyDescent="0.35">
      <c r="A5206" s="7">
        <v>42943</v>
      </c>
      <c r="B5206" t="s">
        <v>30</v>
      </c>
      <c r="C5206">
        <v>111</v>
      </c>
      <c r="D5206">
        <v>5</v>
      </c>
      <c r="E5206">
        <v>1</v>
      </c>
      <c r="F5206" t="s">
        <v>315</v>
      </c>
      <c r="G5206" t="s">
        <v>32</v>
      </c>
      <c r="H5206" t="s">
        <v>33</v>
      </c>
      <c r="I5206" t="s">
        <v>59</v>
      </c>
      <c r="AB5206" t="s">
        <v>86</v>
      </c>
      <c r="AC5206" t="s">
        <v>87</v>
      </c>
    </row>
    <row r="5207" spans="1:30" x14ac:dyDescent="0.35">
      <c r="A5207" s="7">
        <v>42943</v>
      </c>
      <c r="B5207" t="s">
        <v>30</v>
      </c>
      <c r="C5207">
        <v>111</v>
      </c>
      <c r="D5207">
        <v>5</v>
      </c>
      <c r="E5207">
        <v>2</v>
      </c>
      <c r="F5207" t="s">
        <v>315</v>
      </c>
      <c r="G5207" t="s">
        <v>32</v>
      </c>
      <c r="H5207" t="s">
        <v>33</v>
      </c>
      <c r="I5207" t="s">
        <v>43</v>
      </c>
      <c r="J5207" t="s">
        <v>44</v>
      </c>
      <c r="K5207" t="s">
        <v>36</v>
      </c>
      <c r="L5207" t="s">
        <v>45</v>
      </c>
      <c r="M5207">
        <v>0</v>
      </c>
      <c r="N5207">
        <v>0</v>
      </c>
      <c r="O5207">
        <v>38901</v>
      </c>
      <c r="P5207">
        <v>38902</v>
      </c>
      <c r="Q5207">
        <f>36-14</f>
        <v>22</v>
      </c>
      <c r="R5207" t="s">
        <v>1021</v>
      </c>
      <c r="S5207" t="s">
        <v>102</v>
      </c>
      <c r="AB5207" t="s">
        <v>86</v>
      </c>
      <c r="AC5207" t="s">
        <v>87</v>
      </c>
    </row>
    <row r="5208" spans="1:30" x14ac:dyDescent="0.35">
      <c r="A5208" s="7">
        <v>42943</v>
      </c>
      <c r="B5208" t="s">
        <v>30</v>
      </c>
      <c r="C5208">
        <v>111</v>
      </c>
      <c r="D5208">
        <v>6</v>
      </c>
      <c r="E5208">
        <v>1</v>
      </c>
      <c r="F5208" t="s">
        <v>315</v>
      </c>
      <c r="G5208" t="s">
        <v>32</v>
      </c>
      <c r="H5208" t="s">
        <v>33</v>
      </c>
      <c r="I5208" t="s">
        <v>43</v>
      </c>
      <c r="J5208" t="s">
        <v>44</v>
      </c>
      <c r="K5208" t="s">
        <v>36</v>
      </c>
      <c r="L5208" t="s">
        <v>37</v>
      </c>
      <c r="M5208">
        <v>0</v>
      </c>
      <c r="N5208">
        <v>0</v>
      </c>
      <c r="O5208">
        <v>39307</v>
      </c>
      <c r="P5208">
        <v>39308</v>
      </c>
      <c r="Q5208">
        <f>35-13</f>
        <v>22</v>
      </c>
      <c r="R5208" t="s">
        <v>38</v>
      </c>
      <c r="AB5208" t="s">
        <v>86</v>
      </c>
      <c r="AC5208" t="s">
        <v>87</v>
      </c>
    </row>
    <row r="5209" spans="1:30" x14ac:dyDescent="0.35">
      <c r="A5209" s="7">
        <v>42943</v>
      </c>
      <c r="B5209" t="s">
        <v>30</v>
      </c>
      <c r="C5209">
        <v>111</v>
      </c>
      <c r="D5209">
        <v>6</v>
      </c>
      <c r="E5209">
        <v>2</v>
      </c>
      <c r="F5209" t="s">
        <v>315</v>
      </c>
      <c r="G5209" t="s">
        <v>32</v>
      </c>
      <c r="H5209" t="s">
        <v>33</v>
      </c>
      <c r="I5209" t="s">
        <v>59</v>
      </c>
      <c r="AB5209" t="s">
        <v>86</v>
      </c>
      <c r="AC5209" t="s">
        <v>87</v>
      </c>
    </row>
    <row r="5210" spans="1:30" x14ac:dyDescent="0.35">
      <c r="A5210" s="7">
        <v>42943</v>
      </c>
      <c r="B5210" t="s">
        <v>30</v>
      </c>
      <c r="C5210">
        <v>111</v>
      </c>
      <c r="D5210">
        <v>7</v>
      </c>
      <c r="E5210">
        <v>1</v>
      </c>
      <c r="F5210" t="s">
        <v>315</v>
      </c>
      <c r="G5210" t="s">
        <v>32</v>
      </c>
      <c r="H5210" t="s">
        <v>33</v>
      </c>
      <c r="I5210" t="s">
        <v>43</v>
      </c>
      <c r="J5210" t="s">
        <v>44</v>
      </c>
      <c r="K5210" t="s">
        <v>36</v>
      </c>
      <c r="L5210" t="s">
        <v>45</v>
      </c>
      <c r="M5210">
        <v>0</v>
      </c>
      <c r="N5210">
        <v>0</v>
      </c>
      <c r="O5210">
        <v>39309</v>
      </c>
      <c r="P5210">
        <v>39310</v>
      </c>
      <c r="Q5210">
        <f>34-13.5</f>
        <v>20.5</v>
      </c>
      <c r="R5210" t="s">
        <v>1021</v>
      </c>
      <c r="S5210" t="s">
        <v>102</v>
      </c>
      <c r="Z5210" t="s">
        <v>102</v>
      </c>
      <c r="AB5210" t="s">
        <v>86</v>
      </c>
      <c r="AC5210" t="s">
        <v>87</v>
      </c>
    </row>
    <row r="5211" spans="1:30" x14ac:dyDescent="0.35">
      <c r="A5211" s="7">
        <v>42943</v>
      </c>
      <c r="B5211" t="s">
        <v>30</v>
      </c>
      <c r="C5211">
        <v>111</v>
      </c>
      <c r="D5211">
        <v>7</v>
      </c>
      <c r="E5211">
        <v>2</v>
      </c>
      <c r="F5211" t="s">
        <v>315</v>
      </c>
      <c r="G5211" t="s">
        <v>32</v>
      </c>
      <c r="H5211" t="s">
        <v>33</v>
      </c>
      <c r="I5211" t="s">
        <v>43</v>
      </c>
      <c r="J5211" t="s">
        <v>44</v>
      </c>
      <c r="K5211" t="s">
        <v>36</v>
      </c>
      <c r="L5211" t="s">
        <v>45</v>
      </c>
      <c r="M5211">
        <v>0</v>
      </c>
      <c r="N5211">
        <v>0</v>
      </c>
      <c r="O5211">
        <v>39301</v>
      </c>
      <c r="P5211">
        <v>39302</v>
      </c>
      <c r="Q5211">
        <f>36.5-15.5</f>
        <v>21</v>
      </c>
      <c r="R5211" t="s">
        <v>1021</v>
      </c>
      <c r="S5211" t="s">
        <v>102</v>
      </c>
      <c r="AB5211" t="s">
        <v>86</v>
      </c>
      <c r="AC5211" t="s">
        <v>87</v>
      </c>
    </row>
    <row r="5212" spans="1:30" x14ac:dyDescent="0.35">
      <c r="A5212" s="7">
        <v>42943</v>
      </c>
      <c r="B5212" t="s">
        <v>30</v>
      </c>
      <c r="C5212">
        <v>111</v>
      </c>
      <c r="D5212">
        <v>8</v>
      </c>
      <c r="E5212">
        <v>1</v>
      </c>
      <c r="F5212" t="s">
        <v>315</v>
      </c>
      <c r="G5212" t="s">
        <v>32</v>
      </c>
      <c r="H5212" t="s">
        <v>33</v>
      </c>
      <c r="I5212" t="s">
        <v>34</v>
      </c>
      <c r="J5212" t="s">
        <v>35</v>
      </c>
      <c r="K5212" t="s">
        <v>36</v>
      </c>
      <c r="L5212" t="s">
        <v>45</v>
      </c>
      <c r="M5212">
        <v>0</v>
      </c>
      <c r="N5212">
        <v>1</v>
      </c>
      <c r="O5212">
        <v>39462</v>
      </c>
      <c r="Q5212">
        <f>152-68</f>
        <v>84</v>
      </c>
      <c r="R5212" t="s">
        <v>79</v>
      </c>
      <c r="S5212" t="s">
        <v>39</v>
      </c>
      <c r="AB5212" t="s">
        <v>86</v>
      </c>
      <c r="AC5212" t="s">
        <v>87</v>
      </c>
    </row>
    <row r="5213" spans="1:30" x14ac:dyDescent="0.35">
      <c r="A5213" s="7">
        <v>42943</v>
      </c>
      <c r="B5213" t="s">
        <v>30</v>
      </c>
      <c r="C5213">
        <v>111</v>
      </c>
      <c r="D5213">
        <v>8</v>
      </c>
      <c r="E5213">
        <v>2</v>
      </c>
      <c r="F5213" t="s">
        <v>315</v>
      </c>
      <c r="G5213" t="s">
        <v>32</v>
      </c>
      <c r="H5213" t="s">
        <v>33</v>
      </c>
      <c r="I5213" t="s">
        <v>59</v>
      </c>
      <c r="AB5213" t="s">
        <v>86</v>
      </c>
      <c r="AC5213" t="s">
        <v>87</v>
      </c>
    </row>
    <row r="5214" spans="1:30" x14ac:dyDescent="0.35">
      <c r="A5214" s="7">
        <v>42943</v>
      </c>
      <c r="B5214" t="s">
        <v>30</v>
      </c>
      <c r="C5214">
        <v>111</v>
      </c>
      <c r="D5214">
        <v>9</v>
      </c>
      <c r="E5214">
        <v>1</v>
      </c>
      <c r="F5214" t="s">
        <v>315</v>
      </c>
      <c r="G5214" t="s">
        <v>32</v>
      </c>
      <c r="H5214" t="s">
        <v>33</v>
      </c>
      <c r="I5214" t="s">
        <v>59</v>
      </c>
      <c r="AB5214" t="s">
        <v>86</v>
      </c>
      <c r="AC5214" t="s">
        <v>87</v>
      </c>
    </row>
    <row r="5215" spans="1:30" x14ac:dyDescent="0.35">
      <c r="A5215" s="7">
        <v>42943</v>
      </c>
      <c r="B5215" t="s">
        <v>30</v>
      </c>
      <c r="C5215">
        <v>111</v>
      </c>
      <c r="D5215">
        <v>9</v>
      </c>
      <c r="E5215" t="s">
        <v>1070</v>
      </c>
      <c r="F5215" t="s">
        <v>315</v>
      </c>
      <c r="G5215" t="s">
        <v>32</v>
      </c>
      <c r="H5215" t="s">
        <v>33</v>
      </c>
      <c r="I5215" t="s">
        <v>43</v>
      </c>
      <c r="J5215" t="s">
        <v>35</v>
      </c>
      <c r="K5215" t="s">
        <v>36</v>
      </c>
      <c r="L5215" t="s">
        <v>37</v>
      </c>
      <c r="M5215">
        <v>0</v>
      </c>
      <c r="N5215">
        <v>1</v>
      </c>
      <c r="O5215">
        <v>39464</v>
      </c>
      <c r="P5215">
        <v>39463</v>
      </c>
      <c r="Q5215">
        <f>61-41</f>
        <v>20</v>
      </c>
      <c r="R5215" t="s">
        <v>38</v>
      </c>
      <c r="AB5215" t="s">
        <v>86</v>
      </c>
      <c r="AC5215" t="s">
        <v>87</v>
      </c>
      <c r="AD5215" t="s">
        <v>1071</v>
      </c>
    </row>
    <row r="5216" spans="1:30" x14ac:dyDescent="0.35">
      <c r="A5216" s="7">
        <v>42943</v>
      </c>
      <c r="B5216" t="s">
        <v>30</v>
      </c>
      <c r="C5216">
        <v>111</v>
      </c>
      <c r="D5216">
        <v>9</v>
      </c>
      <c r="E5216" t="s">
        <v>1072</v>
      </c>
      <c r="F5216" t="s">
        <v>315</v>
      </c>
      <c r="G5216" t="s">
        <v>32</v>
      </c>
      <c r="H5216" t="s">
        <v>33</v>
      </c>
      <c r="I5216" t="s">
        <v>43</v>
      </c>
      <c r="J5216" t="s">
        <v>35</v>
      </c>
      <c r="K5216" t="s">
        <v>36</v>
      </c>
      <c r="L5216" t="s">
        <v>37</v>
      </c>
      <c r="M5216">
        <v>0</v>
      </c>
      <c r="N5216">
        <v>1</v>
      </c>
      <c r="O5216">
        <v>39466</v>
      </c>
      <c r="P5216">
        <v>39465</v>
      </c>
      <c r="Q5216">
        <f>41-17</f>
        <v>24</v>
      </c>
      <c r="R5216" t="s">
        <v>38</v>
      </c>
      <c r="Z5216" t="s">
        <v>102</v>
      </c>
      <c r="AB5216" t="s">
        <v>86</v>
      </c>
      <c r="AC5216" t="s">
        <v>87</v>
      </c>
      <c r="AD5216" t="s">
        <v>1073</v>
      </c>
    </row>
    <row r="5217" spans="1:30" x14ac:dyDescent="0.35">
      <c r="A5217" s="7">
        <v>42943</v>
      </c>
      <c r="B5217" t="s">
        <v>30</v>
      </c>
      <c r="C5217">
        <v>111</v>
      </c>
      <c r="D5217">
        <v>10</v>
      </c>
      <c r="E5217">
        <v>1</v>
      </c>
      <c r="F5217" t="s">
        <v>315</v>
      </c>
      <c r="G5217" t="s">
        <v>32</v>
      </c>
      <c r="H5217" t="s">
        <v>33</v>
      </c>
      <c r="I5217" t="s">
        <v>59</v>
      </c>
      <c r="AB5217" t="s">
        <v>86</v>
      </c>
      <c r="AC5217" t="s">
        <v>87</v>
      </c>
    </row>
    <row r="5218" spans="1:30" x14ac:dyDescent="0.35">
      <c r="A5218" s="7">
        <v>42943</v>
      </c>
      <c r="B5218" t="s">
        <v>30</v>
      </c>
      <c r="C5218">
        <v>111</v>
      </c>
      <c r="D5218">
        <v>10</v>
      </c>
      <c r="E5218">
        <v>2</v>
      </c>
      <c r="F5218" t="s">
        <v>315</v>
      </c>
      <c r="G5218" t="s">
        <v>32</v>
      </c>
      <c r="H5218" t="s">
        <v>33</v>
      </c>
      <c r="I5218" t="s">
        <v>59</v>
      </c>
      <c r="AB5218" t="s">
        <v>86</v>
      </c>
      <c r="AC5218" t="s">
        <v>87</v>
      </c>
    </row>
    <row r="5219" spans="1:30" x14ac:dyDescent="0.35">
      <c r="A5219" s="7">
        <v>42943</v>
      </c>
      <c r="B5219" t="s">
        <v>30</v>
      </c>
      <c r="C5219">
        <v>112</v>
      </c>
      <c r="D5219">
        <v>1</v>
      </c>
      <c r="E5219">
        <v>1</v>
      </c>
      <c r="F5219" t="s">
        <v>315</v>
      </c>
      <c r="G5219" t="s">
        <v>32</v>
      </c>
      <c r="H5219" t="s">
        <v>33</v>
      </c>
      <c r="I5219" t="s">
        <v>43</v>
      </c>
      <c r="J5219" t="s">
        <v>44</v>
      </c>
      <c r="K5219" t="s">
        <v>36</v>
      </c>
      <c r="L5219" t="s">
        <v>45</v>
      </c>
      <c r="M5219">
        <v>0</v>
      </c>
      <c r="N5219">
        <v>0</v>
      </c>
      <c r="O5219">
        <v>39732</v>
      </c>
      <c r="P5219">
        <v>39731</v>
      </c>
      <c r="Q5219">
        <f>33-14</f>
        <v>19</v>
      </c>
      <c r="R5219" t="s">
        <v>1021</v>
      </c>
      <c r="S5219" t="s">
        <v>102</v>
      </c>
      <c r="AB5219" t="s">
        <v>86</v>
      </c>
      <c r="AC5219" t="s">
        <v>87</v>
      </c>
    </row>
    <row r="5220" spans="1:30" x14ac:dyDescent="0.35">
      <c r="A5220" s="7">
        <v>42943</v>
      </c>
      <c r="B5220" t="s">
        <v>30</v>
      </c>
      <c r="C5220">
        <v>112</v>
      </c>
      <c r="D5220">
        <v>1</v>
      </c>
      <c r="E5220">
        <v>2</v>
      </c>
      <c r="F5220" t="s">
        <v>315</v>
      </c>
      <c r="G5220" t="s">
        <v>32</v>
      </c>
      <c r="H5220" t="s">
        <v>33</v>
      </c>
      <c r="I5220" t="s">
        <v>59</v>
      </c>
      <c r="AB5220" t="s">
        <v>86</v>
      </c>
      <c r="AC5220" t="s">
        <v>87</v>
      </c>
    </row>
    <row r="5221" spans="1:30" x14ac:dyDescent="0.35">
      <c r="A5221" s="7">
        <v>42943</v>
      </c>
      <c r="B5221" t="s">
        <v>30</v>
      </c>
      <c r="C5221">
        <v>112</v>
      </c>
      <c r="D5221">
        <v>2</v>
      </c>
      <c r="E5221">
        <v>1</v>
      </c>
      <c r="F5221" t="s">
        <v>315</v>
      </c>
      <c r="G5221" t="s">
        <v>32</v>
      </c>
      <c r="H5221" t="s">
        <v>33</v>
      </c>
      <c r="I5221" t="s">
        <v>59</v>
      </c>
      <c r="AB5221" t="s">
        <v>86</v>
      </c>
      <c r="AC5221" t="s">
        <v>87</v>
      </c>
    </row>
    <row r="5222" spans="1:30" x14ac:dyDescent="0.35">
      <c r="A5222" s="7">
        <v>42943</v>
      </c>
      <c r="B5222" t="s">
        <v>30</v>
      </c>
      <c r="C5222">
        <v>112</v>
      </c>
      <c r="D5222">
        <v>2</v>
      </c>
      <c r="E5222">
        <v>2</v>
      </c>
      <c r="F5222" t="s">
        <v>315</v>
      </c>
      <c r="G5222" t="s">
        <v>32</v>
      </c>
      <c r="H5222" t="s">
        <v>33</v>
      </c>
      <c r="I5222" t="s">
        <v>43</v>
      </c>
      <c r="J5222" t="s">
        <v>92</v>
      </c>
      <c r="AB5222" t="s">
        <v>86</v>
      </c>
      <c r="AC5222" t="s">
        <v>87</v>
      </c>
    </row>
    <row r="5223" spans="1:30" x14ac:dyDescent="0.35">
      <c r="A5223" s="7">
        <v>42943</v>
      </c>
      <c r="B5223" t="s">
        <v>30</v>
      </c>
      <c r="C5223">
        <v>112</v>
      </c>
      <c r="D5223">
        <v>3</v>
      </c>
      <c r="E5223">
        <v>1</v>
      </c>
      <c r="F5223" t="s">
        <v>315</v>
      </c>
      <c r="G5223" t="s">
        <v>32</v>
      </c>
      <c r="H5223" t="s">
        <v>33</v>
      </c>
      <c r="I5223" t="s">
        <v>34</v>
      </c>
      <c r="J5223" t="s">
        <v>35</v>
      </c>
      <c r="K5223" t="s">
        <v>36</v>
      </c>
      <c r="L5223" t="s">
        <v>37</v>
      </c>
      <c r="M5223">
        <v>0</v>
      </c>
      <c r="N5223">
        <v>1</v>
      </c>
      <c r="O5223">
        <v>39468</v>
      </c>
      <c r="Q5223">
        <f>154-70</f>
        <v>84</v>
      </c>
      <c r="R5223" t="s">
        <v>38</v>
      </c>
      <c r="AB5223" t="s">
        <v>86</v>
      </c>
      <c r="AC5223" t="s">
        <v>87</v>
      </c>
    </row>
    <row r="5224" spans="1:30" x14ac:dyDescent="0.35">
      <c r="A5224" s="7">
        <v>42943</v>
      </c>
      <c r="B5224" t="s">
        <v>30</v>
      </c>
      <c r="C5224">
        <v>112</v>
      </c>
      <c r="D5224">
        <v>3</v>
      </c>
      <c r="E5224">
        <v>2</v>
      </c>
      <c r="F5224" t="s">
        <v>315</v>
      </c>
      <c r="G5224" t="s">
        <v>32</v>
      </c>
      <c r="H5224" t="s">
        <v>33</v>
      </c>
      <c r="I5224" t="s">
        <v>59</v>
      </c>
      <c r="AB5224" t="s">
        <v>86</v>
      </c>
      <c r="AC5224" t="s">
        <v>87</v>
      </c>
    </row>
    <row r="5225" spans="1:30" x14ac:dyDescent="0.35">
      <c r="A5225" s="7">
        <v>42943</v>
      </c>
      <c r="B5225" t="s">
        <v>30</v>
      </c>
      <c r="C5225">
        <v>112</v>
      </c>
      <c r="D5225">
        <v>4</v>
      </c>
      <c r="E5225">
        <v>1</v>
      </c>
      <c r="F5225" t="s">
        <v>315</v>
      </c>
      <c r="G5225" t="s">
        <v>32</v>
      </c>
      <c r="H5225" t="s">
        <v>33</v>
      </c>
      <c r="I5225" t="s">
        <v>59</v>
      </c>
      <c r="AB5225" t="s">
        <v>86</v>
      </c>
      <c r="AC5225" t="s">
        <v>87</v>
      </c>
    </row>
    <row r="5226" spans="1:30" x14ac:dyDescent="0.35">
      <c r="A5226" s="7">
        <v>42943</v>
      </c>
      <c r="B5226" t="s">
        <v>30</v>
      </c>
      <c r="C5226">
        <v>112</v>
      </c>
      <c r="D5226">
        <v>5</v>
      </c>
      <c r="E5226">
        <v>1</v>
      </c>
      <c r="F5226" t="s">
        <v>315</v>
      </c>
      <c r="G5226" t="s">
        <v>32</v>
      </c>
      <c r="H5226" t="s">
        <v>33</v>
      </c>
      <c r="I5226" t="s">
        <v>59</v>
      </c>
      <c r="AB5226" t="s">
        <v>86</v>
      </c>
      <c r="AC5226" t="s">
        <v>87</v>
      </c>
    </row>
    <row r="5227" spans="1:30" x14ac:dyDescent="0.35">
      <c r="A5227" s="7">
        <v>42943</v>
      </c>
      <c r="B5227" t="s">
        <v>30</v>
      </c>
      <c r="C5227">
        <v>112</v>
      </c>
      <c r="D5227">
        <v>5</v>
      </c>
      <c r="E5227">
        <v>2</v>
      </c>
      <c r="F5227" t="s">
        <v>315</v>
      </c>
      <c r="G5227" t="s">
        <v>32</v>
      </c>
      <c r="H5227" t="s">
        <v>33</v>
      </c>
      <c r="I5227" t="s">
        <v>43</v>
      </c>
      <c r="J5227" t="s">
        <v>35</v>
      </c>
      <c r="K5227" t="s">
        <v>36</v>
      </c>
      <c r="L5227" t="s">
        <v>45</v>
      </c>
      <c r="M5227">
        <v>0</v>
      </c>
      <c r="N5227">
        <v>1</v>
      </c>
      <c r="O5227">
        <v>39469</v>
      </c>
      <c r="P5227">
        <v>39467</v>
      </c>
      <c r="Q5227">
        <f>32-13</f>
        <v>19</v>
      </c>
      <c r="R5227" t="s">
        <v>79</v>
      </c>
      <c r="S5227" t="s">
        <v>39</v>
      </c>
      <c r="Y5227" t="s">
        <v>1074</v>
      </c>
      <c r="Z5227" t="s">
        <v>102</v>
      </c>
      <c r="AB5227" t="s">
        <v>86</v>
      </c>
      <c r="AC5227" t="s">
        <v>87</v>
      </c>
    </row>
    <row r="5228" spans="1:30" x14ac:dyDescent="0.35">
      <c r="A5228" s="7">
        <v>42943</v>
      </c>
      <c r="B5228" t="s">
        <v>30</v>
      </c>
      <c r="C5228">
        <v>112</v>
      </c>
      <c r="D5228">
        <v>6</v>
      </c>
      <c r="E5228">
        <v>1</v>
      </c>
      <c r="F5228" t="s">
        <v>315</v>
      </c>
      <c r="G5228" t="s">
        <v>32</v>
      </c>
      <c r="H5228" t="s">
        <v>33</v>
      </c>
      <c r="I5228" t="s">
        <v>1075</v>
      </c>
      <c r="AB5228" t="s">
        <v>86</v>
      </c>
      <c r="AC5228" t="s">
        <v>87</v>
      </c>
    </row>
    <row r="5229" spans="1:30" x14ac:dyDescent="0.35">
      <c r="A5229" s="7">
        <v>42943</v>
      </c>
      <c r="B5229" t="s">
        <v>30</v>
      </c>
      <c r="C5229">
        <v>112</v>
      </c>
      <c r="D5229">
        <v>6</v>
      </c>
      <c r="E5229">
        <v>2</v>
      </c>
      <c r="F5229" t="s">
        <v>315</v>
      </c>
      <c r="G5229" t="s">
        <v>32</v>
      </c>
      <c r="H5229" t="s">
        <v>33</v>
      </c>
      <c r="I5229" t="s">
        <v>94</v>
      </c>
      <c r="J5229" t="s">
        <v>139</v>
      </c>
      <c r="AB5229" t="s">
        <v>86</v>
      </c>
      <c r="AC5229" t="s">
        <v>87</v>
      </c>
      <c r="AD5229" t="s">
        <v>1076</v>
      </c>
    </row>
    <row r="5230" spans="1:30" x14ac:dyDescent="0.35">
      <c r="A5230" s="7">
        <v>42943</v>
      </c>
      <c r="B5230" t="s">
        <v>30</v>
      </c>
      <c r="C5230">
        <v>112</v>
      </c>
      <c r="D5230">
        <v>7</v>
      </c>
      <c r="E5230">
        <v>1</v>
      </c>
      <c r="F5230" t="s">
        <v>315</v>
      </c>
      <c r="G5230" t="s">
        <v>32</v>
      </c>
      <c r="H5230" t="s">
        <v>33</v>
      </c>
      <c r="I5230" t="s">
        <v>43</v>
      </c>
      <c r="J5230" t="s">
        <v>35</v>
      </c>
      <c r="K5230" t="s">
        <v>88</v>
      </c>
      <c r="L5230" t="s">
        <v>37</v>
      </c>
      <c r="M5230">
        <v>0</v>
      </c>
      <c r="N5230">
        <v>1</v>
      </c>
      <c r="O5230">
        <v>39471</v>
      </c>
      <c r="P5230">
        <v>39470</v>
      </c>
      <c r="Q5230">
        <f>27-13.5</f>
        <v>13.5</v>
      </c>
      <c r="R5230" t="s">
        <v>64</v>
      </c>
      <c r="AB5230" t="s">
        <v>86</v>
      </c>
      <c r="AC5230" t="s">
        <v>87</v>
      </c>
    </row>
    <row r="5231" spans="1:30" x14ac:dyDescent="0.35">
      <c r="A5231" s="7">
        <v>42943</v>
      </c>
      <c r="B5231" t="s">
        <v>30</v>
      </c>
      <c r="C5231">
        <v>112</v>
      </c>
      <c r="D5231">
        <v>8</v>
      </c>
      <c r="E5231">
        <v>1</v>
      </c>
      <c r="F5231" t="s">
        <v>315</v>
      </c>
      <c r="G5231" t="s">
        <v>32</v>
      </c>
      <c r="H5231" t="s">
        <v>33</v>
      </c>
      <c r="I5231" t="s">
        <v>43</v>
      </c>
      <c r="J5231" t="s">
        <v>35</v>
      </c>
      <c r="K5231" t="s">
        <v>113</v>
      </c>
      <c r="L5231" t="s">
        <v>37</v>
      </c>
      <c r="M5231">
        <v>0</v>
      </c>
      <c r="N5231">
        <v>1</v>
      </c>
      <c r="O5231">
        <v>39473</v>
      </c>
      <c r="P5231">
        <v>39472</v>
      </c>
      <c r="Q5231">
        <f>29.5-14</f>
        <v>15.5</v>
      </c>
      <c r="R5231" t="s">
        <v>38</v>
      </c>
      <c r="Y5231" t="s">
        <v>1077</v>
      </c>
      <c r="AB5231" t="s">
        <v>86</v>
      </c>
      <c r="AC5231" t="s">
        <v>87</v>
      </c>
    </row>
    <row r="5232" spans="1:30" x14ac:dyDescent="0.35">
      <c r="A5232" s="7">
        <v>42943</v>
      </c>
      <c r="B5232" t="s">
        <v>30</v>
      </c>
      <c r="C5232">
        <v>112</v>
      </c>
      <c r="D5232">
        <v>9</v>
      </c>
      <c r="E5232">
        <v>1</v>
      </c>
      <c r="F5232" t="s">
        <v>315</v>
      </c>
      <c r="G5232" t="s">
        <v>32</v>
      </c>
      <c r="H5232" t="s">
        <v>33</v>
      </c>
      <c r="I5232" t="s">
        <v>84</v>
      </c>
      <c r="AB5232" t="s">
        <v>86</v>
      </c>
      <c r="AC5232" t="s">
        <v>87</v>
      </c>
    </row>
    <row r="5233" spans="1:30" x14ac:dyDescent="0.35">
      <c r="A5233" s="7">
        <v>42943</v>
      </c>
      <c r="B5233" t="s">
        <v>30</v>
      </c>
      <c r="C5233">
        <v>112</v>
      </c>
      <c r="D5233">
        <v>9</v>
      </c>
      <c r="E5233">
        <v>2</v>
      </c>
      <c r="F5233" t="s">
        <v>315</v>
      </c>
      <c r="G5233" t="s">
        <v>32</v>
      </c>
      <c r="H5233" t="s">
        <v>33</v>
      </c>
      <c r="I5233" t="s">
        <v>84</v>
      </c>
      <c r="AB5233" t="s">
        <v>86</v>
      </c>
      <c r="AC5233" t="s">
        <v>87</v>
      </c>
    </row>
    <row r="5234" spans="1:30" x14ac:dyDescent="0.35">
      <c r="A5234" s="7">
        <v>42943</v>
      </c>
      <c r="B5234" t="s">
        <v>30</v>
      </c>
      <c r="C5234">
        <v>112</v>
      </c>
      <c r="D5234">
        <v>10</v>
      </c>
      <c r="E5234">
        <v>1</v>
      </c>
      <c r="F5234" t="s">
        <v>315</v>
      </c>
      <c r="G5234" t="s">
        <v>32</v>
      </c>
      <c r="H5234" t="s">
        <v>33</v>
      </c>
      <c r="I5234" t="s">
        <v>84</v>
      </c>
      <c r="AB5234" t="s">
        <v>86</v>
      </c>
      <c r="AC5234" t="s">
        <v>87</v>
      </c>
    </row>
    <row r="5235" spans="1:30" x14ac:dyDescent="0.35">
      <c r="A5235" s="7">
        <v>42943</v>
      </c>
      <c r="B5235" t="s">
        <v>30</v>
      </c>
      <c r="C5235">
        <v>112</v>
      </c>
      <c r="D5235">
        <v>10</v>
      </c>
      <c r="E5235">
        <v>2</v>
      </c>
      <c r="F5235" t="s">
        <v>315</v>
      </c>
      <c r="G5235" t="s">
        <v>32</v>
      </c>
      <c r="H5235" t="s">
        <v>33</v>
      </c>
      <c r="I5235" t="s">
        <v>59</v>
      </c>
      <c r="AB5235" t="s">
        <v>86</v>
      </c>
      <c r="AC5235" t="s">
        <v>87</v>
      </c>
    </row>
    <row r="5236" spans="1:30" x14ac:dyDescent="0.35">
      <c r="A5236" s="7">
        <v>42943</v>
      </c>
      <c r="B5236" t="s">
        <v>30</v>
      </c>
      <c r="C5236">
        <v>113</v>
      </c>
      <c r="D5236">
        <v>1</v>
      </c>
      <c r="E5236">
        <v>1</v>
      </c>
      <c r="F5236" t="s">
        <v>315</v>
      </c>
      <c r="G5236" t="s">
        <v>32</v>
      </c>
      <c r="H5236" t="s">
        <v>33</v>
      </c>
      <c r="I5236" t="s">
        <v>59</v>
      </c>
      <c r="AB5236" t="s">
        <v>86</v>
      </c>
      <c r="AC5236" t="s">
        <v>87</v>
      </c>
    </row>
    <row r="5237" spans="1:30" x14ac:dyDescent="0.35">
      <c r="A5237" s="7">
        <v>42943</v>
      </c>
      <c r="B5237" t="s">
        <v>30</v>
      </c>
      <c r="C5237">
        <v>113</v>
      </c>
      <c r="D5237">
        <v>5</v>
      </c>
      <c r="E5237">
        <v>1</v>
      </c>
      <c r="F5237" t="s">
        <v>315</v>
      </c>
      <c r="G5237" t="s">
        <v>32</v>
      </c>
      <c r="H5237" t="s">
        <v>33</v>
      </c>
      <c r="I5237" t="s">
        <v>59</v>
      </c>
      <c r="AB5237" t="s">
        <v>86</v>
      </c>
      <c r="AC5237" t="s">
        <v>87</v>
      </c>
    </row>
    <row r="5238" spans="1:30" x14ac:dyDescent="0.35">
      <c r="A5238" s="7">
        <v>42943</v>
      </c>
      <c r="B5238" t="s">
        <v>30</v>
      </c>
      <c r="C5238">
        <v>113</v>
      </c>
      <c r="D5238">
        <v>6</v>
      </c>
      <c r="E5238">
        <v>1</v>
      </c>
      <c r="F5238" t="s">
        <v>315</v>
      </c>
      <c r="G5238" t="s">
        <v>32</v>
      </c>
      <c r="H5238" t="s">
        <v>33</v>
      </c>
      <c r="I5238" t="s">
        <v>43</v>
      </c>
      <c r="J5238" t="s">
        <v>35</v>
      </c>
      <c r="K5238" t="s">
        <v>36</v>
      </c>
      <c r="L5238" t="s">
        <v>45</v>
      </c>
      <c r="M5238">
        <v>0</v>
      </c>
      <c r="N5238">
        <v>1</v>
      </c>
      <c r="O5238">
        <v>39461</v>
      </c>
      <c r="P5238">
        <v>39460</v>
      </c>
      <c r="Q5238">
        <f>32-13</f>
        <v>19</v>
      </c>
      <c r="R5238" t="s">
        <v>1035</v>
      </c>
      <c r="S5238" t="s">
        <v>102</v>
      </c>
      <c r="AB5238" t="s">
        <v>86</v>
      </c>
      <c r="AC5238" t="s">
        <v>87</v>
      </c>
    </row>
    <row r="5239" spans="1:30" x14ac:dyDescent="0.35">
      <c r="A5239" s="7">
        <v>42943</v>
      </c>
      <c r="B5239" t="s">
        <v>30</v>
      </c>
      <c r="C5239">
        <v>113</v>
      </c>
      <c r="D5239">
        <v>7</v>
      </c>
      <c r="E5239">
        <v>1</v>
      </c>
      <c r="F5239" t="s">
        <v>315</v>
      </c>
      <c r="G5239" t="s">
        <v>32</v>
      </c>
      <c r="H5239" t="s">
        <v>33</v>
      </c>
      <c r="I5239" t="s">
        <v>1029</v>
      </c>
      <c r="J5239" t="s">
        <v>66</v>
      </c>
      <c r="AB5239" t="s">
        <v>86</v>
      </c>
      <c r="AC5239" t="s">
        <v>87</v>
      </c>
    </row>
    <row r="5240" spans="1:30" x14ac:dyDescent="0.35">
      <c r="A5240" s="7">
        <v>42943</v>
      </c>
      <c r="B5240" t="s">
        <v>30</v>
      </c>
      <c r="C5240">
        <v>113</v>
      </c>
      <c r="D5240">
        <v>8</v>
      </c>
      <c r="E5240">
        <v>1</v>
      </c>
      <c r="F5240" t="s">
        <v>315</v>
      </c>
      <c r="G5240" t="s">
        <v>32</v>
      </c>
      <c r="H5240" t="s">
        <v>33</v>
      </c>
      <c r="I5240" t="s">
        <v>59</v>
      </c>
      <c r="AB5240" t="s">
        <v>86</v>
      </c>
      <c r="AC5240" t="s">
        <v>87</v>
      </c>
    </row>
    <row r="5241" spans="1:30" x14ac:dyDescent="0.35">
      <c r="A5241" s="7">
        <v>42943</v>
      </c>
      <c r="B5241" t="s">
        <v>30</v>
      </c>
      <c r="C5241">
        <v>201</v>
      </c>
      <c r="D5241">
        <v>1</v>
      </c>
      <c r="E5241">
        <v>1</v>
      </c>
      <c r="F5241" t="s">
        <v>1020</v>
      </c>
      <c r="G5241" t="s">
        <v>32</v>
      </c>
      <c r="H5241" t="s">
        <v>33</v>
      </c>
      <c r="I5241" t="s">
        <v>59</v>
      </c>
      <c r="AB5241" t="s">
        <v>86</v>
      </c>
      <c r="AC5241" t="s">
        <v>87</v>
      </c>
    </row>
    <row r="5242" spans="1:30" x14ac:dyDescent="0.35">
      <c r="A5242" s="7">
        <v>42943</v>
      </c>
      <c r="B5242" t="s">
        <v>30</v>
      </c>
      <c r="C5242">
        <v>201</v>
      </c>
      <c r="D5242">
        <v>1</v>
      </c>
      <c r="E5242">
        <v>2</v>
      </c>
      <c r="F5242" t="s">
        <v>1020</v>
      </c>
      <c r="G5242" t="s">
        <v>32</v>
      </c>
      <c r="H5242" t="s">
        <v>33</v>
      </c>
      <c r="I5242" t="s">
        <v>59</v>
      </c>
      <c r="AB5242" t="s">
        <v>86</v>
      </c>
      <c r="AC5242" t="s">
        <v>87</v>
      </c>
    </row>
    <row r="5243" spans="1:30" x14ac:dyDescent="0.35">
      <c r="A5243" s="7">
        <v>42943</v>
      </c>
      <c r="B5243" t="s">
        <v>30</v>
      </c>
      <c r="C5243">
        <v>201</v>
      </c>
      <c r="D5243">
        <v>2</v>
      </c>
      <c r="E5243">
        <v>1</v>
      </c>
      <c r="F5243" t="s">
        <v>1020</v>
      </c>
      <c r="G5243" t="s">
        <v>32</v>
      </c>
      <c r="H5243" t="s">
        <v>33</v>
      </c>
      <c r="I5243" t="s">
        <v>43</v>
      </c>
      <c r="J5243" t="s">
        <v>139</v>
      </c>
      <c r="AB5243" t="s">
        <v>86</v>
      </c>
      <c r="AC5243" t="s">
        <v>87</v>
      </c>
      <c r="AD5243" t="s">
        <v>1069</v>
      </c>
    </row>
    <row r="5244" spans="1:30" x14ac:dyDescent="0.35">
      <c r="A5244" s="7">
        <v>42943</v>
      </c>
      <c r="B5244" t="s">
        <v>30</v>
      </c>
      <c r="C5244">
        <v>201</v>
      </c>
      <c r="D5244">
        <v>2</v>
      </c>
      <c r="E5244">
        <v>2</v>
      </c>
      <c r="F5244" t="s">
        <v>1020</v>
      </c>
      <c r="G5244" t="s">
        <v>32</v>
      </c>
      <c r="H5244" t="s">
        <v>33</v>
      </c>
      <c r="I5244" t="s">
        <v>59</v>
      </c>
      <c r="AB5244" t="s">
        <v>86</v>
      </c>
      <c r="AC5244" t="s">
        <v>87</v>
      </c>
    </row>
    <row r="5245" spans="1:30" x14ac:dyDescent="0.35">
      <c r="A5245" s="7">
        <v>42943</v>
      </c>
      <c r="B5245" t="s">
        <v>30</v>
      </c>
      <c r="C5245">
        <v>201</v>
      </c>
      <c r="D5245">
        <v>5</v>
      </c>
      <c r="E5245">
        <v>1</v>
      </c>
      <c r="F5245" t="s">
        <v>1020</v>
      </c>
      <c r="G5245" t="s">
        <v>32</v>
      </c>
      <c r="H5245" t="s">
        <v>33</v>
      </c>
      <c r="I5245" t="s">
        <v>59</v>
      </c>
      <c r="AB5245" t="s">
        <v>86</v>
      </c>
      <c r="AC5245" t="s">
        <v>87</v>
      </c>
    </row>
    <row r="5246" spans="1:30" x14ac:dyDescent="0.35">
      <c r="A5246" s="7">
        <v>42943</v>
      </c>
      <c r="B5246" t="s">
        <v>30</v>
      </c>
      <c r="C5246">
        <v>201</v>
      </c>
      <c r="D5246">
        <v>5</v>
      </c>
      <c r="E5246">
        <v>2</v>
      </c>
      <c r="F5246" t="s">
        <v>1020</v>
      </c>
      <c r="G5246" t="s">
        <v>32</v>
      </c>
      <c r="H5246" t="s">
        <v>33</v>
      </c>
      <c r="I5246" t="s">
        <v>59</v>
      </c>
      <c r="AB5246" t="s">
        <v>86</v>
      </c>
      <c r="AC5246" t="s">
        <v>87</v>
      </c>
    </row>
    <row r="5247" spans="1:30" x14ac:dyDescent="0.35">
      <c r="A5247" s="7">
        <v>42943</v>
      </c>
      <c r="B5247" t="s">
        <v>30</v>
      </c>
      <c r="C5247">
        <v>201</v>
      </c>
      <c r="D5247">
        <v>8</v>
      </c>
      <c r="E5247">
        <v>1</v>
      </c>
      <c r="F5247" t="s">
        <v>1020</v>
      </c>
      <c r="G5247" t="s">
        <v>32</v>
      </c>
      <c r="H5247" t="s">
        <v>33</v>
      </c>
      <c r="I5247" t="s">
        <v>59</v>
      </c>
      <c r="AB5247" t="s">
        <v>86</v>
      </c>
      <c r="AC5247" t="s">
        <v>87</v>
      </c>
    </row>
    <row r="5248" spans="1:30" x14ac:dyDescent="0.35">
      <c r="A5248" s="7">
        <v>42943</v>
      </c>
      <c r="B5248" t="s">
        <v>30</v>
      </c>
      <c r="C5248">
        <v>201</v>
      </c>
      <c r="D5248">
        <v>10</v>
      </c>
      <c r="E5248">
        <v>1</v>
      </c>
      <c r="F5248" t="s">
        <v>1020</v>
      </c>
      <c r="G5248" t="s">
        <v>32</v>
      </c>
      <c r="H5248" t="s">
        <v>33</v>
      </c>
      <c r="I5248" t="s">
        <v>59</v>
      </c>
      <c r="AB5248" t="s">
        <v>86</v>
      </c>
      <c r="AC5248" t="s">
        <v>87</v>
      </c>
    </row>
    <row r="5249" spans="1:30" x14ac:dyDescent="0.35">
      <c r="A5249" s="7">
        <v>42943</v>
      </c>
      <c r="B5249" t="s">
        <v>30</v>
      </c>
      <c r="C5249">
        <v>201</v>
      </c>
      <c r="D5249">
        <v>10</v>
      </c>
      <c r="E5249">
        <v>2</v>
      </c>
      <c r="F5249" t="s">
        <v>1020</v>
      </c>
      <c r="G5249" t="s">
        <v>32</v>
      </c>
      <c r="H5249" t="s">
        <v>33</v>
      </c>
      <c r="I5249" t="s">
        <v>43</v>
      </c>
      <c r="J5249" t="s">
        <v>139</v>
      </c>
      <c r="AB5249" t="s">
        <v>86</v>
      </c>
      <c r="AC5249" t="s">
        <v>87</v>
      </c>
      <c r="AD5249" t="s">
        <v>1069</v>
      </c>
    </row>
    <row r="5250" spans="1:30" x14ac:dyDescent="0.35">
      <c r="A5250" s="7">
        <v>42943</v>
      </c>
      <c r="B5250" t="s">
        <v>30</v>
      </c>
      <c r="C5250">
        <v>202</v>
      </c>
      <c r="D5250">
        <v>1</v>
      </c>
      <c r="E5250">
        <v>1</v>
      </c>
      <c r="F5250" t="s">
        <v>1020</v>
      </c>
      <c r="G5250" t="s">
        <v>32</v>
      </c>
      <c r="H5250" t="s">
        <v>33</v>
      </c>
      <c r="I5250" t="s">
        <v>59</v>
      </c>
      <c r="AB5250" t="s">
        <v>86</v>
      </c>
      <c r="AC5250" t="s">
        <v>87</v>
      </c>
    </row>
    <row r="5251" spans="1:30" x14ac:dyDescent="0.35">
      <c r="A5251" s="7">
        <v>42943</v>
      </c>
      <c r="B5251" t="s">
        <v>30</v>
      </c>
      <c r="C5251">
        <v>202</v>
      </c>
      <c r="D5251">
        <v>2</v>
      </c>
      <c r="E5251">
        <v>1</v>
      </c>
      <c r="F5251" t="s">
        <v>1020</v>
      </c>
      <c r="G5251" t="s">
        <v>32</v>
      </c>
      <c r="H5251" t="s">
        <v>33</v>
      </c>
      <c r="I5251" t="s">
        <v>84</v>
      </c>
      <c r="AB5251" t="s">
        <v>86</v>
      </c>
      <c r="AC5251" t="s">
        <v>87</v>
      </c>
    </row>
    <row r="5252" spans="1:30" x14ac:dyDescent="0.35">
      <c r="A5252" s="7">
        <v>42943</v>
      </c>
      <c r="B5252" t="s">
        <v>30</v>
      </c>
      <c r="C5252">
        <v>202</v>
      </c>
      <c r="D5252">
        <v>3</v>
      </c>
      <c r="E5252">
        <v>1</v>
      </c>
      <c r="F5252" t="s">
        <v>1020</v>
      </c>
      <c r="G5252" t="s">
        <v>32</v>
      </c>
      <c r="H5252" t="s">
        <v>33</v>
      </c>
      <c r="I5252" t="s">
        <v>59</v>
      </c>
      <c r="AB5252" t="s">
        <v>86</v>
      </c>
      <c r="AC5252" t="s">
        <v>87</v>
      </c>
    </row>
    <row r="5253" spans="1:30" x14ac:dyDescent="0.35">
      <c r="A5253" s="7">
        <v>42943</v>
      </c>
      <c r="B5253" t="s">
        <v>30</v>
      </c>
      <c r="C5253">
        <v>202</v>
      </c>
      <c r="D5253">
        <v>5</v>
      </c>
      <c r="E5253">
        <v>1</v>
      </c>
      <c r="F5253" t="s">
        <v>1020</v>
      </c>
      <c r="G5253" t="s">
        <v>32</v>
      </c>
      <c r="H5253" t="s">
        <v>33</v>
      </c>
      <c r="I5253" t="s">
        <v>59</v>
      </c>
      <c r="AB5253" t="s">
        <v>86</v>
      </c>
      <c r="AC5253" t="s">
        <v>87</v>
      </c>
    </row>
    <row r="5254" spans="1:30" x14ac:dyDescent="0.35">
      <c r="A5254" s="7">
        <v>42943</v>
      </c>
      <c r="B5254" t="s">
        <v>30</v>
      </c>
      <c r="C5254">
        <v>202</v>
      </c>
      <c r="D5254">
        <v>6</v>
      </c>
      <c r="E5254">
        <v>1</v>
      </c>
      <c r="F5254" t="s">
        <v>1020</v>
      </c>
      <c r="G5254" t="s">
        <v>32</v>
      </c>
      <c r="H5254" t="s">
        <v>33</v>
      </c>
      <c r="I5254" t="s">
        <v>59</v>
      </c>
      <c r="AB5254" t="s">
        <v>86</v>
      </c>
      <c r="AC5254" t="s">
        <v>87</v>
      </c>
    </row>
    <row r="5255" spans="1:30" x14ac:dyDescent="0.35">
      <c r="A5255" s="7">
        <v>42943</v>
      </c>
      <c r="B5255" t="s">
        <v>30</v>
      </c>
      <c r="C5255">
        <v>202</v>
      </c>
      <c r="D5255">
        <v>6</v>
      </c>
      <c r="E5255">
        <v>2</v>
      </c>
      <c r="F5255" t="s">
        <v>1020</v>
      </c>
      <c r="G5255" t="s">
        <v>32</v>
      </c>
      <c r="H5255" t="s">
        <v>33</v>
      </c>
      <c r="I5255" t="s">
        <v>59</v>
      </c>
      <c r="AB5255" t="s">
        <v>86</v>
      </c>
      <c r="AC5255" t="s">
        <v>87</v>
      </c>
    </row>
    <row r="5256" spans="1:30" x14ac:dyDescent="0.35">
      <c r="A5256" s="7">
        <v>42943</v>
      </c>
      <c r="B5256" t="s">
        <v>30</v>
      </c>
      <c r="C5256">
        <v>203</v>
      </c>
      <c r="D5256">
        <v>8</v>
      </c>
      <c r="E5256">
        <v>1</v>
      </c>
      <c r="F5256" t="s">
        <v>1020</v>
      </c>
      <c r="G5256" t="s">
        <v>32</v>
      </c>
      <c r="H5256" t="s">
        <v>33</v>
      </c>
      <c r="I5256" t="s">
        <v>59</v>
      </c>
      <c r="AB5256" t="s">
        <v>86</v>
      </c>
      <c r="AC5256" t="s">
        <v>87</v>
      </c>
    </row>
    <row r="5257" spans="1:30" x14ac:dyDescent="0.35">
      <c r="A5257" s="7">
        <v>42943</v>
      </c>
      <c r="B5257" t="s">
        <v>30</v>
      </c>
      <c r="C5257">
        <v>304</v>
      </c>
      <c r="D5257">
        <v>1</v>
      </c>
      <c r="E5257">
        <v>1</v>
      </c>
      <c r="F5257" t="s">
        <v>1020</v>
      </c>
      <c r="G5257" t="s">
        <v>32</v>
      </c>
      <c r="H5257" t="s">
        <v>33</v>
      </c>
      <c r="I5257" t="s">
        <v>59</v>
      </c>
      <c r="AB5257" t="s">
        <v>86</v>
      </c>
      <c r="AC5257" t="s">
        <v>87</v>
      </c>
    </row>
    <row r="5258" spans="1:30" x14ac:dyDescent="0.35">
      <c r="A5258" s="7">
        <v>42943</v>
      </c>
      <c r="B5258" t="s">
        <v>30</v>
      </c>
      <c r="C5258">
        <v>304</v>
      </c>
      <c r="D5258">
        <v>1</v>
      </c>
      <c r="E5258">
        <v>2</v>
      </c>
      <c r="F5258" t="s">
        <v>1020</v>
      </c>
      <c r="G5258" t="s">
        <v>32</v>
      </c>
      <c r="H5258" t="s">
        <v>33</v>
      </c>
      <c r="I5258" t="s">
        <v>59</v>
      </c>
      <c r="AB5258" t="s">
        <v>86</v>
      </c>
      <c r="AC5258" t="s">
        <v>87</v>
      </c>
    </row>
    <row r="5259" spans="1:30" x14ac:dyDescent="0.35">
      <c r="A5259" s="7">
        <v>42943</v>
      </c>
      <c r="B5259" t="s">
        <v>30</v>
      </c>
      <c r="C5259">
        <v>304</v>
      </c>
      <c r="D5259">
        <v>2</v>
      </c>
      <c r="E5259">
        <v>1</v>
      </c>
      <c r="F5259" t="s">
        <v>1020</v>
      </c>
      <c r="G5259" t="s">
        <v>32</v>
      </c>
      <c r="H5259" t="s">
        <v>33</v>
      </c>
      <c r="I5259" t="s">
        <v>59</v>
      </c>
      <c r="AB5259" t="s">
        <v>86</v>
      </c>
      <c r="AC5259" t="s">
        <v>87</v>
      </c>
    </row>
    <row r="5260" spans="1:30" x14ac:dyDescent="0.35">
      <c r="A5260" s="7">
        <v>42943</v>
      </c>
      <c r="B5260" t="s">
        <v>30</v>
      </c>
      <c r="C5260">
        <v>304</v>
      </c>
      <c r="D5260">
        <v>3</v>
      </c>
      <c r="E5260">
        <v>1</v>
      </c>
      <c r="F5260" t="s">
        <v>1020</v>
      </c>
      <c r="G5260" t="s">
        <v>32</v>
      </c>
      <c r="H5260" t="s">
        <v>33</v>
      </c>
      <c r="I5260" t="s">
        <v>59</v>
      </c>
      <c r="AB5260" t="s">
        <v>86</v>
      </c>
      <c r="AC5260" t="s">
        <v>87</v>
      </c>
    </row>
    <row r="5261" spans="1:30" x14ac:dyDescent="0.35">
      <c r="A5261" s="7">
        <v>42943</v>
      </c>
      <c r="B5261" t="s">
        <v>30</v>
      </c>
      <c r="C5261">
        <v>304</v>
      </c>
      <c r="D5261">
        <v>3</v>
      </c>
      <c r="E5261">
        <v>2</v>
      </c>
      <c r="F5261" t="s">
        <v>1020</v>
      </c>
      <c r="G5261" t="s">
        <v>32</v>
      </c>
      <c r="H5261" t="s">
        <v>33</v>
      </c>
      <c r="I5261" t="s">
        <v>59</v>
      </c>
      <c r="AB5261" t="s">
        <v>86</v>
      </c>
      <c r="AC5261" t="s">
        <v>87</v>
      </c>
    </row>
    <row r="5262" spans="1:30" x14ac:dyDescent="0.35">
      <c r="A5262" s="7">
        <v>42943</v>
      </c>
      <c r="B5262" t="s">
        <v>30</v>
      </c>
      <c r="C5262">
        <v>304</v>
      </c>
      <c r="D5262">
        <v>6</v>
      </c>
      <c r="E5262">
        <v>1</v>
      </c>
      <c r="F5262" t="s">
        <v>1020</v>
      </c>
      <c r="G5262" t="s">
        <v>32</v>
      </c>
      <c r="H5262" t="s">
        <v>33</v>
      </c>
      <c r="I5262" t="s">
        <v>59</v>
      </c>
      <c r="AB5262" t="s">
        <v>86</v>
      </c>
      <c r="AC5262" t="s">
        <v>87</v>
      </c>
    </row>
    <row r="5263" spans="1:30" x14ac:dyDescent="0.35">
      <c r="A5263" s="7">
        <v>42943</v>
      </c>
      <c r="B5263" t="s">
        <v>30</v>
      </c>
      <c r="C5263">
        <v>304</v>
      </c>
      <c r="D5263">
        <v>8</v>
      </c>
      <c r="E5263">
        <v>1</v>
      </c>
      <c r="F5263" t="s">
        <v>1020</v>
      </c>
      <c r="G5263" t="s">
        <v>32</v>
      </c>
      <c r="H5263" t="s">
        <v>33</v>
      </c>
      <c r="I5263" t="s">
        <v>59</v>
      </c>
      <c r="AB5263" t="s">
        <v>86</v>
      </c>
      <c r="AC5263" t="s">
        <v>87</v>
      </c>
    </row>
    <row r="5264" spans="1:30" x14ac:dyDescent="0.35">
      <c r="A5264" s="7">
        <v>42943</v>
      </c>
      <c r="B5264" t="s">
        <v>30</v>
      </c>
      <c r="C5264">
        <v>304</v>
      </c>
      <c r="D5264">
        <v>8</v>
      </c>
      <c r="E5264">
        <v>2</v>
      </c>
      <c r="F5264" t="s">
        <v>1020</v>
      </c>
      <c r="G5264" t="s">
        <v>32</v>
      </c>
      <c r="H5264" t="s">
        <v>33</v>
      </c>
      <c r="I5264" t="s">
        <v>59</v>
      </c>
      <c r="AB5264" t="s">
        <v>86</v>
      </c>
      <c r="AC5264" t="s">
        <v>87</v>
      </c>
    </row>
    <row r="5265" spans="1:29" x14ac:dyDescent="0.35">
      <c r="A5265" s="7">
        <v>42943</v>
      </c>
      <c r="B5265" t="s">
        <v>30</v>
      </c>
      <c r="C5265">
        <v>304</v>
      </c>
      <c r="D5265">
        <v>9</v>
      </c>
      <c r="E5265">
        <v>1</v>
      </c>
      <c r="F5265" t="s">
        <v>1020</v>
      </c>
      <c r="G5265" t="s">
        <v>32</v>
      </c>
      <c r="H5265" t="s">
        <v>33</v>
      </c>
      <c r="I5265" t="s">
        <v>1029</v>
      </c>
      <c r="J5265" t="s">
        <v>56</v>
      </c>
      <c r="AB5265" t="s">
        <v>86</v>
      </c>
      <c r="AC5265" t="s">
        <v>87</v>
      </c>
    </row>
    <row r="5266" spans="1:29" x14ac:dyDescent="0.35">
      <c r="A5266" s="7">
        <v>42943</v>
      </c>
      <c r="B5266" t="s">
        <v>30</v>
      </c>
      <c r="C5266">
        <v>402</v>
      </c>
      <c r="D5266">
        <v>1</v>
      </c>
      <c r="E5266">
        <v>1</v>
      </c>
      <c r="F5266" t="s">
        <v>315</v>
      </c>
      <c r="G5266" t="s">
        <v>32</v>
      </c>
      <c r="H5266" t="s">
        <v>33</v>
      </c>
      <c r="I5266" t="s">
        <v>58</v>
      </c>
      <c r="J5266" t="s">
        <v>44</v>
      </c>
      <c r="K5266" t="s">
        <v>36</v>
      </c>
      <c r="M5266">
        <v>0</v>
      </c>
      <c r="N5266">
        <v>0</v>
      </c>
      <c r="O5266">
        <v>15127</v>
      </c>
      <c r="Q5266">
        <f>37-13</f>
        <v>24</v>
      </c>
      <c r="Z5266" t="s">
        <v>102</v>
      </c>
      <c r="AB5266" t="s">
        <v>86</v>
      </c>
      <c r="AC5266" t="s">
        <v>87</v>
      </c>
    </row>
    <row r="5267" spans="1:29" x14ac:dyDescent="0.35">
      <c r="A5267" s="7">
        <v>42943</v>
      </c>
      <c r="B5267" t="s">
        <v>30</v>
      </c>
      <c r="C5267">
        <v>402</v>
      </c>
      <c r="D5267">
        <v>1</v>
      </c>
      <c r="E5267">
        <v>2</v>
      </c>
      <c r="F5267" t="s">
        <v>315</v>
      </c>
      <c r="G5267" t="s">
        <v>32</v>
      </c>
      <c r="H5267" t="s">
        <v>33</v>
      </c>
      <c r="I5267" t="s">
        <v>59</v>
      </c>
      <c r="AB5267" t="s">
        <v>86</v>
      </c>
      <c r="AC5267" t="s">
        <v>87</v>
      </c>
    </row>
    <row r="5268" spans="1:29" x14ac:dyDescent="0.35">
      <c r="A5268" s="7">
        <v>42943</v>
      </c>
      <c r="B5268" t="s">
        <v>30</v>
      </c>
      <c r="C5268">
        <v>402</v>
      </c>
      <c r="D5268">
        <v>2</v>
      </c>
      <c r="E5268">
        <v>1</v>
      </c>
      <c r="F5268" t="s">
        <v>315</v>
      </c>
      <c r="G5268" t="s">
        <v>32</v>
      </c>
      <c r="H5268" t="s">
        <v>33</v>
      </c>
      <c r="I5268" t="s">
        <v>59</v>
      </c>
      <c r="AB5268" t="s">
        <v>86</v>
      </c>
      <c r="AC5268" t="s">
        <v>87</v>
      </c>
    </row>
    <row r="5269" spans="1:29" x14ac:dyDescent="0.35">
      <c r="A5269" s="7">
        <v>42943</v>
      </c>
      <c r="B5269" t="s">
        <v>30</v>
      </c>
      <c r="C5269">
        <v>402</v>
      </c>
      <c r="D5269">
        <v>2</v>
      </c>
      <c r="E5269">
        <v>2</v>
      </c>
      <c r="F5269" t="s">
        <v>315</v>
      </c>
      <c r="G5269" t="s">
        <v>32</v>
      </c>
      <c r="H5269" t="s">
        <v>33</v>
      </c>
      <c r="I5269" t="s">
        <v>43</v>
      </c>
      <c r="J5269" t="s">
        <v>44</v>
      </c>
      <c r="K5269" t="s">
        <v>36</v>
      </c>
      <c r="L5269" t="s">
        <v>37</v>
      </c>
      <c r="M5269">
        <v>0</v>
      </c>
      <c r="N5269">
        <v>0</v>
      </c>
      <c r="O5269">
        <v>39456</v>
      </c>
      <c r="P5269">
        <v>39455</v>
      </c>
      <c r="Q5269">
        <f>40.5-16</f>
        <v>24.5</v>
      </c>
      <c r="R5269" t="s">
        <v>38</v>
      </c>
      <c r="Z5269" t="s">
        <v>102</v>
      </c>
      <c r="AB5269" t="s">
        <v>86</v>
      </c>
      <c r="AC5269" t="s">
        <v>87</v>
      </c>
    </row>
    <row r="5270" spans="1:29" x14ac:dyDescent="0.35">
      <c r="A5270" s="7">
        <v>42943</v>
      </c>
      <c r="B5270" t="s">
        <v>30</v>
      </c>
      <c r="C5270">
        <v>402</v>
      </c>
      <c r="D5270">
        <v>3</v>
      </c>
      <c r="E5270">
        <v>1</v>
      </c>
      <c r="F5270" t="s">
        <v>315</v>
      </c>
      <c r="G5270" t="s">
        <v>32</v>
      </c>
      <c r="H5270" t="s">
        <v>33</v>
      </c>
      <c r="I5270" t="s">
        <v>59</v>
      </c>
      <c r="AB5270" t="s">
        <v>86</v>
      </c>
      <c r="AC5270" t="s">
        <v>87</v>
      </c>
    </row>
    <row r="5271" spans="1:29" x14ac:dyDescent="0.35">
      <c r="A5271" s="7">
        <v>42943</v>
      </c>
      <c r="B5271" t="s">
        <v>30</v>
      </c>
      <c r="C5271">
        <v>402</v>
      </c>
      <c r="D5271">
        <v>3</v>
      </c>
      <c r="E5271">
        <v>2</v>
      </c>
      <c r="F5271" t="s">
        <v>315</v>
      </c>
      <c r="G5271" t="s">
        <v>32</v>
      </c>
      <c r="H5271" t="s">
        <v>33</v>
      </c>
      <c r="I5271" t="s">
        <v>59</v>
      </c>
      <c r="AB5271" t="s">
        <v>86</v>
      </c>
      <c r="AC5271" t="s">
        <v>87</v>
      </c>
    </row>
    <row r="5272" spans="1:29" x14ac:dyDescent="0.35">
      <c r="A5272" s="7">
        <v>42943</v>
      </c>
      <c r="B5272" t="s">
        <v>30</v>
      </c>
      <c r="C5272">
        <v>402</v>
      </c>
      <c r="D5272">
        <v>4</v>
      </c>
      <c r="E5272">
        <v>1</v>
      </c>
      <c r="F5272" t="s">
        <v>315</v>
      </c>
      <c r="G5272" t="s">
        <v>32</v>
      </c>
      <c r="H5272" t="s">
        <v>33</v>
      </c>
      <c r="I5272" t="s">
        <v>59</v>
      </c>
      <c r="AB5272" t="s">
        <v>86</v>
      </c>
      <c r="AC5272" t="s">
        <v>87</v>
      </c>
    </row>
    <row r="5273" spans="1:29" x14ac:dyDescent="0.35">
      <c r="A5273" s="7">
        <v>42943</v>
      </c>
      <c r="B5273" t="s">
        <v>30</v>
      </c>
      <c r="C5273">
        <v>402</v>
      </c>
      <c r="D5273">
        <v>4</v>
      </c>
      <c r="E5273">
        <v>2</v>
      </c>
      <c r="F5273" t="s">
        <v>315</v>
      </c>
      <c r="G5273" t="s">
        <v>32</v>
      </c>
      <c r="H5273" t="s">
        <v>33</v>
      </c>
      <c r="I5273" t="s">
        <v>59</v>
      </c>
      <c r="AB5273" t="s">
        <v>86</v>
      </c>
      <c r="AC5273" t="s">
        <v>87</v>
      </c>
    </row>
    <row r="5274" spans="1:29" x14ac:dyDescent="0.35">
      <c r="A5274" s="7">
        <v>42943</v>
      </c>
      <c r="B5274" t="s">
        <v>30</v>
      </c>
      <c r="C5274">
        <v>402</v>
      </c>
      <c r="D5274">
        <v>5</v>
      </c>
      <c r="E5274">
        <v>1</v>
      </c>
      <c r="F5274" t="s">
        <v>315</v>
      </c>
      <c r="G5274" t="s">
        <v>32</v>
      </c>
      <c r="H5274" t="s">
        <v>33</v>
      </c>
      <c r="I5274" t="s">
        <v>59</v>
      </c>
      <c r="AB5274" t="s">
        <v>86</v>
      </c>
      <c r="AC5274" t="s">
        <v>87</v>
      </c>
    </row>
    <row r="5275" spans="1:29" x14ac:dyDescent="0.35">
      <c r="A5275" s="7">
        <v>42943</v>
      </c>
      <c r="B5275" t="s">
        <v>30</v>
      </c>
      <c r="C5275">
        <v>402</v>
      </c>
      <c r="D5275">
        <v>5</v>
      </c>
      <c r="E5275">
        <v>2</v>
      </c>
      <c r="F5275" t="s">
        <v>315</v>
      </c>
      <c r="G5275" t="s">
        <v>32</v>
      </c>
      <c r="H5275" t="s">
        <v>33</v>
      </c>
      <c r="I5275" t="s">
        <v>58</v>
      </c>
      <c r="J5275" t="s">
        <v>44</v>
      </c>
      <c r="K5275" t="s">
        <v>36</v>
      </c>
      <c r="L5275" t="s">
        <v>37</v>
      </c>
      <c r="M5275">
        <v>0</v>
      </c>
      <c r="N5275">
        <v>0</v>
      </c>
      <c r="P5275">
        <v>39452</v>
      </c>
      <c r="Q5275">
        <f>41-15</f>
        <v>26</v>
      </c>
      <c r="R5275" t="s">
        <v>38</v>
      </c>
      <c r="Z5275" t="s">
        <v>102</v>
      </c>
      <c r="AB5275" t="s">
        <v>86</v>
      </c>
      <c r="AC5275" t="s">
        <v>87</v>
      </c>
    </row>
    <row r="5276" spans="1:29" x14ac:dyDescent="0.35">
      <c r="A5276" s="7">
        <v>42943</v>
      </c>
      <c r="B5276" t="s">
        <v>30</v>
      </c>
      <c r="C5276">
        <v>402</v>
      </c>
      <c r="D5276">
        <v>6</v>
      </c>
      <c r="E5276">
        <v>1</v>
      </c>
      <c r="F5276" t="s">
        <v>315</v>
      </c>
      <c r="G5276" t="s">
        <v>32</v>
      </c>
      <c r="H5276" t="s">
        <v>33</v>
      </c>
      <c r="I5276" t="s">
        <v>43</v>
      </c>
      <c r="J5276" t="s">
        <v>44</v>
      </c>
      <c r="K5276" t="s">
        <v>36</v>
      </c>
      <c r="L5276" t="s">
        <v>37</v>
      </c>
      <c r="M5276">
        <v>0</v>
      </c>
      <c r="N5276">
        <v>0</v>
      </c>
      <c r="O5276">
        <v>38912</v>
      </c>
      <c r="P5276">
        <v>38913</v>
      </c>
      <c r="Q5276">
        <f>38-21</f>
        <v>17</v>
      </c>
      <c r="R5276" t="s">
        <v>38</v>
      </c>
      <c r="Z5276" t="s">
        <v>102</v>
      </c>
      <c r="AB5276" t="s">
        <v>86</v>
      </c>
      <c r="AC5276" t="s">
        <v>87</v>
      </c>
    </row>
    <row r="5277" spans="1:29" x14ac:dyDescent="0.35">
      <c r="A5277" s="7">
        <v>42943</v>
      </c>
      <c r="B5277" t="s">
        <v>30</v>
      </c>
      <c r="C5277">
        <v>402</v>
      </c>
      <c r="D5277">
        <v>6</v>
      </c>
      <c r="E5277">
        <v>2</v>
      </c>
      <c r="F5277" t="s">
        <v>315</v>
      </c>
      <c r="G5277" t="s">
        <v>32</v>
      </c>
      <c r="H5277" t="s">
        <v>33</v>
      </c>
      <c r="I5277" t="s">
        <v>59</v>
      </c>
      <c r="AB5277" t="s">
        <v>86</v>
      </c>
      <c r="AC5277" t="s">
        <v>87</v>
      </c>
    </row>
    <row r="5278" spans="1:29" x14ac:dyDescent="0.35">
      <c r="A5278" s="7">
        <v>42943</v>
      </c>
      <c r="B5278" t="s">
        <v>30</v>
      </c>
      <c r="C5278">
        <v>402</v>
      </c>
      <c r="D5278">
        <v>7</v>
      </c>
      <c r="E5278">
        <v>1</v>
      </c>
      <c r="F5278" t="s">
        <v>315</v>
      </c>
      <c r="G5278" t="s">
        <v>32</v>
      </c>
      <c r="H5278" t="s">
        <v>33</v>
      </c>
      <c r="I5278" t="s">
        <v>59</v>
      </c>
      <c r="AB5278" t="s">
        <v>86</v>
      </c>
      <c r="AC5278" t="s">
        <v>87</v>
      </c>
    </row>
    <row r="5279" spans="1:29" x14ac:dyDescent="0.35">
      <c r="A5279" s="7">
        <v>42943</v>
      </c>
      <c r="B5279" t="s">
        <v>30</v>
      </c>
      <c r="C5279">
        <v>402</v>
      </c>
      <c r="D5279">
        <v>7</v>
      </c>
      <c r="E5279">
        <v>2</v>
      </c>
      <c r="F5279" t="s">
        <v>315</v>
      </c>
      <c r="G5279" t="s">
        <v>32</v>
      </c>
      <c r="H5279" t="s">
        <v>33</v>
      </c>
      <c r="I5279" t="s">
        <v>43</v>
      </c>
      <c r="J5279" t="s">
        <v>44</v>
      </c>
      <c r="K5279" t="s">
        <v>36</v>
      </c>
      <c r="L5279" t="s">
        <v>45</v>
      </c>
      <c r="M5279">
        <v>0</v>
      </c>
      <c r="N5279">
        <v>0</v>
      </c>
      <c r="O5279">
        <v>39454</v>
      </c>
      <c r="P5279">
        <v>39453</v>
      </c>
      <c r="Q5279">
        <f>40-15</f>
        <v>25</v>
      </c>
      <c r="R5279" t="s">
        <v>1078</v>
      </c>
      <c r="S5279" t="s">
        <v>39</v>
      </c>
      <c r="Z5279" t="s">
        <v>102</v>
      </c>
      <c r="AB5279" t="s">
        <v>86</v>
      </c>
      <c r="AC5279" t="s">
        <v>87</v>
      </c>
    </row>
    <row r="5280" spans="1:29" x14ac:dyDescent="0.35">
      <c r="A5280" s="7">
        <v>42943</v>
      </c>
      <c r="B5280" t="s">
        <v>30</v>
      </c>
      <c r="C5280">
        <v>402</v>
      </c>
      <c r="D5280">
        <v>8</v>
      </c>
      <c r="E5280">
        <v>1</v>
      </c>
      <c r="F5280" t="s">
        <v>315</v>
      </c>
      <c r="G5280" t="s">
        <v>32</v>
      </c>
      <c r="H5280" t="s">
        <v>33</v>
      </c>
      <c r="I5280" t="s">
        <v>59</v>
      </c>
      <c r="AB5280" t="s">
        <v>86</v>
      </c>
      <c r="AC5280" t="s">
        <v>87</v>
      </c>
    </row>
    <row r="5281" spans="1:29" x14ac:dyDescent="0.35">
      <c r="A5281" s="7">
        <v>42943</v>
      </c>
      <c r="B5281" t="s">
        <v>30</v>
      </c>
      <c r="C5281">
        <v>402</v>
      </c>
      <c r="D5281">
        <v>8</v>
      </c>
      <c r="E5281">
        <v>2</v>
      </c>
      <c r="F5281" t="s">
        <v>315</v>
      </c>
      <c r="G5281" t="s">
        <v>32</v>
      </c>
      <c r="H5281" t="s">
        <v>33</v>
      </c>
      <c r="I5281" t="s">
        <v>58</v>
      </c>
      <c r="J5281" t="s">
        <v>44</v>
      </c>
      <c r="K5281" t="s">
        <v>36</v>
      </c>
      <c r="L5281" t="s">
        <v>37</v>
      </c>
      <c r="M5281">
        <v>0</v>
      </c>
      <c r="N5281">
        <v>0</v>
      </c>
      <c r="O5281">
        <v>39796</v>
      </c>
      <c r="Q5281">
        <f>37-13.5</f>
        <v>23.5</v>
      </c>
      <c r="R5281" t="s">
        <v>38</v>
      </c>
      <c r="Z5281" t="s">
        <v>102</v>
      </c>
      <c r="AB5281" t="s">
        <v>86</v>
      </c>
      <c r="AC5281" t="s">
        <v>87</v>
      </c>
    </row>
    <row r="5282" spans="1:29" x14ac:dyDescent="0.35">
      <c r="A5282" s="7">
        <v>42943</v>
      </c>
      <c r="B5282" t="s">
        <v>30</v>
      </c>
      <c r="C5282">
        <v>402</v>
      </c>
      <c r="D5282">
        <v>9</v>
      </c>
      <c r="E5282">
        <v>1</v>
      </c>
      <c r="F5282" t="s">
        <v>315</v>
      </c>
      <c r="G5282" t="s">
        <v>32</v>
      </c>
      <c r="H5282" t="s">
        <v>33</v>
      </c>
      <c r="I5282" t="s">
        <v>59</v>
      </c>
      <c r="AB5282" t="s">
        <v>86</v>
      </c>
      <c r="AC5282" t="s">
        <v>87</v>
      </c>
    </row>
    <row r="5283" spans="1:29" x14ac:dyDescent="0.35">
      <c r="A5283" s="7">
        <v>42943</v>
      </c>
      <c r="B5283" t="s">
        <v>30</v>
      </c>
      <c r="C5283">
        <v>402</v>
      </c>
      <c r="D5283">
        <v>9</v>
      </c>
      <c r="E5283">
        <v>2</v>
      </c>
      <c r="F5283" t="s">
        <v>315</v>
      </c>
      <c r="G5283" t="s">
        <v>32</v>
      </c>
      <c r="H5283" t="s">
        <v>33</v>
      </c>
      <c r="I5283" t="s">
        <v>43</v>
      </c>
      <c r="J5283" t="s">
        <v>35</v>
      </c>
      <c r="K5283" t="s">
        <v>36</v>
      </c>
      <c r="L5283" t="s">
        <v>37</v>
      </c>
      <c r="M5283">
        <v>0</v>
      </c>
      <c r="N5283">
        <v>1</v>
      </c>
      <c r="O5283">
        <v>39459</v>
      </c>
      <c r="P5283">
        <v>39548</v>
      </c>
      <c r="Q5283">
        <f>37-17</f>
        <v>20</v>
      </c>
      <c r="R5283" t="s">
        <v>38</v>
      </c>
      <c r="Z5283" t="s">
        <v>102</v>
      </c>
      <c r="AB5283" t="s">
        <v>86</v>
      </c>
      <c r="AC5283" t="s">
        <v>87</v>
      </c>
    </row>
    <row r="5284" spans="1:29" x14ac:dyDescent="0.35">
      <c r="A5284" s="7">
        <v>42943</v>
      </c>
      <c r="B5284" t="s">
        <v>30</v>
      </c>
      <c r="C5284">
        <v>402</v>
      </c>
      <c r="D5284">
        <v>10</v>
      </c>
      <c r="E5284">
        <v>1</v>
      </c>
      <c r="F5284" t="s">
        <v>315</v>
      </c>
      <c r="G5284" t="s">
        <v>32</v>
      </c>
      <c r="H5284" t="s">
        <v>33</v>
      </c>
      <c r="I5284" t="s">
        <v>59</v>
      </c>
      <c r="AB5284" t="s">
        <v>86</v>
      </c>
      <c r="AC5284" t="s">
        <v>87</v>
      </c>
    </row>
    <row r="5285" spans="1:29" x14ac:dyDescent="0.35">
      <c r="A5285" s="7">
        <v>42943</v>
      </c>
      <c r="B5285" t="s">
        <v>30</v>
      </c>
      <c r="C5285">
        <v>402</v>
      </c>
      <c r="D5285">
        <v>10</v>
      </c>
      <c r="E5285">
        <v>2</v>
      </c>
      <c r="F5285" t="s">
        <v>315</v>
      </c>
      <c r="G5285" t="s">
        <v>32</v>
      </c>
      <c r="H5285" t="s">
        <v>33</v>
      </c>
      <c r="I5285" t="s">
        <v>59</v>
      </c>
      <c r="AB5285" t="s">
        <v>86</v>
      </c>
      <c r="AC5285" t="s">
        <v>87</v>
      </c>
    </row>
    <row r="5286" spans="1:29" x14ac:dyDescent="0.35">
      <c r="A5286" s="7">
        <v>42947</v>
      </c>
      <c r="B5286" t="s">
        <v>30</v>
      </c>
      <c r="C5286">
        <v>303</v>
      </c>
      <c r="D5286">
        <v>1</v>
      </c>
      <c r="E5286">
        <v>1</v>
      </c>
      <c r="F5286" t="s">
        <v>315</v>
      </c>
      <c r="G5286" t="s">
        <v>32</v>
      </c>
      <c r="H5286" t="s">
        <v>33</v>
      </c>
      <c r="I5286" t="s">
        <v>43</v>
      </c>
      <c r="J5286" t="s">
        <v>44</v>
      </c>
      <c r="K5286" t="s">
        <v>36</v>
      </c>
      <c r="L5286" t="s">
        <v>37</v>
      </c>
      <c r="M5286">
        <v>0</v>
      </c>
      <c r="N5286">
        <v>0</v>
      </c>
      <c r="O5286">
        <v>39191</v>
      </c>
      <c r="P5286">
        <v>39190</v>
      </c>
      <c r="Q5286">
        <f>31.5-14</f>
        <v>17.5</v>
      </c>
      <c r="R5286" t="s">
        <v>38</v>
      </c>
      <c r="Y5286" t="s">
        <v>1079</v>
      </c>
      <c r="Z5286" t="s">
        <v>102</v>
      </c>
      <c r="AB5286" t="s">
        <v>60</v>
      </c>
      <c r="AC5286" t="s">
        <v>87</v>
      </c>
    </row>
    <row r="5287" spans="1:29" x14ac:dyDescent="0.35">
      <c r="A5287" s="7">
        <v>42947</v>
      </c>
      <c r="B5287" t="s">
        <v>30</v>
      </c>
      <c r="C5287">
        <v>303</v>
      </c>
      <c r="D5287">
        <v>1</v>
      </c>
      <c r="E5287">
        <v>2</v>
      </c>
      <c r="F5287" t="s">
        <v>315</v>
      </c>
      <c r="G5287" t="s">
        <v>32</v>
      </c>
      <c r="H5287" t="s">
        <v>33</v>
      </c>
      <c r="I5287" t="s">
        <v>59</v>
      </c>
      <c r="AB5287" t="s">
        <v>60</v>
      </c>
      <c r="AC5287" t="s">
        <v>87</v>
      </c>
    </row>
    <row r="5288" spans="1:29" x14ac:dyDescent="0.35">
      <c r="A5288" s="7">
        <v>42947</v>
      </c>
      <c r="B5288" t="s">
        <v>30</v>
      </c>
      <c r="C5288">
        <v>303</v>
      </c>
      <c r="D5288">
        <v>2</v>
      </c>
      <c r="E5288">
        <v>1</v>
      </c>
      <c r="F5288" t="s">
        <v>315</v>
      </c>
      <c r="G5288" t="s">
        <v>32</v>
      </c>
      <c r="H5288" t="s">
        <v>33</v>
      </c>
      <c r="I5288" t="s">
        <v>59</v>
      </c>
      <c r="AB5288" t="s">
        <v>60</v>
      </c>
      <c r="AC5288" t="s">
        <v>87</v>
      </c>
    </row>
    <row r="5289" spans="1:29" x14ac:dyDescent="0.35">
      <c r="A5289" s="7">
        <v>42947</v>
      </c>
      <c r="B5289" t="s">
        <v>30</v>
      </c>
      <c r="C5289">
        <v>303</v>
      </c>
      <c r="D5289">
        <v>2</v>
      </c>
      <c r="E5289">
        <v>2</v>
      </c>
      <c r="F5289" t="s">
        <v>315</v>
      </c>
      <c r="G5289" t="s">
        <v>32</v>
      </c>
      <c r="H5289" t="s">
        <v>33</v>
      </c>
      <c r="I5289" t="s">
        <v>59</v>
      </c>
      <c r="AB5289" t="s">
        <v>60</v>
      </c>
      <c r="AC5289" t="s">
        <v>87</v>
      </c>
    </row>
    <row r="5290" spans="1:29" x14ac:dyDescent="0.35">
      <c r="A5290" s="7">
        <v>42947</v>
      </c>
      <c r="B5290" t="s">
        <v>30</v>
      </c>
      <c r="C5290">
        <v>303</v>
      </c>
      <c r="D5290">
        <v>3</v>
      </c>
      <c r="E5290">
        <v>1</v>
      </c>
      <c r="F5290" t="s">
        <v>315</v>
      </c>
      <c r="G5290" t="s">
        <v>32</v>
      </c>
      <c r="H5290" t="s">
        <v>33</v>
      </c>
      <c r="I5290" t="s">
        <v>59</v>
      </c>
      <c r="AB5290" t="s">
        <v>60</v>
      </c>
      <c r="AC5290" t="s">
        <v>87</v>
      </c>
    </row>
    <row r="5291" spans="1:29" x14ac:dyDescent="0.35">
      <c r="A5291" s="7">
        <v>42947</v>
      </c>
      <c r="B5291" t="s">
        <v>30</v>
      </c>
      <c r="C5291">
        <v>303</v>
      </c>
      <c r="D5291">
        <v>3</v>
      </c>
      <c r="E5291">
        <v>2</v>
      </c>
      <c r="F5291" t="s">
        <v>315</v>
      </c>
      <c r="G5291" t="s">
        <v>32</v>
      </c>
      <c r="H5291" t="s">
        <v>33</v>
      </c>
      <c r="I5291" t="s">
        <v>59</v>
      </c>
      <c r="AB5291" t="s">
        <v>60</v>
      </c>
      <c r="AC5291" t="s">
        <v>87</v>
      </c>
    </row>
    <row r="5292" spans="1:29" x14ac:dyDescent="0.35">
      <c r="A5292" s="7">
        <v>42947</v>
      </c>
      <c r="B5292" t="s">
        <v>30</v>
      </c>
      <c r="C5292">
        <v>303</v>
      </c>
      <c r="D5292">
        <v>4</v>
      </c>
      <c r="E5292">
        <v>1</v>
      </c>
      <c r="F5292" t="s">
        <v>315</v>
      </c>
      <c r="G5292" t="s">
        <v>32</v>
      </c>
      <c r="H5292" t="s">
        <v>33</v>
      </c>
      <c r="I5292" t="s">
        <v>59</v>
      </c>
      <c r="AB5292" t="s">
        <v>60</v>
      </c>
      <c r="AC5292" t="s">
        <v>87</v>
      </c>
    </row>
    <row r="5293" spans="1:29" x14ac:dyDescent="0.35">
      <c r="A5293" s="7">
        <v>42947</v>
      </c>
      <c r="B5293" t="s">
        <v>30</v>
      </c>
      <c r="C5293">
        <v>303</v>
      </c>
      <c r="D5293">
        <v>4</v>
      </c>
      <c r="E5293">
        <v>2</v>
      </c>
      <c r="F5293" t="s">
        <v>315</v>
      </c>
      <c r="G5293" t="s">
        <v>32</v>
      </c>
      <c r="H5293" t="s">
        <v>33</v>
      </c>
      <c r="I5293" t="s">
        <v>59</v>
      </c>
      <c r="AB5293" t="s">
        <v>60</v>
      </c>
      <c r="AC5293" t="s">
        <v>87</v>
      </c>
    </row>
    <row r="5294" spans="1:29" x14ac:dyDescent="0.35">
      <c r="A5294" s="7">
        <v>42947</v>
      </c>
      <c r="B5294" t="s">
        <v>30</v>
      </c>
      <c r="C5294">
        <v>303</v>
      </c>
      <c r="D5294">
        <v>5</v>
      </c>
      <c r="E5294">
        <v>1</v>
      </c>
      <c r="F5294" t="s">
        <v>315</v>
      </c>
      <c r="G5294" t="s">
        <v>32</v>
      </c>
      <c r="H5294" t="s">
        <v>33</v>
      </c>
      <c r="I5294" t="s">
        <v>59</v>
      </c>
      <c r="AB5294" t="s">
        <v>60</v>
      </c>
      <c r="AC5294" t="s">
        <v>87</v>
      </c>
    </row>
    <row r="5295" spans="1:29" x14ac:dyDescent="0.35">
      <c r="A5295" s="7">
        <v>42947</v>
      </c>
      <c r="B5295" t="s">
        <v>30</v>
      </c>
      <c r="C5295">
        <v>303</v>
      </c>
      <c r="D5295">
        <v>5</v>
      </c>
      <c r="E5295">
        <v>2</v>
      </c>
      <c r="F5295" t="s">
        <v>315</v>
      </c>
      <c r="G5295" t="s">
        <v>32</v>
      </c>
      <c r="H5295" t="s">
        <v>33</v>
      </c>
      <c r="I5295" t="s">
        <v>59</v>
      </c>
      <c r="AB5295" t="s">
        <v>60</v>
      </c>
      <c r="AC5295" t="s">
        <v>87</v>
      </c>
    </row>
    <row r="5296" spans="1:29" x14ac:dyDescent="0.35">
      <c r="A5296" s="7">
        <v>42947</v>
      </c>
      <c r="B5296" t="s">
        <v>30</v>
      </c>
      <c r="C5296">
        <v>303</v>
      </c>
      <c r="D5296">
        <v>6</v>
      </c>
      <c r="E5296">
        <v>1</v>
      </c>
      <c r="F5296" t="s">
        <v>315</v>
      </c>
      <c r="G5296" t="s">
        <v>32</v>
      </c>
      <c r="H5296" t="s">
        <v>33</v>
      </c>
      <c r="I5296" t="s">
        <v>59</v>
      </c>
      <c r="AB5296" t="s">
        <v>60</v>
      </c>
      <c r="AC5296" t="s">
        <v>87</v>
      </c>
    </row>
    <row r="5297" spans="1:30" x14ac:dyDescent="0.35">
      <c r="A5297" s="7">
        <v>42947</v>
      </c>
      <c r="B5297" t="s">
        <v>30</v>
      </c>
      <c r="C5297">
        <v>303</v>
      </c>
      <c r="D5297">
        <v>6</v>
      </c>
      <c r="E5297">
        <v>2</v>
      </c>
      <c r="F5297" t="s">
        <v>315</v>
      </c>
      <c r="G5297" t="s">
        <v>32</v>
      </c>
      <c r="H5297" t="s">
        <v>33</v>
      </c>
      <c r="I5297" t="s">
        <v>43</v>
      </c>
      <c r="J5297" t="s">
        <v>35</v>
      </c>
      <c r="K5297" t="s">
        <v>88</v>
      </c>
      <c r="L5297" t="s">
        <v>45</v>
      </c>
      <c r="M5297">
        <v>0</v>
      </c>
      <c r="N5297">
        <v>1</v>
      </c>
      <c r="O5297">
        <v>39450</v>
      </c>
      <c r="P5297">
        <v>39449</v>
      </c>
      <c r="Q5297">
        <f>27-13.5</f>
        <v>13.5</v>
      </c>
      <c r="R5297" t="s">
        <v>46</v>
      </c>
      <c r="S5297" t="s">
        <v>39</v>
      </c>
      <c r="Z5297" t="s">
        <v>102</v>
      </c>
      <c r="AB5297" t="s">
        <v>60</v>
      </c>
      <c r="AC5297" t="s">
        <v>87</v>
      </c>
    </row>
    <row r="5298" spans="1:30" x14ac:dyDescent="0.35">
      <c r="A5298" s="7">
        <v>42947</v>
      </c>
      <c r="B5298" t="s">
        <v>30</v>
      </c>
      <c r="C5298">
        <v>303</v>
      </c>
      <c r="D5298">
        <v>7</v>
      </c>
      <c r="E5298">
        <v>1</v>
      </c>
      <c r="F5298" t="s">
        <v>315</v>
      </c>
      <c r="G5298" t="s">
        <v>32</v>
      </c>
      <c r="H5298" t="s">
        <v>33</v>
      </c>
      <c r="I5298" t="s">
        <v>43</v>
      </c>
      <c r="J5298" t="s">
        <v>35</v>
      </c>
      <c r="K5298" t="s">
        <v>36</v>
      </c>
      <c r="L5298" t="s">
        <v>37</v>
      </c>
      <c r="M5298">
        <v>0</v>
      </c>
      <c r="N5298">
        <v>1</v>
      </c>
      <c r="O5298">
        <v>39448</v>
      </c>
      <c r="P5298">
        <v>39447</v>
      </c>
      <c r="Q5298">
        <f>30.5-13</f>
        <v>17.5</v>
      </c>
      <c r="R5298" t="s">
        <v>38</v>
      </c>
      <c r="Z5298" t="s">
        <v>102</v>
      </c>
      <c r="AB5298" t="s">
        <v>60</v>
      </c>
      <c r="AC5298" t="s">
        <v>87</v>
      </c>
    </row>
    <row r="5299" spans="1:30" x14ac:dyDescent="0.35">
      <c r="A5299" s="7">
        <v>42947</v>
      </c>
      <c r="B5299" t="s">
        <v>30</v>
      </c>
      <c r="C5299">
        <v>303</v>
      </c>
      <c r="D5299">
        <v>8</v>
      </c>
      <c r="E5299">
        <v>1</v>
      </c>
      <c r="F5299" t="s">
        <v>315</v>
      </c>
      <c r="G5299" t="s">
        <v>32</v>
      </c>
      <c r="H5299" t="s">
        <v>33</v>
      </c>
      <c r="I5299" t="s">
        <v>43</v>
      </c>
      <c r="J5299" t="s">
        <v>44</v>
      </c>
      <c r="K5299" t="s">
        <v>88</v>
      </c>
      <c r="L5299" t="s">
        <v>37</v>
      </c>
      <c r="M5299">
        <v>0</v>
      </c>
      <c r="N5299">
        <v>0</v>
      </c>
      <c r="O5299">
        <v>39494</v>
      </c>
      <c r="P5299">
        <v>39493</v>
      </c>
      <c r="Q5299">
        <f>28-13</f>
        <v>15</v>
      </c>
      <c r="Z5299" t="s">
        <v>102</v>
      </c>
      <c r="AB5299" t="s">
        <v>60</v>
      </c>
      <c r="AC5299" t="s">
        <v>87</v>
      </c>
    </row>
    <row r="5300" spans="1:30" x14ac:dyDescent="0.35">
      <c r="A5300" s="7">
        <v>42947</v>
      </c>
      <c r="B5300" t="s">
        <v>30</v>
      </c>
      <c r="C5300">
        <v>303</v>
      </c>
      <c r="D5300">
        <v>9</v>
      </c>
      <c r="E5300">
        <v>1</v>
      </c>
      <c r="F5300" t="s">
        <v>315</v>
      </c>
      <c r="G5300" t="s">
        <v>32</v>
      </c>
      <c r="H5300" t="s">
        <v>33</v>
      </c>
      <c r="I5300" t="s">
        <v>1029</v>
      </c>
      <c r="J5300" t="s">
        <v>66</v>
      </c>
      <c r="AB5300" t="s">
        <v>60</v>
      </c>
      <c r="AC5300" t="s">
        <v>87</v>
      </c>
    </row>
    <row r="5301" spans="1:30" x14ac:dyDescent="0.35">
      <c r="A5301" s="7">
        <v>42947</v>
      </c>
      <c r="B5301" t="s">
        <v>30</v>
      </c>
      <c r="C5301">
        <v>303</v>
      </c>
      <c r="D5301">
        <v>9</v>
      </c>
      <c r="E5301">
        <v>2</v>
      </c>
      <c r="F5301" t="s">
        <v>315</v>
      </c>
      <c r="G5301" t="s">
        <v>32</v>
      </c>
      <c r="H5301" t="s">
        <v>33</v>
      </c>
      <c r="I5301" t="s">
        <v>59</v>
      </c>
      <c r="AB5301" t="s">
        <v>60</v>
      </c>
      <c r="AC5301" t="s">
        <v>87</v>
      </c>
    </row>
    <row r="5302" spans="1:30" x14ac:dyDescent="0.35">
      <c r="A5302" s="7">
        <v>42947</v>
      </c>
      <c r="B5302" t="s">
        <v>30</v>
      </c>
      <c r="C5302">
        <v>303</v>
      </c>
      <c r="D5302">
        <v>10</v>
      </c>
      <c r="E5302">
        <v>1</v>
      </c>
      <c r="F5302" t="s">
        <v>315</v>
      </c>
      <c r="G5302" t="s">
        <v>32</v>
      </c>
      <c r="H5302" t="s">
        <v>33</v>
      </c>
      <c r="I5302" t="s">
        <v>43</v>
      </c>
      <c r="J5302" t="s">
        <v>35</v>
      </c>
      <c r="K5302" t="s">
        <v>113</v>
      </c>
      <c r="L5302" t="s">
        <v>37</v>
      </c>
      <c r="M5302">
        <v>0</v>
      </c>
      <c r="N5302">
        <v>1</v>
      </c>
      <c r="O5302">
        <v>39446</v>
      </c>
      <c r="P5302">
        <v>39445</v>
      </c>
      <c r="Q5302">
        <f>27.5-13</f>
        <v>14.5</v>
      </c>
      <c r="R5302" t="s">
        <v>38</v>
      </c>
      <c r="Z5302" t="s">
        <v>102</v>
      </c>
      <c r="AB5302" t="s">
        <v>60</v>
      </c>
      <c r="AC5302" t="s">
        <v>87</v>
      </c>
    </row>
    <row r="5303" spans="1:30" x14ac:dyDescent="0.35">
      <c r="A5303" s="7">
        <v>42947</v>
      </c>
      <c r="B5303" t="s">
        <v>30</v>
      </c>
      <c r="C5303">
        <v>303</v>
      </c>
      <c r="D5303">
        <v>10</v>
      </c>
      <c r="E5303">
        <v>2</v>
      </c>
      <c r="F5303" t="s">
        <v>315</v>
      </c>
      <c r="G5303" t="s">
        <v>32</v>
      </c>
      <c r="H5303" t="s">
        <v>33</v>
      </c>
      <c r="I5303" t="s">
        <v>58</v>
      </c>
      <c r="J5303" t="s">
        <v>66</v>
      </c>
      <c r="K5303" t="s">
        <v>36</v>
      </c>
      <c r="L5303" t="s">
        <v>37</v>
      </c>
      <c r="R5303" t="s">
        <v>38</v>
      </c>
      <c r="Z5303" t="s">
        <v>102</v>
      </c>
      <c r="AB5303" t="s">
        <v>60</v>
      </c>
      <c r="AC5303" t="s">
        <v>87</v>
      </c>
      <c r="AD5303" t="s">
        <v>658</v>
      </c>
    </row>
    <row r="5304" spans="1:30" x14ac:dyDescent="0.35">
      <c r="A5304" s="7">
        <v>42947</v>
      </c>
      <c r="B5304" t="s">
        <v>30</v>
      </c>
      <c r="C5304">
        <v>401</v>
      </c>
      <c r="D5304">
        <v>3</v>
      </c>
      <c r="E5304">
        <v>1</v>
      </c>
      <c r="F5304" t="s">
        <v>315</v>
      </c>
      <c r="G5304" t="s">
        <v>32</v>
      </c>
      <c r="H5304" t="s">
        <v>33</v>
      </c>
      <c r="I5304" t="s">
        <v>1029</v>
      </c>
      <c r="J5304" t="s">
        <v>56</v>
      </c>
      <c r="AB5304" t="s">
        <v>60</v>
      </c>
      <c r="AC5304" t="s">
        <v>87</v>
      </c>
    </row>
    <row r="5305" spans="1:30" x14ac:dyDescent="0.35">
      <c r="A5305" s="7">
        <v>42947</v>
      </c>
      <c r="B5305" t="s">
        <v>30</v>
      </c>
      <c r="C5305">
        <v>401</v>
      </c>
      <c r="D5305">
        <v>6</v>
      </c>
      <c r="E5305">
        <v>1</v>
      </c>
      <c r="F5305" t="s">
        <v>315</v>
      </c>
      <c r="G5305" t="s">
        <v>32</v>
      </c>
      <c r="H5305" t="s">
        <v>33</v>
      </c>
      <c r="I5305" t="s">
        <v>58</v>
      </c>
      <c r="J5305" t="s">
        <v>44</v>
      </c>
      <c r="K5305" t="s">
        <v>36</v>
      </c>
      <c r="L5305" t="s">
        <v>45</v>
      </c>
      <c r="M5305">
        <v>0</v>
      </c>
      <c r="N5305">
        <v>0</v>
      </c>
      <c r="O5305">
        <v>39325</v>
      </c>
      <c r="Q5305">
        <f>43.5-13.5</f>
        <v>30</v>
      </c>
      <c r="R5305" t="s">
        <v>1021</v>
      </c>
      <c r="S5305" t="s">
        <v>102</v>
      </c>
      <c r="Z5305" t="s">
        <v>102</v>
      </c>
      <c r="AB5305" t="s">
        <v>60</v>
      </c>
      <c r="AC5305" t="s">
        <v>87</v>
      </c>
      <c r="AD5305" t="s">
        <v>1080</v>
      </c>
    </row>
    <row r="5306" spans="1:30" x14ac:dyDescent="0.35">
      <c r="A5306" s="7">
        <v>42947</v>
      </c>
      <c r="B5306" t="s">
        <v>30</v>
      </c>
      <c r="C5306">
        <v>401</v>
      </c>
      <c r="D5306">
        <v>7</v>
      </c>
      <c r="E5306">
        <v>1</v>
      </c>
      <c r="F5306" t="s">
        <v>315</v>
      </c>
      <c r="G5306" t="s">
        <v>32</v>
      </c>
      <c r="H5306" t="s">
        <v>33</v>
      </c>
      <c r="I5306" t="s">
        <v>1029</v>
      </c>
      <c r="J5306" t="s">
        <v>66</v>
      </c>
      <c r="AB5306" t="s">
        <v>60</v>
      </c>
      <c r="AC5306" t="s">
        <v>87</v>
      </c>
    </row>
    <row r="5307" spans="1:30" x14ac:dyDescent="0.35">
      <c r="A5307" s="7">
        <v>42947</v>
      </c>
      <c r="B5307" t="s">
        <v>30</v>
      </c>
      <c r="C5307">
        <v>401</v>
      </c>
      <c r="D5307">
        <v>10</v>
      </c>
      <c r="E5307">
        <v>1</v>
      </c>
      <c r="F5307" t="s">
        <v>315</v>
      </c>
      <c r="G5307" t="s">
        <v>32</v>
      </c>
      <c r="H5307" t="s">
        <v>33</v>
      </c>
      <c r="I5307" t="s">
        <v>59</v>
      </c>
      <c r="AB5307" t="s">
        <v>60</v>
      </c>
      <c r="AC5307" t="s">
        <v>87</v>
      </c>
    </row>
    <row r="5308" spans="1:30" x14ac:dyDescent="0.35">
      <c r="A5308" s="7">
        <v>42947</v>
      </c>
      <c r="B5308" t="s">
        <v>30</v>
      </c>
      <c r="C5308">
        <v>501</v>
      </c>
      <c r="D5308">
        <v>1</v>
      </c>
      <c r="E5308">
        <v>1</v>
      </c>
      <c r="F5308" t="s">
        <v>315</v>
      </c>
      <c r="G5308" t="s">
        <v>32</v>
      </c>
      <c r="H5308" t="s">
        <v>33</v>
      </c>
      <c r="I5308" t="s">
        <v>59</v>
      </c>
      <c r="AB5308" t="s">
        <v>60</v>
      </c>
      <c r="AC5308" t="s">
        <v>87</v>
      </c>
    </row>
    <row r="5309" spans="1:30" x14ac:dyDescent="0.35">
      <c r="A5309" s="7">
        <v>42947</v>
      </c>
      <c r="B5309" t="s">
        <v>30</v>
      </c>
      <c r="C5309">
        <v>501</v>
      </c>
      <c r="D5309">
        <v>1</v>
      </c>
      <c r="E5309">
        <v>2</v>
      </c>
      <c r="F5309" t="s">
        <v>315</v>
      </c>
      <c r="G5309" t="s">
        <v>32</v>
      </c>
      <c r="H5309" t="s">
        <v>33</v>
      </c>
      <c r="I5309" t="s">
        <v>59</v>
      </c>
      <c r="AB5309" t="s">
        <v>60</v>
      </c>
      <c r="AC5309" t="s">
        <v>87</v>
      </c>
    </row>
    <row r="5310" spans="1:30" x14ac:dyDescent="0.35">
      <c r="A5310" s="7">
        <v>42947</v>
      </c>
      <c r="B5310" t="s">
        <v>30</v>
      </c>
      <c r="C5310">
        <v>501</v>
      </c>
      <c r="D5310">
        <v>2</v>
      </c>
      <c r="E5310">
        <v>1</v>
      </c>
      <c r="F5310" t="s">
        <v>315</v>
      </c>
      <c r="G5310" t="s">
        <v>32</v>
      </c>
      <c r="H5310" t="s">
        <v>33</v>
      </c>
      <c r="I5310" t="s">
        <v>59</v>
      </c>
      <c r="AB5310" t="s">
        <v>60</v>
      </c>
      <c r="AC5310" t="s">
        <v>87</v>
      </c>
    </row>
    <row r="5311" spans="1:30" x14ac:dyDescent="0.35">
      <c r="A5311" s="7">
        <v>42947</v>
      </c>
      <c r="B5311" t="s">
        <v>30</v>
      </c>
      <c r="C5311">
        <v>501</v>
      </c>
      <c r="D5311">
        <v>2</v>
      </c>
      <c r="E5311">
        <v>2</v>
      </c>
      <c r="F5311" t="s">
        <v>315</v>
      </c>
      <c r="G5311" t="s">
        <v>32</v>
      </c>
      <c r="H5311" t="s">
        <v>33</v>
      </c>
      <c r="I5311" t="s">
        <v>1029</v>
      </c>
      <c r="J5311" t="s">
        <v>66</v>
      </c>
      <c r="AB5311" t="s">
        <v>60</v>
      </c>
      <c r="AC5311" t="s">
        <v>87</v>
      </c>
    </row>
    <row r="5312" spans="1:30" x14ac:dyDescent="0.35">
      <c r="A5312" s="7">
        <v>42947</v>
      </c>
      <c r="B5312" t="s">
        <v>30</v>
      </c>
      <c r="C5312">
        <v>501</v>
      </c>
      <c r="D5312">
        <v>7</v>
      </c>
      <c r="E5312">
        <v>1</v>
      </c>
      <c r="F5312" t="s">
        <v>315</v>
      </c>
      <c r="G5312" t="s">
        <v>32</v>
      </c>
      <c r="H5312" t="s">
        <v>33</v>
      </c>
      <c r="I5312" t="s">
        <v>59</v>
      </c>
      <c r="AB5312" t="s">
        <v>60</v>
      </c>
      <c r="AC5312" t="s">
        <v>87</v>
      </c>
    </row>
    <row r="5313" spans="1:29" x14ac:dyDescent="0.35">
      <c r="A5313" s="7">
        <v>42947</v>
      </c>
      <c r="B5313" t="s">
        <v>30</v>
      </c>
      <c r="C5313">
        <v>501</v>
      </c>
      <c r="D5313">
        <v>8</v>
      </c>
      <c r="E5313">
        <v>1</v>
      </c>
      <c r="F5313" t="s">
        <v>315</v>
      </c>
      <c r="G5313" t="s">
        <v>32</v>
      </c>
      <c r="H5313" t="s">
        <v>33</v>
      </c>
      <c r="I5313" t="s">
        <v>84</v>
      </c>
      <c r="AB5313" t="s">
        <v>60</v>
      </c>
      <c r="AC5313" t="s">
        <v>87</v>
      </c>
    </row>
    <row r="5314" spans="1:29" x14ac:dyDescent="0.35">
      <c r="A5314" s="7">
        <v>42947</v>
      </c>
      <c r="B5314" t="s">
        <v>30</v>
      </c>
      <c r="C5314">
        <v>501</v>
      </c>
      <c r="D5314">
        <v>9</v>
      </c>
      <c r="E5314">
        <v>1</v>
      </c>
      <c r="F5314" t="s">
        <v>315</v>
      </c>
      <c r="G5314" t="s">
        <v>32</v>
      </c>
      <c r="H5314" t="s">
        <v>33</v>
      </c>
      <c r="I5314" t="s">
        <v>72</v>
      </c>
      <c r="J5314" t="s">
        <v>56</v>
      </c>
      <c r="AB5314" t="s">
        <v>60</v>
      </c>
      <c r="AC5314" t="s">
        <v>87</v>
      </c>
    </row>
    <row r="5315" spans="1:29" x14ac:dyDescent="0.35">
      <c r="A5315" s="7">
        <v>42947</v>
      </c>
      <c r="B5315" t="s">
        <v>30</v>
      </c>
      <c r="C5315">
        <v>503</v>
      </c>
      <c r="D5315">
        <v>3</v>
      </c>
      <c r="E5315">
        <v>1</v>
      </c>
      <c r="F5315" t="s">
        <v>315</v>
      </c>
      <c r="G5315" t="s">
        <v>32</v>
      </c>
      <c r="H5315" t="s">
        <v>33</v>
      </c>
      <c r="I5315" t="s">
        <v>94</v>
      </c>
      <c r="J5315" t="s">
        <v>44</v>
      </c>
      <c r="K5315" t="s">
        <v>36</v>
      </c>
      <c r="L5315" t="s">
        <v>45</v>
      </c>
      <c r="M5315">
        <v>0</v>
      </c>
      <c r="N5315">
        <v>0</v>
      </c>
      <c r="O5315">
        <v>39320</v>
      </c>
      <c r="Q5315">
        <f>37.5-14.5</f>
        <v>23</v>
      </c>
      <c r="R5315" t="s">
        <v>79</v>
      </c>
      <c r="Z5315" t="s">
        <v>102</v>
      </c>
      <c r="AB5315" t="s">
        <v>60</v>
      </c>
      <c r="AC5315" t="s">
        <v>87</v>
      </c>
    </row>
    <row r="5316" spans="1:29" x14ac:dyDescent="0.35">
      <c r="A5316" s="7">
        <v>42947</v>
      </c>
      <c r="B5316" t="s">
        <v>30</v>
      </c>
      <c r="C5316">
        <v>503</v>
      </c>
      <c r="D5316">
        <v>5</v>
      </c>
      <c r="E5316">
        <v>1</v>
      </c>
      <c r="F5316" t="s">
        <v>315</v>
      </c>
      <c r="G5316" t="s">
        <v>32</v>
      </c>
      <c r="H5316" t="s">
        <v>33</v>
      </c>
      <c r="I5316" t="s">
        <v>59</v>
      </c>
      <c r="AB5316" t="s">
        <v>60</v>
      </c>
      <c r="AC5316" t="s">
        <v>87</v>
      </c>
    </row>
    <row r="5317" spans="1:29" x14ac:dyDescent="0.35">
      <c r="A5317" s="7">
        <v>42947</v>
      </c>
      <c r="B5317" t="s">
        <v>30</v>
      </c>
      <c r="C5317">
        <v>503</v>
      </c>
      <c r="D5317">
        <v>6</v>
      </c>
      <c r="E5317">
        <v>1</v>
      </c>
      <c r="F5317" t="s">
        <v>315</v>
      </c>
      <c r="G5317" t="s">
        <v>32</v>
      </c>
      <c r="H5317" t="s">
        <v>33</v>
      </c>
      <c r="I5317" t="s">
        <v>59</v>
      </c>
      <c r="AB5317" t="s">
        <v>60</v>
      </c>
      <c r="AC5317" t="s">
        <v>87</v>
      </c>
    </row>
    <row r="5318" spans="1:29" x14ac:dyDescent="0.35">
      <c r="A5318" s="7">
        <v>42947</v>
      </c>
      <c r="B5318" t="s">
        <v>30</v>
      </c>
      <c r="C5318">
        <v>503</v>
      </c>
      <c r="D5318">
        <v>6</v>
      </c>
      <c r="E5318">
        <v>2</v>
      </c>
      <c r="F5318" t="s">
        <v>315</v>
      </c>
      <c r="G5318" t="s">
        <v>32</v>
      </c>
      <c r="H5318" t="s">
        <v>33</v>
      </c>
      <c r="I5318" t="s">
        <v>1029</v>
      </c>
      <c r="J5318" t="s">
        <v>66</v>
      </c>
      <c r="AB5318" t="s">
        <v>60</v>
      </c>
      <c r="AC5318" t="s">
        <v>87</v>
      </c>
    </row>
    <row r="5319" spans="1:29" x14ac:dyDescent="0.35">
      <c r="A5319" s="7">
        <v>42947</v>
      </c>
      <c r="B5319" t="s">
        <v>30</v>
      </c>
      <c r="C5319">
        <v>503</v>
      </c>
      <c r="D5319">
        <v>7</v>
      </c>
      <c r="E5319">
        <v>1</v>
      </c>
      <c r="F5319" t="s">
        <v>315</v>
      </c>
      <c r="G5319" t="s">
        <v>32</v>
      </c>
      <c r="H5319" t="s">
        <v>33</v>
      </c>
      <c r="I5319" t="s">
        <v>59</v>
      </c>
      <c r="AB5319" t="s">
        <v>60</v>
      </c>
      <c r="AC5319" t="s">
        <v>87</v>
      </c>
    </row>
    <row r="5320" spans="1:29" x14ac:dyDescent="0.35">
      <c r="A5320" s="7">
        <v>42947</v>
      </c>
      <c r="B5320" t="s">
        <v>30</v>
      </c>
      <c r="C5320">
        <v>503</v>
      </c>
      <c r="D5320">
        <v>7</v>
      </c>
      <c r="E5320">
        <v>2</v>
      </c>
      <c r="F5320" t="s">
        <v>315</v>
      </c>
      <c r="G5320" t="s">
        <v>32</v>
      </c>
      <c r="H5320" t="s">
        <v>33</v>
      </c>
      <c r="I5320" t="s">
        <v>59</v>
      </c>
      <c r="AB5320" t="s">
        <v>60</v>
      </c>
      <c r="AC5320" t="s">
        <v>87</v>
      </c>
    </row>
    <row r="5321" spans="1:29" x14ac:dyDescent="0.35">
      <c r="A5321" s="7">
        <v>42947</v>
      </c>
      <c r="B5321" t="s">
        <v>30</v>
      </c>
      <c r="C5321">
        <v>503</v>
      </c>
      <c r="D5321">
        <v>8</v>
      </c>
      <c r="E5321">
        <v>1</v>
      </c>
      <c r="F5321" t="s">
        <v>315</v>
      </c>
      <c r="G5321" t="s">
        <v>32</v>
      </c>
      <c r="H5321" t="s">
        <v>33</v>
      </c>
      <c r="I5321" t="s">
        <v>59</v>
      </c>
      <c r="AB5321" t="s">
        <v>60</v>
      </c>
      <c r="AC5321" t="s">
        <v>87</v>
      </c>
    </row>
    <row r="5322" spans="1:29" x14ac:dyDescent="0.35">
      <c r="A5322" s="7">
        <v>42947</v>
      </c>
      <c r="B5322" t="s">
        <v>30</v>
      </c>
      <c r="C5322">
        <v>503</v>
      </c>
      <c r="D5322">
        <v>8</v>
      </c>
      <c r="E5322">
        <v>2</v>
      </c>
      <c r="F5322" t="s">
        <v>315</v>
      </c>
      <c r="G5322" t="s">
        <v>32</v>
      </c>
      <c r="H5322" t="s">
        <v>33</v>
      </c>
      <c r="I5322" t="s">
        <v>59</v>
      </c>
      <c r="AB5322" t="s">
        <v>60</v>
      </c>
      <c r="AC5322" t="s">
        <v>87</v>
      </c>
    </row>
    <row r="5323" spans="1:29" x14ac:dyDescent="0.35">
      <c r="A5323" s="7">
        <v>42947</v>
      </c>
      <c r="B5323" t="s">
        <v>30</v>
      </c>
      <c r="C5323">
        <v>503</v>
      </c>
      <c r="D5323">
        <v>9</v>
      </c>
      <c r="E5323">
        <v>1</v>
      </c>
      <c r="F5323" t="s">
        <v>315</v>
      </c>
      <c r="G5323" t="s">
        <v>32</v>
      </c>
      <c r="H5323" t="s">
        <v>33</v>
      </c>
      <c r="I5323" t="s">
        <v>43</v>
      </c>
      <c r="J5323" t="s">
        <v>44</v>
      </c>
      <c r="K5323" t="s">
        <v>36</v>
      </c>
      <c r="L5323" t="s">
        <v>45</v>
      </c>
      <c r="M5323">
        <v>0</v>
      </c>
      <c r="N5323">
        <v>0</v>
      </c>
      <c r="O5323">
        <v>39314</v>
      </c>
      <c r="P5323">
        <v>39315</v>
      </c>
      <c r="Q5323">
        <f>36-15</f>
        <v>21</v>
      </c>
      <c r="R5323" t="s">
        <v>1021</v>
      </c>
      <c r="S5323" t="s">
        <v>102</v>
      </c>
      <c r="Z5323" t="s">
        <v>102</v>
      </c>
      <c r="AB5323" t="s">
        <v>60</v>
      </c>
      <c r="AC5323" t="s">
        <v>87</v>
      </c>
    </row>
    <row r="5324" spans="1:29" x14ac:dyDescent="0.35">
      <c r="A5324" s="7">
        <v>42947</v>
      </c>
      <c r="B5324" t="s">
        <v>30</v>
      </c>
      <c r="C5324">
        <v>503</v>
      </c>
      <c r="D5324">
        <v>9</v>
      </c>
      <c r="E5324">
        <v>2</v>
      </c>
      <c r="F5324" t="s">
        <v>315</v>
      </c>
      <c r="G5324" t="s">
        <v>32</v>
      </c>
      <c r="H5324" t="s">
        <v>33</v>
      </c>
      <c r="I5324" t="s">
        <v>43</v>
      </c>
      <c r="J5324" t="s">
        <v>35</v>
      </c>
      <c r="K5324" t="s">
        <v>113</v>
      </c>
      <c r="L5324" t="s">
        <v>37</v>
      </c>
      <c r="M5324">
        <v>0</v>
      </c>
      <c r="N5324">
        <v>1</v>
      </c>
      <c r="O5324">
        <v>39475</v>
      </c>
      <c r="P5324">
        <v>39474</v>
      </c>
      <c r="Q5324">
        <f>31-15.5</f>
        <v>15.5</v>
      </c>
      <c r="R5324" t="s">
        <v>38</v>
      </c>
      <c r="AB5324" t="s">
        <v>60</v>
      </c>
      <c r="AC5324" t="s">
        <v>87</v>
      </c>
    </row>
    <row r="5325" spans="1:29" x14ac:dyDescent="0.35">
      <c r="A5325" s="7">
        <v>42947</v>
      </c>
      <c r="B5325" t="s">
        <v>30</v>
      </c>
      <c r="C5325">
        <v>503</v>
      </c>
      <c r="D5325">
        <v>10</v>
      </c>
      <c r="E5325">
        <v>1</v>
      </c>
      <c r="F5325" t="s">
        <v>315</v>
      </c>
      <c r="G5325" t="s">
        <v>32</v>
      </c>
      <c r="H5325" t="s">
        <v>33</v>
      </c>
      <c r="I5325" t="s">
        <v>59</v>
      </c>
      <c r="AB5325" t="s">
        <v>60</v>
      </c>
      <c r="AC5325" t="s">
        <v>87</v>
      </c>
    </row>
    <row r="5326" spans="1:29" x14ac:dyDescent="0.35">
      <c r="A5326" s="7">
        <v>42947</v>
      </c>
      <c r="B5326" t="s">
        <v>30</v>
      </c>
      <c r="C5326">
        <v>503</v>
      </c>
      <c r="D5326">
        <v>10</v>
      </c>
      <c r="E5326">
        <v>2</v>
      </c>
      <c r="F5326" t="s">
        <v>315</v>
      </c>
      <c r="G5326" t="s">
        <v>32</v>
      </c>
      <c r="H5326" t="s">
        <v>33</v>
      </c>
      <c r="I5326" t="s">
        <v>59</v>
      </c>
      <c r="AB5326" t="s">
        <v>60</v>
      </c>
      <c r="AC5326" t="s">
        <v>87</v>
      </c>
    </row>
    <row r="5327" spans="1:29" x14ac:dyDescent="0.35">
      <c r="A5327" s="7">
        <v>42947</v>
      </c>
      <c r="B5327" t="s">
        <v>30</v>
      </c>
      <c r="C5327">
        <v>701</v>
      </c>
      <c r="D5327">
        <v>3</v>
      </c>
      <c r="E5327">
        <v>1</v>
      </c>
      <c r="F5327" t="s">
        <v>1020</v>
      </c>
      <c r="G5327" t="s">
        <v>32</v>
      </c>
      <c r="H5327" t="s">
        <v>33</v>
      </c>
      <c r="I5327" t="s">
        <v>58</v>
      </c>
      <c r="J5327" t="s">
        <v>44</v>
      </c>
      <c r="K5327" t="s">
        <v>36</v>
      </c>
      <c r="L5327" t="s">
        <v>45</v>
      </c>
      <c r="M5327">
        <v>0</v>
      </c>
      <c r="N5327">
        <v>0</v>
      </c>
      <c r="O5327">
        <v>39739</v>
      </c>
      <c r="Q5327">
        <f>37-13</f>
        <v>24</v>
      </c>
      <c r="R5327" t="s">
        <v>1021</v>
      </c>
      <c r="S5327" t="s">
        <v>102</v>
      </c>
      <c r="Z5327" t="s">
        <v>102</v>
      </c>
      <c r="AB5327" t="s">
        <v>86</v>
      </c>
      <c r="AC5327" t="s">
        <v>87</v>
      </c>
    </row>
    <row r="5328" spans="1:29" x14ac:dyDescent="0.35">
      <c r="A5328" s="7">
        <v>42947</v>
      </c>
      <c r="B5328" t="s">
        <v>30</v>
      </c>
      <c r="C5328">
        <v>701</v>
      </c>
      <c r="D5328">
        <v>4</v>
      </c>
      <c r="E5328">
        <v>1</v>
      </c>
      <c r="F5328" t="s">
        <v>1020</v>
      </c>
      <c r="G5328" t="s">
        <v>32</v>
      </c>
      <c r="H5328" t="s">
        <v>33</v>
      </c>
      <c r="I5328" t="s">
        <v>59</v>
      </c>
      <c r="AB5328" t="s">
        <v>86</v>
      </c>
      <c r="AC5328" t="s">
        <v>87</v>
      </c>
    </row>
    <row r="5329" spans="1:30" x14ac:dyDescent="0.35">
      <c r="A5329" s="7">
        <v>42947</v>
      </c>
      <c r="B5329" t="s">
        <v>30</v>
      </c>
      <c r="C5329">
        <v>701</v>
      </c>
      <c r="D5329">
        <v>5</v>
      </c>
      <c r="E5329">
        <v>1</v>
      </c>
      <c r="F5329" t="s">
        <v>1020</v>
      </c>
      <c r="G5329" t="s">
        <v>32</v>
      </c>
      <c r="H5329" t="s">
        <v>33</v>
      </c>
      <c r="I5329" t="s">
        <v>59</v>
      </c>
      <c r="AB5329" t="s">
        <v>86</v>
      </c>
      <c r="AC5329" t="s">
        <v>87</v>
      </c>
    </row>
    <row r="5330" spans="1:30" x14ac:dyDescent="0.35">
      <c r="A5330" s="7">
        <v>42947</v>
      </c>
      <c r="B5330" t="s">
        <v>30</v>
      </c>
      <c r="C5330">
        <v>701</v>
      </c>
      <c r="D5330">
        <v>7</v>
      </c>
      <c r="E5330">
        <v>1</v>
      </c>
      <c r="F5330" t="s">
        <v>1020</v>
      </c>
      <c r="G5330" t="s">
        <v>32</v>
      </c>
      <c r="H5330" t="s">
        <v>33</v>
      </c>
      <c r="I5330" t="s">
        <v>59</v>
      </c>
      <c r="AB5330" t="s">
        <v>86</v>
      </c>
      <c r="AC5330" t="s">
        <v>87</v>
      </c>
    </row>
    <row r="5331" spans="1:30" x14ac:dyDescent="0.35">
      <c r="A5331" s="7">
        <v>42947</v>
      </c>
      <c r="B5331" t="s">
        <v>30</v>
      </c>
      <c r="C5331">
        <v>701</v>
      </c>
      <c r="D5331">
        <v>8</v>
      </c>
      <c r="E5331">
        <v>1</v>
      </c>
      <c r="F5331" t="s">
        <v>1020</v>
      </c>
      <c r="G5331" t="s">
        <v>32</v>
      </c>
      <c r="H5331" t="s">
        <v>33</v>
      </c>
      <c r="I5331" t="s">
        <v>94</v>
      </c>
      <c r="J5331" t="s">
        <v>92</v>
      </c>
      <c r="AB5331" t="s">
        <v>86</v>
      </c>
      <c r="AC5331" t="s">
        <v>87</v>
      </c>
      <c r="AD5331" t="s">
        <v>1081</v>
      </c>
    </row>
    <row r="5332" spans="1:30" x14ac:dyDescent="0.35">
      <c r="A5332" s="7">
        <v>42947</v>
      </c>
      <c r="B5332" t="s">
        <v>30</v>
      </c>
      <c r="C5332">
        <v>701</v>
      </c>
      <c r="D5332">
        <v>9</v>
      </c>
      <c r="E5332">
        <v>1</v>
      </c>
      <c r="F5332" t="s">
        <v>1020</v>
      </c>
      <c r="G5332" t="s">
        <v>32</v>
      </c>
      <c r="H5332" t="s">
        <v>33</v>
      </c>
      <c r="I5332" t="s">
        <v>43</v>
      </c>
      <c r="J5332" t="s">
        <v>44</v>
      </c>
      <c r="K5332" t="s">
        <v>36</v>
      </c>
      <c r="L5332" t="s">
        <v>45</v>
      </c>
      <c r="M5332">
        <v>0</v>
      </c>
      <c r="N5332">
        <v>0</v>
      </c>
      <c r="O5332">
        <v>39771</v>
      </c>
      <c r="P5332">
        <v>39770</v>
      </c>
      <c r="Q5332">
        <f>34-14</f>
        <v>20</v>
      </c>
      <c r="R5332" t="s">
        <v>1028</v>
      </c>
      <c r="S5332" t="s">
        <v>102</v>
      </c>
      <c r="AB5332" t="s">
        <v>86</v>
      </c>
      <c r="AC5332" t="s">
        <v>87</v>
      </c>
    </row>
    <row r="5333" spans="1:30" x14ac:dyDescent="0.35">
      <c r="A5333" s="7">
        <v>42947</v>
      </c>
      <c r="B5333" t="s">
        <v>30</v>
      </c>
      <c r="C5333">
        <v>701</v>
      </c>
      <c r="D5333">
        <v>9</v>
      </c>
      <c r="E5333">
        <v>2</v>
      </c>
      <c r="F5333" t="s">
        <v>1020</v>
      </c>
      <c r="G5333" t="s">
        <v>32</v>
      </c>
      <c r="H5333" t="s">
        <v>33</v>
      </c>
      <c r="I5333" t="s">
        <v>59</v>
      </c>
      <c r="AB5333" t="s">
        <v>86</v>
      </c>
      <c r="AC5333" t="s">
        <v>87</v>
      </c>
    </row>
    <row r="5334" spans="1:30" x14ac:dyDescent="0.35">
      <c r="A5334" s="7">
        <v>42947</v>
      </c>
      <c r="B5334" t="s">
        <v>30</v>
      </c>
      <c r="C5334">
        <v>701</v>
      </c>
      <c r="D5334">
        <v>10</v>
      </c>
      <c r="E5334">
        <v>1</v>
      </c>
      <c r="F5334" t="s">
        <v>1020</v>
      </c>
      <c r="G5334" t="s">
        <v>32</v>
      </c>
      <c r="H5334" t="s">
        <v>33</v>
      </c>
      <c r="I5334" t="s">
        <v>59</v>
      </c>
      <c r="AB5334" t="s">
        <v>86</v>
      </c>
      <c r="AC5334" t="s">
        <v>87</v>
      </c>
    </row>
    <row r="5335" spans="1:30" x14ac:dyDescent="0.35">
      <c r="A5335" s="7">
        <v>42947</v>
      </c>
      <c r="B5335" t="s">
        <v>30</v>
      </c>
      <c r="C5335">
        <v>701</v>
      </c>
      <c r="D5335">
        <v>10</v>
      </c>
      <c r="E5335">
        <v>2</v>
      </c>
      <c r="F5335" t="s">
        <v>1020</v>
      </c>
      <c r="G5335" t="s">
        <v>32</v>
      </c>
      <c r="H5335" t="s">
        <v>33</v>
      </c>
      <c r="I5335" t="s">
        <v>59</v>
      </c>
      <c r="AB5335" t="s">
        <v>86</v>
      </c>
      <c r="AC5335" t="s">
        <v>87</v>
      </c>
    </row>
    <row r="5336" spans="1:30" x14ac:dyDescent="0.35">
      <c r="A5336" s="7">
        <v>42947</v>
      </c>
      <c r="B5336" t="s">
        <v>30</v>
      </c>
      <c r="C5336">
        <v>703</v>
      </c>
      <c r="D5336">
        <v>3</v>
      </c>
      <c r="E5336">
        <v>1</v>
      </c>
      <c r="F5336" t="s">
        <v>1020</v>
      </c>
      <c r="G5336" t="s">
        <v>32</v>
      </c>
      <c r="H5336" t="s">
        <v>33</v>
      </c>
      <c r="I5336" t="s">
        <v>94</v>
      </c>
      <c r="J5336" t="s">
        <v>44</v>
      </c>
      <c r="K5336" t="s">
        <v>36</v>
      </c>
      <c r="L5336" t="s">
        <v>45</v>
      </c>
      <c r="M5336">
        <v>0</v>
      </c>
      <c r="N5336">
        <v>0</v>
      </c>
      <c r="P5336">
        <v>39759</v>
      </c>
      <c r="Q5336">
        <f>35-13</f>
        <v>22</v>
      </c>
      <c r="R5336" t="s">
        <v>1021</v>
      </c>
      <c r="S5336" t="s">
        <v>102</v>
      </c>
      <c r="AB5336" t="s">
        <v>86</v>
      </c>
      <c r="AC5336" t="s">
        <v>87</v>
      </c>
    </row>
    <row r="5337" spans="1:30" x14ac:dyDescent="0.35">
      <c r="A5337" s="7">
        <v>42947</v>
      </c>
      <c r="B5337" t="s">
        <v>30</v>
      </c>
      <c r="C5337">
        <v>703</v>
      </c>
      <c r="D5337">
        <v>4</v>
      </c>
      <c r="E5337">
        <v>1</v>
      </c>
      <c r="F5337" t="s">
        <v>1020</v>
      </c>
      <c r="G5337" t="s">
        <v>32</v>
      </c>
      <c r="H5337" t="s">
        <v>33</v>
      </c>
      <c r="I5337" t="s">
        <v>43</v>
      </c>
      <c r="J5337" t="s">
        <v>44</v>
      </c>
      <c r="K5337" t="s">
        <v>36</v>
      </c>
      <c r="L5337" t="s">
        <v>37</v>
      </c>
      <c r="M5337">
        <v>0</v>
      </c>
      <c r="N5337">
        <v>0</v>
      </c>
      <c r="O5337">
        <v>39741</v>
      </c>
      <c r="P5337">
        <v>39740</v>
      </c>
      <c r="Q5337">
        <f>37-14</f>
        <v>23</v>
      </c>
      <c r="R5337" t="s">
        <v>38</v>
      </c>
      <c r="AB5337" t="s">
        <v>86</v>
      </c>
      <c r="AC5337" t="s">
        <v>87</v>
      </c>
    </row>
    <row r="5338" spans="1:30" x14ac:dyDescent="0.35">
      <c r="A5338" s="7">
        <v>42947</v>
      </c>
      <c r="B5338" t="s">
        <v>30</v>
      </c>
      <c r="C5338">
        <v>703</v>
      </c>
      <c r="D5338">
        <v>7</v>
      </c>
      <c r="E5338">
        <v>1</v>
      </c>
      <c r="F5338" t="s">
        <v>1020</v>
      </c>
      <c r="G5338" t="s">
        <v>32</v>
      </c>
      <c r="H5338" t="s">
        <v>33</v>
      </c>
      <c r="I5338" t="s">
        <v>43</v>
      </c>
      <c r="J5338" t="s">
        <v>44</v>
      </c>
      <c r="K5338" t="s">
        <v>36</v>
      </c>
      <c r="L5338" t="s">
        <v>37</v>
      </c>
      <c r="M5338">
        <v>0</v>
      </c>
      <c r="N5338">
        <v>0</v>
      </c>
      <c r="O5338">
        <v>39747</v>
      </c>
      <c r="P5338">
        <v>39746</v>
      </c>
      <c r="Q5338">
        <f>34-14</f>
        <v>20</v>
      </c>
      <c r="R5338" t="s">
        <v>38</v>
      </c>
      <c r="Z5338" t="s">
        <v>102</v>
      </c>
      <c r="AB5338" t="s">
        <v>86</v>
      </c>
      <c r="AC5338" t="s">
        <v>87</v>
      </c>
    </row>
    <row r="5339" spans="1:30" x14ac:dyDescent="0.35">
      <c r="A5339" s="7">
        <v>42947</v>
      </c>
      <c r="B5339" t="s">
        <v>30</v>
      </c>
      <c r="C5339">
        <v>801</v>
      </c>
      <c r="D5339">
        <v>1</v>
      </c>
      <c r="E5339">
        <v>1</v>
      </c>
      <c r="F5339" t="s">
        <v>1020</v>
      </c>
      <c r="G5339" t="s">
        <v>32</v>
      </c>
      <c r="H5339" t="s">
        <v>33</v>
      </c>
      <c r="I5339" t="s">
        <v>59</v>
      </c>
      <c r="AB5339" t="s">
        <v>86</v>
      </c>
      <c r="AC5339" t="s">
        <v>87</v>
      </c>
    </row>
    <row r="5340" spans="1:30" x14ac:dyDescent="0.35">
      <c r="A5340" s="7">
        <v>42947</v>
      </c>
      <c r="B5340" t="s">
        <v>30</v>
      </c>
      <c r="C5340">
        <v>801</v>
      </c>
      <c r="D5340">
        <v>3</v>
      </c>
      <c r="E5340">
        <v>1</v>
      </c>
      <c r="F5340" t="s">
        <v>1020</v>
      </c>
      <c r="G5340" t="s">
        <v>32</v>
      </c>
      <c r="H5340" t="s">
        <v>33</v>
      </c>
      <c r="I5340" t="s">
        <v>58</v>
      </c>
      <c r="J5340" t="s">
        <v>44</v>
      </c>
      <c r="K5340" t="s">
        <v>36</v>
      </c>
      <c r="L5340" t="s">
        <v>37</v>
      </c>
      <c r="M5340">
        <v>0</v>
      </c>
      <c r="N5340">
        <v>0</v>
      </c>
      <c r="O5340">
        <v>39780</v>
      </c>
      <c r="R5340" t="s">
        <v>64</v>
      </c>
      <c r="AB5340" t="s">
        <v>86</v>
      </c>
      <c r="AC5340" t="s">
        <v>87</v>
      </c>
    </row>
    <row r="5341" spans="1:30" x14ac:dyDescent="0.35">
      <c r="A5341" s="7">
        <v>42947</v>
      </c>
      <c r="B5341" t="s">
        <v>30</v>
      </c>
      <c r="C5341">
        <v>801</v>
      </c>
      <c r="D5341">
        <v>4</v>
      </c>
      <c r="E5341">
        <v>1</v>
      </c>
      <c r="F5341" t="s">
        <v>1020</v>
      </c>
      <c r="G5341" t="s">
        <v>32</v>
      </c>
      <c r="H5341" t="s">
        <v>33</v>
      </c>
      <c r="I5341" t="s">
        <v>58</v>
      </c>
      <c r="J5341" t="s">
        <v>44</v>
      </c>
      <c r="K5341" t="s">
        <v>36</v>
      </c>
      <c r="L5341" t="s">
        <v>37</v>
      </c>
      <c r="M5341">
        <v>0</v>
      </c>
      <c r="N5341">
        <v>0</v>
      </c>
      <c r="O5341">
        <v>39357</v>
      </c>
      <c r="Q5341">
        <f>40-15</f>
        <v>25</v>
      </c>
      <c r="R5341" t="s">
        <v>64</v>
      </c>
      <c r="AB5341" t="s">
        <v>86</v>
      </c>
      <c r="AC5341" t="s">
        <v>87</v>
      </c>
      <c r="AD5341" t="s">
        <v>1082</v>
      </c>
    </row>
    <row r="5342" spans="1:30" x14ac:dyDescent="0.35">
      <c r="A5342" s="7">
        <v>42947</v>
      </c>
      <c r="B5342" t="s">
        <v>30</v>
      </c>
      <c r="C5342">
        <v>801</v>
      </c>
      <c r="D5342">
        <v>4</v>
      </c>
      <c r="E5342">
        <v>2</v>
      </c>
      <c r="F5342" t="s">
        <v>1020</v>
      </c>
      <c r="G5342" t="s">
        <v>32</v>
      </c>
      <c r="H5342" t="s">
        <v>33</v>
      </c>
      <c r="I5342" t="s">
        <v>59</v>
      </c>
      <c r="AB5342" t="s">
        <v>86</v>
      </c>
      <c r="AC5342" t="s">
        <v>87</v>
      </c>
    </row>
    <row r="5343" spans="1:30" x14ac:dyDescent="0.35">
      <c r="A5343" s="7">
        <v>42947</v>
      </c>
      <c r="B5343" t="s">
        <v>30</v>
      </c>
      <c r="C5343">
        <v>801</v>
      </c>
      <c r="D5343">
        <v>5</v>
      </c>
      <c r="E5343">
        <v>1</v>
      </c>
      <c r="F5343" t="s">
        <v>1020</v>
      </c>
      <c r="G5343" t="s">
        <v>32</v>
      </c>
      <c r="H5343" t="s">
        <v>33</v>
      </c>
      <c r="I5343" t="s">
        <v>59</v>
      </c>
      <c r="AB5343" t="s">
        <v>86</v>
      </c>
      <c r="AC5343" t="s">
        <v>87</v>
      </c>
    </row>
    <row r="5344" spans="1:30" x14ac:dyDescent="0.35">
      <c r="A5344" s="7">
        <v>42947</v>
      </c>
      <c r="B5344" t="s">
        <v>30</v>
      </c>
      <c r="C5344">
        <v>801</v>
      </c>
      <c r="D5344">
        <v>5</v>
      </c>
      <c r="E5344">
        <v>2</v>
      </c>
      <c r="F5344" t="s">
        <v>1020</v>
      </c>
      <c r="G5344" t="s">
        <v>32</v>
      </c>
      <c r="H5344" t="s">
        <v>33</v>
      </c>
      <c r="I5344" t="s">
        <v>59</v>
      </c>
      <c r="AB5344" t="s">
        <v>86</v>
      </c>
      <c r="AC5344" t="s">
        <v>87</v>
      </c>
    </row>
    <row r="5345" spans="1:30" x14ac:dyDescent="0.35">
      <c r="A5345" s="7">
        <v>42947</v>
      </c>
      <c r="B5345" t="s">
        <v>30</v>
      </c>
      <c r="C5345">
        <v>801</v>
      </c>
      <c r="D5345">
        <v>6</v>
      </c>
      <c r="E5345">
        <v>1</v>
      </c>
      <c r="F5345" t="s">
        <v>1020</v>
      </c>
      <c r="G5345" t="s">
        <v>32</v>
      </c>
      <c r="H5345" t="s">
        <v>33</v>
      </c>
      <c r="I5345" t="s">
        <v>59</v>
      </c>
      <c r="AB5345" t="s">
        <v>86</v>
      </c>
      <c r="AC5345" t="s">
        <v>87</v>
      </c>
    </row>
    <row r="5346" spans="1:30" x14ac:dyDescent="0.35">
      <c r="A5346" s="7">
        <v>42947</v>
      </c>
      <c r="B5346" t="s">
        <v>30</v>
      </c>
      <c r="C5346">
        <v>801</v>
      </c>
      <c r="D5346">
        <v>6</v>
      </c>
      <c r="E5346">
        <v>2</v>
      </c>
      <c r="F5346" t="s">
        <v>1020</v>
      </c>
      <c r="G5346" t="s">
        <v>32</v>
      </c>
      <c r="H5346" t="s">
        <v>33</v>
      </c>
      <c r="I5346" t="s">
        <v>72</v>
      </c>
      <c r="J5346" t="s">
        <v>56</v>
      </c>
      <c r="AB5346" t="s">
        <v>86</v>
      </c>
      <c r="AC5346" t="s">
        <v>87</v>
      </c>
    </row>
    <row r="5347" spans="1:30" x14ac:dyDescent="0.35">
      <c r="A5347" s="7">
        <v>42947</v>
      </c>
      <c r="B5347" t="s">
        <v>30</v>
      </c>
      <c r="C5347">
        <v>801</v>
      </c>
      <c r="D5347">
        <v>7</v>
      </c>
      <c r="E5347">
        <v>1</v>
      </c>
      <c r="F5347" t="s">
        <v>1020</v>
      </c>
      <c r="G5347" t="s">
        <v>32</v>
      </c>
      <c r="H5347" t="s">
        <v>33</v>
      </c>
      <c r="I5347" t="s">
        <v>59</v>
      </c>
      <c r="AB5347" t="s">
        <v>86</v>
      </c>
      <c r="AC5347" t="s">
        <v>87</v>
      </c>
    </row>
    <row r="5348" spans="1:30" x14ac:dyDescent="0.35">
      <c r="A5348" s="7">
        <v>42947</v>
      </c>
      <c r="B5348" t="s">
        <v>30</v>
      </c>
      <c r="C5348">
        <v>801</v>
      </c>
      <c r="D5348">
        <v>7</v>
      </c>
      <c r="E5348">
        <v>2</v>
      </c>
      <c r="F5348" t="s">
        <v>1020</v>
      </c>
      <c r="G5348" t="s">
        <v>32</v>
      </c>
      <c r="H5348" t="s">
        <v>33</v>
      </c>
      <c r="I5348" t="s">
        <v>59</v>
      </c>
      <c r="AB5348" t="s">
        <v>86</v>
      </c>
      <c r="AC5348" t="s">
        <v>87</v>
      </c>
    </row>
    <row r="5349" spans="1:30" x14ac:dyDescent="0.35">
      <c r="A5349" s="7">
        <v>42947</v>
      </c>
      <c r="B5349" t="s">
        <v>30</v>
      </c>
      <c r="C5349">
        <v>801</v>
      </c>
      <c r="D5349">
        <v>8</v>
      </c>
      <c r="E5349">
        <v>1</v>
      </c>
      <c r="F5349" t="s">
        <v>1020</v>
      </c>
      <c r="G5349" t="s">
        <v>32</v>
      </c>
      <c r="H5349" t="s">
        <v>33</v>
      </c>
      <c r="I5349" t="s">
        <v>58</v>
      </c>
      <c r="J5349" t="s">
        <v>44</v>
      </c>
      <c r="K5349" t="s">
        <v>36</v>
      </c>
      <c r="L5349" t="s">
        <v>45</v>
      </c>
      <c r="M5349">
        <v>0</v>
      </c>
      <c r="N5349">
        <v>0</v>
      </c>
      <c r="O5349">
        <v>39356</v>
      </c>
      <c r="Q5349">
        <f>32-13</f>
        <v>19</v>
      </c>
      <c r="R5349" t="s">
        <v>46</v>
      </c>
      <c r="S5349" t="s">
        <v>39</v>
      </c>
      <c r="AB5349" t="s">
        <v>86</v>
      </c>
      <c r="AC5349" t="s">
        <v>87</v>
      </c>
      <c r="AD5349" t="s">
        <v>1083</v>
      </c>
    </row>
    <row r="5350" spans="1:30" x14ac:dyDescent="0.35">
      <c r="A5350" s="7">
        <v>42947</v>
      </c>
      <c r="B5350" t="s">
        <v>30</v>
      </c>
      <c r="C5350">
        <v>801</v>
      </c>
      <c r="D5350">
        <v>8</v>
      </c>
      <c r="E5350">
        <v>2</v>
      </c>
      <c r="F5350" t="s">
        <v>1020</v>
      </c>
      <c r="G5350" t="s">
        <v>32</v>
      </c>
      <c r="H5350" t="s">
        <v>33</v>
      </c>
      <c r="I5350" t="s">
        <v>59</v>
      </c>
      <c r="AB5350" t="s">
        <v>86</v>
      </c>
      <c r="AC5350" t="s">
        <v>87</v>
      </c>
    </row>
    <row r="5351" spans="1:30" x14ac:dyDescent="0.35">
      <c r="A5351" s="7">
        <v>42947</v>
      </c>
      <c r="B5351" t="s">
        <v>30</v>
      </c>
      <c r="C5351">
        <v>801</v>
      </c>
      <c r="D5351">
        <v>9</v>
      </c>
      <c r="E5351">
        <v>1</v>
      </c>
      <c r="F5351" t="s">
        <v>1020</v>
      </c>
      <c r="G5351" t="s">
        <v>32</v>
      </c>
      <c r="H5351" t="s">
        <v>33</v>
      </c>
      <c r="I5351" t="s">
        <v>59</v>
      </c>
      <c r="AB5351" t="s">
        <v>86</v>
      </c>
      <c r="AC5351" t="s">
        <v>87</v>
      </c>
    </row>
    <row r="5352" spans="1:30" x14ac:dyDescent="0.35">
      <c r="A5352" s="7">
        <v>42947</v>
      </c>
      <c r="B5352" t="s">
        <v>30</v>
      </c>
      <c r="C5352">
        <v>801</v>
      </c>
      <c r="D5352">
        <v>10</v>
      </c>
      <c r="E5352">
        <v>1</v>
      </c>
      <c r="F5352" t="s">
        <v>1020</v>
      </c>
      <c r="G5352" t="s">
        <v>32</v>
      </c>
      <c r="H5352" t="s">
        <v>33</v>
      </c>
      <c r="I5352" t="s">
        <v>43</v>
      </c>
      <c r="J5352" t="s">
        <v>44</v>
      </c>
      <c r="K5352" t="s">
        <v>36</v>
      </c>
      <c r="L5352" t="s">
        <v>37</v>
      </c>
      <c r="M5352">
        <v>0</v>
      </c>
      <c r="N5352">
        <v>0</v>
      </c>
      <c r="O5352">
        <v>39129</v>
      </c>
      <c r="P5352">
        <v>39769</v>
      </c>
      <c r="Q5352">
        <f>36-14</f>
        <v>22</v>
      </c>
      <c r="R5352" t="s">
        <v>38</v>
      </c>
      <c r="AB5352" t="s">
        <v>86</v>
      </c>
      <c r="AC5352" t="s">
        <v>87</v>
      </c>
    </row>
    <row r="5353" spans="1:30" x14ac:dyDescent="0.35">
      <c r="A5353" s="7">
        <v>42947</v>
      </c>
      <c r="B5353" t="s">
        <v>30</v>
      </c>
      <c r="C5353">
        <v>803</v>
      </c>
      <c r="D5353">
        <v>3</v>
      </c>
      <c r="E5353">
        <v>1</v>
      </c>
      <c r="F5353" t="s">
        <v>1020</v>
      </c>
      <c r="G5353" t="s">
        <v>32</v>
      </c>
      <c r="H5353" t="s">
        <v>33</v>
      </c>
      <c r="I5353" t="s">
        <v>1029</v>
      </c>
      <c r="J5353" t="s">
        <v>56</v>
      </c>
      <c r="AB5353" t="s">
        <v>86</v>
      </c>
      <c r="AC5353" t="s">
        <v>87</v>
      </c>
    </row>
    <row r="5354" spans="1:30" x14ac:dyDescent="0.35">
      <c r="A5354" s="7">
        <v>42947</v>
      </c>
      <c r="B5354" t="s">
        <v>30</v>
      </c>
      <c r="C5354">
        <v>803</v>
      </c>
      <c r="D5354">
        <v>4</v>
      </c>
      <c r="E5354">
        <v>1</v>
      </c>
      <c r="F5354" t="s">
        <v>1020</v>
      </c>
      <c r="G5354" t="s">
        <v>32</v>
      </c>
      <c r="H5354" t="s">
        <v>33</v>
      </c>
      <c r="I5354" t="s">
        <v>59</v>
      </c>
      <c r="AB5354" t="s">
        <v>86</v>
      </c>
      <c r="AC5354" t="s">
        <v>87</v>
      </c>
    </row>
    <row r="5355" spans="1:30" x14ac:dyDescent="0.35">
      <c r="A5355" s="7">
        <v>42947</v>
      </c>
      <c r="B5355" t="s">
        <v>30</v>
      </c>
      <c r="C5355">
        <v>803</v>
      </c>
      <c r="D5355">
        <v>7</v>
      </c>
      <c r="E5355">
        <v>1</v>
      </c>
      <c r="F5355" t="s">
        <v>1020</v>
      </c>
      <c r="G5355" t="s">
        <v>32</v>
      </c>
      <c r="H5355" t="s">
        <v>33</v>
      </c>
      <c r="I5355" t="s">
        <v>59</v>
      </c>
      <c r="AB5355" t="s">
        <v>86</v>
      </c>
      <c r="AC5355" t="s">
        <v>87</v>
      </c>
    </row>
    <row r="5356" spans="1:30" x14ac:dyDescent="0.35">
      <c r="A5356" s="7">
        <v>42947</v>
      </c>
      <c r="B5356" t="s">
        <v>30</v>
      </c>
      <c r="C5356">
        <v>803</v>
      </c>
      <c r="D5356">
        <v>8</v>
      </c>
      <c r="E5356">
        <v>1</v>
      </c>
      <c r="F5356" t="s">
        <v>1020</v>
      </c>
      <c r="G5356" t="s">
        <v>32</v>
      </c>
      <c r="H5356" t="s">
        <v>33</v>
      </c>
      <c r="I5356" t="s">
        <v>94</v>
      </c>
      <c r="J5356" t="s">
        <v>44</v>
      </c>
      <c r="K5356" t="s">
        <v>36</v>
      </c>
      <c r="L5356" t="s">
        <v>45</v>
      </c>
      <c r="M5356">
        <v>0</v>
      </c>
      <c r="N5356">
        <v>0</v>
      </c>
      <c r="P5356">
        <v>50615</v>
      </c>
      <c r="Q5356">
        <f>38-13</f>
        <v>25</v>
      </c>
      <c r="R5356" t="s">
        <v>1021</v>
      </c>
      <c r="S5356" t="s">
        <v>102</v>
      </c>
      <c r="AB5356" t="s">
        <v>86</v>
      </c>
      <c r="AC5356" t="s">
        <v>87</v>
      </c>
      <c r="AD5356" t="s">
        <v>1084</v>
      </c>
    </row>
    <row r="5357" spans="1:30" x14ac:dyDescent="0.35">
      <c r="A5357" s="7">
        <v>42947</v>
      </c>
      <c r="B5357" t="s">
        <v>30</v>
      </c>
      <c r="C5357">
        <v>803</v>
      </c>
      <c r="D5357">
        <v>8</v>
      </c>
      <c r="E5357">
        <v>2</v>
      </c>
      <c r="F5357" t="s">
        <v>1020</v>
      </c>
      <c r="G5357" t="s">
        <v>32</v>
      </c>
      <c r="H5357" t="s">
        <v>33</v>
      </c>
      <c r="I5357" t="s">
        <v>59</v>
      </c>
      <c r="AB5357" t="s">
        <v>86</v>
      </c>
      <c r="AC5357" t="s">
        <v>87</v>
      </c>
    </row>
    <row r="5358" spans="1:30" x14ac:dyDescent="0.35">
      <c r="A5358" s="7">
        <v>42947</v>
      </c>
      <c r="B5358" t="s">
        <v>30</v>
      </c>
      <c r="C5358">
        <v>803</v>
      </c>
      <c r="D5358">
        <v>10</v>
      </c>
      <c r="E5358">
        <v>1</v>
      </c>
      <c r="F5358" t="s">
        <v>1020</v>
      </c>
      <c r="G5358" t="s">
        <v>32</v>
      </c>
      <c r="H5358" t="s">
        <v>33</v>
      </c>
      <c r="I5358" t="s">
        <v>94</v>
      </c>
      <c r="J5358" t="s">
        <v>44</v>
      </c>
      <c r="K5358" t="s">
        <v>36</v>
      </c>
      <c r="L5358" t="s">
        <v>45</v>
      </c>
      <c r="M5358">
        <v>0</v>
      </c>
      <c r="N5358">
        <v>0</v>
      </c>
      <c r="O5358">
        <v>39783</v>
      </c>
      <c r="Q5358">
        <f>43-14</f>
        <v>29</v>
      </c>
      <c r="R5358" t="s">
        <v>1028</v>
      </c>
      <c r="S5358" t="s">
        <v>102</v>
      </c>
      <c r="AB5358" t="s">
        <v>86</v>
      </c>
      <c r="AC5358" t="s">
        <v>87</v>
      </c>
    </row>
    <row r="5359" spans="1:30" x14ac:dyDescent="0.35">
      <c r="A5359" s="7">
        <v>42947</v>
      </c>
      <c r="B5359" t="s">
        <v>30</v>
      </c>
      <c r="C5359">
        <v>803</v>
      </c>
      <c r="D5359">
        <v>10</v>
      </c>
      <c r="E5359">
        <v>2</v>
      </c>
      <c r="F5359" t="s">
        <v>1020</v>
      </c>
      <c r="G5359" t="s">
        <v>32</v>
      </c>
      <c r="H5359" t="s">
        <v>33</v>
      </c>
      <c r="I5359" t="s">
        <v>59</v>
      </c>
      <c r="AB5359" t="s">
        <v>86</v>
      </c>
      <c r="AC5359" t="s">
        <v>87</v>
      </c>
    </row>
    <row r="5360" spans="1:30" x14ac:dyDescent="0.35">
      <c r="A5360" s="7">
        <v>42947</v>
      </c>
      <c r="B5360" t="s">
        <v>30</v>
      </c>
      <c r="C5360">
        <v>901</v>
      </c>
      <c r="D5360">
        <v>1</v>
      </c>
      <c r="E5360">
        <v>1</v>
      </c>
      <c r="F5360" t="s">
        <v>1020</v>
      </c>
      <c r="G5360" t="s">
        <v>32</v>
      </c>
      <c r="H5360" t="s">
        <v>33</v>
      </c>
      <c r="I5360" t="s">
        <v>59</v>
      </c>
      <c r="AB5360" t="s">
        <v>86</v>
      </c>
      <c r="AC5360" t="s">
        <v>87</v>
      </c>
    </row>
    <row r="5361" spans="1:29" x14ac:dyDescent="0.35">
      <c r="A5361" s="7">
        <v>42947</v>
      </c>
      <c r="B5361" t="s">
        <v>30</v>
      </c>
      <c r="C5361">
        <v>901</v>
      </c>
      <c r="D5361">
        <v>1</v>
      </c>
      <c r="E5361">
        <v>2</v>
      </c>
      <c r="F5361" t="s">
        <v>1020</v>
      </c>
      <c r="G5361" t="s">
        <v>32</v>
      </c>
      <c r="H5361" t="s">
        <v>33</v>
      </c>
      <c r="I5361" t="s">
        <v>43</v>
      </c>
      <c r="J5361" t="s">
        <v>44</v>
      </c>
      <c r="K5361" t="s">
        <v>36</v>
      </c>
      <c r="L5361" t="s">
        <v>45</v>
      </c>
      <c r="M5361">
        <v>0</v>
      </c>
      <c r="N5361">
        <v>0</v>
      </c>
      <c r="O5361">
        <v>39764</v>
      </c>
      <c r="P5361">
        <v>39763</v>
      </c>
      <c r="Q5361">
        <f>44-14</f>
        <v>30</v>
      </c>
      <c r="R5361" t="s">
        <v>1028</v>
      </c>
      <c r="S5361" t="s">
        <v>102</v>
      </c>
      <c r="AB5361" t="s">
        <v>86</v>
      </c>
      <c r="AC5361" t="s">
        <v>87</v>
      </c>
    </row>
    <row r="5362" spans="1:29" x14ac:dyDescent="0.35">
      <c r="A5362" s="7">
        <v>42948</v>
      </c>
      <c r="B5362" t="s">
        <v>30</v>
      </c>
      <c r="C5362">
        <v>303</v>
      </c>
      <c r="D5362">
        <v>1</v>
      </c>
      <c r="E5362">
        <v>1</v>
      </c>
      <c r="F5362" t="s">
        <v>315</v>
      </c>
      <c r="G5362" t="s">
        <v>32</v>
      </c>
      <c r="H5362" t="s">
        <v>33</v>
      </c>
      <c r="I5362" t="s">
        <v>72</v>
      </c>
      <c r="J5362" t="s">
        <v>56</v>
      </c>
      <c r="AB5362" t="s">
        <v>47</v>
      </c>
      <c r="AC5362" t="s">
        <v>41</v>
      </c>
    </row>
    <row r="5363" spans="1:29" x14ac:dyDescent="0.35">
      <c r="A5363" s="7">
        <v>42948</v>
      </c>
      <c r="B5363" t="s">
        <v>30</v>
      </c>
      <c r="C5363">
        <v>303</v>
      </c>
      <c r="D5363">
        <v>1</v>
      </c>
      <c r="E5363">
        <v>2</v>
      </c>
      <c r="F5363" t="s">
        <v>315</v>
      </c>
      <c r="G5363" t="s">
        <v>32</v>
      </c>
      <c r="H5363" t="s">
        <v>33</v>
      </c>
      <c r="I5363" t="s">
        <v>59</v>
      </c>
      <c r="AB5363" t="s">
        <v>47</v>
      </c>
      <c r="AC5363" t="s">
        <v>41</v>
      </c>
    </row>
    <row r="5364" spans="1:29" x14ac:dyDescent="0.35">
      <c r="A5364" s="7">
        <v>42948</v>
      </c>
      <c r="B5364" t="s">
        <v>30</v>
      </c>
      <c r="C5364">
        <v>303</v>
      </c>
      <c r="D5364">
        <v>2</v>
      </c>
      <c r="E5364">
        <v>1</v>
      </c>
      <c r="F5364" t="s">
        <v>315</v>
      </c>
      <c r="G5364" t="s">
        <v>32</v>
      </c>
      <c r="H5364" t="s">
        <v>33</v>
      </c>
      <c r="I5364" t="s">
        <v>59</v>
      </c>
      <c r="AB5364" t="s">
        <v>47</v>
      </c>
      <c r="AC5364" t="s">
        <v>41</v>
      </c>
    </row>
    <row r="5365" spans="1:29" x14ac:dyDescent="0.35">
      <c r="A5365" s="7">
        <v>42948</v>
      </c>
      <c r="B5365" t="s">
        <v>30</v>
      </c>
      <c r="C5365">
        <v>303</v>
      </c>
      <c r="D5365">
        <v>2</v>
      </c>
      <c r="E5365">
        <v>2</v>
      </c>
      <c r="F5365" t="s">
        <v>315</v>
      </c>
      <c r="G5365" t="s">
        <v>32</v>
      </c>
      <c r="H5365" t="s">
        <v>33</v>
      </c>
      <c r="I5365" t="s">
        <v>43</v>
      </c>
      <c r="J5365" t="s">
        <v>35</v>
      </c>
      <c r="K5365" t="s">
        <v>88</v>
      </c>
      <c r="L5365" t="s">
        <v>45</v>
      </c>
      <c r="M5365">
        <v>0</v>
      </c>
      <c r="N5365">
        <v>1</v>
      </c>
      <c r="O5365">
        <v>39443</v>
      </c>
      <c r="P5365">
        <v>39442</v>
      </c>
      <c r="Q5365">
        <f>26-13</f>
        <v>13</v>
      </c>
      <c r="R5365" t="s">
        <v>46</v>
      </c>
      <c r="S5365" t="s">
        <v>39</v>
      </c>
      <c r="Z5365" t="s">
        <v>102</v>
      </c>
      <c r="AB5365" t="s">
        <v>47</v>
      </c>
      <c r="AC5365" t="s">
        <v>41</v>
      </c>
    </row>
    <row r="5366" spans="1:29" x14ac:dyDescent="0.35">
      <c r="A5366" s="7">
        <v>42948</v>
      </c>
      <c r="B5366" t="s">
        <v>30</v>
      </c>
      <c r="C5366">
        <v>303</v>
      </c>
      <c r="D5366">
        <v>3</v>
      </c>
      <c r="E5366">
        <v>1</v>
      </c>
      <c r="F5366" t="s">
        <v>315</v>
      </c>
      <c r="G5366" t="s">
        <v>32</v>
      </c>
      <c r="H5366" t="s">
        <v>33</v>
      </c>
      <c r="I5366" t="s">
        <v>59</v>
      </c>
      <c r="AB5366" t="s">
        <v>47</v>
      </c>
      <c r="AC5366" t="s">
        <v>41</v>
      </c>
    </row>
    <row r="5367" spans="1:29" x14ac:dyDescent="0.35">
      <c r="A5367" s="7">
        <v>42948</v>
      </c>
      <c r="B5367" t="s">
        <v>30</v>
      </c>
      <c r="C5367">
        <v>303</v>
      </c>
      <c r="D5367">
        <v>3</v>
      </c>
      <c r="E5367">
        <v>2</v>
      </c>
      <c r="F5367" t="s">
        <v>315</v>
      </c>
      <c r="G5367" t="s">
        <v>32</v>
      </c>
      <c r="H5367" t="s">
        <v>33</v>
      </c>
      <c r="I5367" t="s">
        <v>59</v>
      </c>
      <c r="AB5367" t="s">
        <v>47</v>
      </c>
      <c r="AC5367" t="s">
        <v>41</v>
      </c>
    </row>
    <row r="5368" spans="1:29" x14ac:dyDescent="0.35">
      <c r="A5368" s="7">
        <v>42948</v>
      </c>
      <c r="B5368" t="s">
        <v>30</v>
      </c>
      <c r="C5368">
        <v>303</v>
      </c>
      <c r="D5368">
        <v>4</v>
      </c>
      <c r="E5368">
        <v>1</v>
      </c>
      <c r="F5368" t="s">
        <v>315</v>
      </c>
      <c r="G5368" t="s">
        <v>32</v>
      </c>
      <c r="H5368" t="s">
        <v>33</v>
      </c>
      <c r="I5368" t="s">
        <v>59</v>
      </c>
      <c r="AB5368" t="s">
        <v>47</v>
      </c>
      <c r="AC5368" t="s">
        <v>41</v>
      </c>
    </row>
    <row r="5369" spans="1:29" x14ac:dyDescent="0.35">
      <c r="A5369" s="7">
        <v>42948</v>
      </c>
      <c r="B5369" t="s">
        <v>30</v>
      </c>
      <c r="C5369">
        <v>303</v>
      </c>
      <c r="D5369">
        <v>4</v>
      </c>
      <c r="E5369">
        <v>2</v>
      </c>
      <c r="F5369" t="s">
        <v>315</v>
      </c>
      <c r="G5369" t="s">
        <v>32</v>
      </c>
      <c r="H5369" t="s">
        <v>33</v>
      </c>
      <c r="I5369" t="s">
        <v>59</v>
      </c>
      <c r="AB5369" t="s">
        <v>47</v>
      </c>
      <c r="AC5369" t="s">
        <v>41</v>
      </c>
    </row>
    <row r="5370" spans="1:29" x14ac:dyDescent="0.35">
      <c r="A5370" s="7">
        <v>42948</v>
      </c>
      <c r="B5370" t="s">
        <v>30</v>
      </c>
      <c r="C5370">
        <v>303</v>
      </c>
      <c r="D5370">
        <v>5</v>
      </c>
      <c r="E5370">
        <v>1</v>
      </c>
      <c r="F5370" t="s">
        <v>315</v>
      </c>
      <c r="G5370" t="s">
        <v>32</v>
      </c>
      <c r="H5370" t="s">
        <v>33</v>
      </c>
      <c r="I5370" t="s">
        <v>59</v>
      </c>
      <c r="AB5370" t="s">
        <v>47</v>
      </c>
      <c r="AC5370" t="s">
        <v>41</v>
      </c>
    </row>
    <row r="5371" spans="1:29" x14ac:dyDescent="0.35">
      <c r="A5371" s="7">
        <v>42948</v>
      </c>
      <c r="B5371" t="s">
        <v>30</v>
      </c>
      <c r="C5371">
        <v>303</v>
      </c>
      <c r="D5371">
        <v>6</v>
      </c>
      <c r="E5371">
        <v>1</v>
      </c>
      <c r="F5371" t="s">
        <v>315</v>
      </c>
      <c r="G5371" t="s">
        <v>32</v>
      </c>
      <c r="H5371" t="s">
        <v>33</v>
      </c>
      <c r="I5371" t="s">
        <v>59</v>
      </c>
      <c r="AB5371" t="s">
        <v>47</v>
      </c>
      <c r="AC5371" t="s">
        <v>41</v>
      </c>
    </row>
    <row r="5372" spans="1:29" x14ac:dyDescent="0.35">
      <c r="A5372" s="7">
        <v>42948</v>
      </c>
      <c r="B5372" t="s">
        <v>30</v>
      </c>
      <c r="C5372">
        <v>303</v>
      </c>
      <c r="D5372">
        <v>6</v>
      </c>
      <c r="E5372">
        <v>2</v>
      </c>
      <c r="F5372" t="s">
        <v>315</v>
      </c>
      <c r="G5372" t="s">
        <v>32</v>
      </c>
      <c r="H5372" t="s">
        <v>33</v>
      </c>
      <c r="I5372" t="s">
        <v>84</v>
      </c>
      <c r="AB5372" t="s">
        <v>47</v>
      </c>
      <c r="AC5372" t="s">
        <v>41</v>
      </c>
    </row>
    <row r="5373" spans="1:29" x14ac:dyDescent="0.35">
      <c r="A5373" s="7">
        <v>42948</v>
      </c>
      <c r="B5373" t="s">
        <v>30</v>
      </c>
      <c r="C5373">
        <v>303</v>
      </c>
      <c r="D5373">
        <v>7</v>
      </c>
      <c r="E5373">
        <v>1</v>
      </c>
      <c r="F5373" t="s">
        <v>315</v>
      </c>
      <c r="G5373" t="s">
        <v>32</v>
      </c>
      <c r="H5373" t="s">
        <v>33</v>
      </c>
      <c r="I5373" t="s">
        <v>59</v>
      </c>
      <c r="AB5373" t="s">
        <v>47</v>
      </c>
      <c r="AC5373" t="s">
        <v>41</v>
      </c>
    </row>
    <row r="5374" spans="1:29" x14ac:dyDescent="0.35">
      <c r="A5374" s="7">
        <v>42948</v>
      </c>
      <c r="B5374" t="s">
        <v>30</v>
      </c>
      <c r="C5374">
        <v>303</v>
      </c>
      <c r="D5374">
        <v>7</v>
      </c>
      <c r="E5374">
        <v>2</v>
      </c>
      <c r="F5374" t="s">
        <v>315</v>
      </c>
      <c r="G5374" t="s">
        <v>32</v>
      </c>
      <c r="H5374" t="s">
        <v>33</v>
      </c>
      <c r="I5374" t="s">
        <v>59</v>
      </c>
      <c r="AB5374" t="s">
        <v>47</v>
      </c>
      <c r="AC5374" t="s">
        <v>41</v>
      </c>
    </row>
    <row r="5375" spans="1:29" x14ac:dyDescent="0.35">
      <c r="A5375" s="7">
        <v>42948</v>
      </c>
      <c r="B5375" t="s">
        <v>30</v>
      </c>
      <c r="C5375">
        <v>303</v>
      </c>
      <c r="D5375">
        <v>8</v>
      </c>
      <c r="E5375">
        <v>1</v>
      </c>
      <c r="F5375" t="s">
        <v>315</v>
      </c>
      <c r="G5375" t="s">
        <v>32</v>
      </c>
      <c r="H5375" t="s">
        <v>33</v>
      </c>
      <c r="I5375" t="s">
        <v>59</v>
      </c>
      <c r="AB5375" t="s">
        <v>47</v>
      </c>
      <c r="AC5375" t="s">
        <v>41</v>
      </c>
    </row>
    <row r="5376" spans="1:29" x14ac:dyDescent="0.35">
      <c r="A5376" s="7">
        <v>42948</v>
      </c>
      <c r="B5376" t="s">
        <v>30</v>
      </c>
      <c r="C5376">
        <v>303</v>
      </c>
      <c r="D5376">
        <v>9</v>
      </c>
      <c r="E5376">
        <v>1</v>
      </c>
      <c r="F5376" t="s">
        <v>315</v>
      </c>
      <c r="G5376" t="s">
        <v>32</v>
      </c>
      <c r="H5376" t="s">
        <v>33</v>
      </c>
      <c r="I5376" t="s">
        <v>59</v>
      </c>
      <c r="AB5376" t="s">
        <v>47</v>
      </c>
      <c r="AC5376" t="s">
        <v>41</v>
      </c>
    </row>
    <row r="5377" spans="1:30" x14ac:dyDescent="0.35">
      <c r="A5377" s="7">
        <v>42948</v>
      </c>
      <c r="B5377" t="s">
        <v>30</v>
      </c>
      <c r="C5377">
        <v>303</v>
      </c>
      <c r="D5377">
        <v>9</v>
      </c>
      <c r="E5377">
        <v>2</v>
      </c>
      <c r="F5377" t="s">
        <v>315</v>
      </c>
      <c r="G5377" t="s">
        <v>32</v>
      </c>
      <c r="H5377" t="s">
        <v>33</v>
      </c>
      <c r="I5377" t="s">
        <v>59</v>
      </c>
      <c r="AB5377" t="s">
        <v>47</v>
      </c>
      <c r="AC5377" t="s">
        <v>41</v>
      </c>
    </row>
    <row r="5378" spans="1:30" x14ac:dyDescent="0.35">
      <c r="A5378" s="7">
        <v>42948</v>
      </c>
      <c r="B5378" t="s">
        <v>30</v>
      </c>
      <c r="C5378">
        <v>303</v>
      </c>
      <c r="D5378">
        <v>10</v>
      </c>
      <c r="E5378">
        <v>1</v>
      </c>
      <c r="F5378" t="s">
        <v>315</v>
      </c>
      <c r="G5378" t="s">
        <v>32</v>
      </c>
      <c r="H5378" t="s">
        <v>33</v>
      </c>
      <c r="I5378" t="s">
        <v>59</v>
      </c>
      <c r="AB5378" t="s">
        <v>47</v>
      </c>
      <c r="AC5378" t="s">
        <v>41</v>
      </c>
    </row>
    <row r="5379" spans="1:30" x14ac:dyDescent="0.35">
      <c r="A5379" s="7">
        <v>42948</v>
      </c>
      <c r="B5379" t="s">
        <v>30</v>
      </c>
      <c r="C5379">
        <v>303</v>
      </c>
      <c r="D5379">
        <v>10</v>
      </c>
      <c r="E5379">
        <v>2</v>
      </c>
      <c r="F5379" t="s">
        <v>315</v>
      </c>
      <c r="G5379" t="s">
        <v>32</v>
      </c>
      <c r="H5379" t="s">
        <v>33</v>
      </c>
      <c r="I5379" t="s">
        <v>43</v>
      </c>
      <c r="J5379" t="s">
        <v>44</v>
      </c>
      <c r="K5379" t="s">
        <v>113</v>
      </c>
      <c r="L5379" t="s">
        <v>37</v>
      </c>
      <c r="M5379">
        <v>0</v>
      </c>
      <c r="N5379">
        <v>0</v>
      </c>
      <c r="O5379">
        <v>39494</v>
      </c>
      <c r="P5379">
        <v>39493</v>
      </c>
      <c r="R5379" t="s">
        <v>38</v>
      </c>
      <c r="Z5379" t="s">
        <v>102</v>
      </c>
      <c r="AB5379" t="s">
        <v>47</v>
      </c>
      <c r="AC5379" t="s">
        <v>41</v>
      </c>
    </row>
    <row r="5380" spans="1:30" x14ac:dyDescent="0.35">
      <c r="A5380" s="7">
        <v>42948</v>
      </c>
      <c r="B5380" t="s">
        <v>30</v>
      </c>
      <c r="C5380">
        <v>401</v>
      </c>
      <c r="D5380">
        <v>3</v>
      </c>
      <c r="E5380">
        <v>1</v>
      </c>
      <c r="F5380" t="s">
        <v>315</v>
      </c>
      <c r="G5380" t="s">
        <v>32</v>
      </c>
      <c r="H5380" t="s">
        <v>33</v>
      </c>
      <c r="I5380" t="s">
        <v>58</v>
      </c>
      <c r="J5380" t="s">
        <v>44</v>
      </c>
      <c r="K5380" t="s">
        <v>36</v>
      </c>
      <c r="L5380" t="s">
        <v>45</v>
      </c>
      <c r="M5380">
        <v>0</v>
      </c>
      <c r="N5380">
        <v>0</v>
      </c>
      <c r="O5380">
        <v>39325</v>
      </c>
      <c r="Q5380">
        <f>39-14</f>
        <v>25</v>
      </c>
      <c r="R5380" t="s">
        <v>1021</v>
      </c>
      <c r="S5380" t="s">
        <v>102</v>
      </c>
      <c r="Z5380" t="s">
        <v>102</v>
      </c>
      <c r="AB5380" t="s">
        <v>47</v>
      </c>
      <c r="AC5380" t="s">
        <v>41</v>
      </c>
    </row>
    <row r="5381" spans="1:30" x14ac:dyDescent="0.35">
      <c r="A5381" s="7">
        <v>42948</v>
      </c>
      <c r="B5381" t="s">
        <v>30</v>
      </c>
      <c r="C5381">
        <v>401</v>
      </c>
      <c r="D5381">
        <v>5</v>
      </c>
      <c r="E5381">
        <v>1</v>
      </c>
      <c r="F5381" t="s">
        <v>315</v>
      </c>
      <c r="G5381" t="s">
        <v>32</v>
      </c>
      <c r="H5381" t="s">
        <v>33</v>
      </c>
      <c r="I5381" t="s">
        <v>59</v>
      </c>
      <c r="AB5381" t="s">
        <v>47</v>
      </c>
      <c r="AC5381" t="s">
        <v>41</v>
      </c>
    </row>
    <row r="5382" spans="1:30" x14ac:dyDescent="0.35">
      <c r="A5382" s="7">
        <v>42948</v>
      </c>
      <c r="B5382" t="s">
        <v>30</v>
      </c>
      <c r="C5382">
        <v>401</v>
      </c>
      <c r="D5382">
        <v>5</v>
      </c>
      <c r="E5382">
        <v>2</v>
      </c>
      <c r="F5382" t="s">
        <v>315</v>
      </c>
      <c r="G5382" t="s">
        <v>32</v>
      </c>
      <c r="H5382" t="s">
        <v>33</v>
      </c>
      <c r="I5382" t="s">
        <v>59</v>
      </c>
      <c r="AB5382" t="s">
        <v>47</v>
      </c>
      <c r="AC5382" t="s">
        <v>41</v>
      </c>
    </row>
    <row r="5383" spans="1:30" x14ac:dyDescent="0.35">
      <c r="A5383" s="7">
        <v>42948</v>
      </c>
      <c r="B5383" t="s">
        <v>30</v>
      </c>
      <c r="C5383">
        <v>401</v>
      </c>
      <c r="D5383">
        <v>6</v>
      </c>
      <c r="E5383">
        <v>1</v>
      </c>
      <c r="F5383" t="s">
        <v>315</v>
      </c>
      <c r="G5383" t="s">
        <v>32</v>
      </c>
      <c r="H5383" t="s">
        <v>33</v>
      </c>
      <c r="I5383" t="s">
        <v>59</v>
      </c>
      <c r="AB5383" t="s">
        <v>47</v>
      </c>
      <c r="AC5383" t="s">
        <v>41</v>
      </c>
    </row>
    <row r="5384" spans="1:30" x14ac:dyDescent="0.35">
      <c r="A5384" s="7">
        <v>42948</v>
      </c>
      <c r="B5384" t="s">
        <v>30</v>
      </c>
      <c r="C5384">
        <v>401</v>
      </c>
      <c r="D5384">
        <v>7</v>
      </c>
      <c r="E5384">
        <v>1</v>
      </c>
      <c r="F5384" t="s">
        <v>315</v>
      </c>
      <c r="G5384" t="s">
        <v>32</v>
      </c>
      <c r="H5384" t="s">
        <v>33</v>
      </c>
      <c r="I5384" t="s">
        <v>58</v>
      </c>
      <c r="J5384" t="s">
        <v>44</v>
      </c>
      <c r="K5384" t="s">
        <v>36</v>
      </c>
      <c r="L5384" t="s">
        <v>45</v>
      </c>
      <c r="M5384">
        <v>0</v>
      </c>
      <c r="N5384">
        <v>0</v>
      </c>
      <c r="O5384">
        <v>39500</v>
      </c>
      <c r="Q5384">
        <f>40-13</f>
        <v>27</v>
      </c>
      <c r="R5384" t="s">
        <v>1028</v>
      </c>
      <c r="S5384" t="s">
        <v>102</v>
      </c>
      <c r="Z5384" t="s">
        <v>102</v>
      </c>
      <c r="AA5384" t="s">
        <v>1085</v>
      </c>
      <c r="AB5384" t="s">
        <v>47</v>
      </c>
      <c r="AC5384" t="s">
        <v>41</v>
      </c>
      <c r="AD5384" t="s">
        <v>1047</v>
      </c>
    </row>
    <row r="5385" spans="1:30" x14ac:dyDescent="0.35">
      <c r="A5385" s="7">
        <v>42948</v>
      </c>
      <c r="B5385" t="s">
        <v>30</v>
      </c>
      <c r="C5385">
        <v>501</v>
      </c>
      <c r="D5385">
        <v>1</v>
      </c>
      <c r="E5385">
        <v>1</v>
      </c>
      <c r="F5385" t="s">
        <v>315</v>
      </c>
      <c r="G5385" t="s">
        <v>32</v>
      </c>
      <c r="H5385" t="s">
        <v>33</v>
      </c>
      <c r="I5385" t="s">
        <v>59</v>
      </c>
      <c r="AB5385" t="s">
        <v>47</v>
      </c>
      <c r="AC5385" t="s">
        <v>41</v>
      </c>
    </row>
    <row r="5386" spans="1:30" x14ac:dyDescent="0.35">
      <c r="A5386" s="7">
        <v>42948</v>
      </c>
      <c r="B5386" t="s">
        <v>30</v>
      </c>
      <c r="C5386">
        <v>501</v>
      </c>
      <c r="D5386">
        <v>1</v>
      </c>
      <c r="E5386">
        <v>2</v>
      </c>
      <c r="F5386" t="s">
        <v>315</v>
      </c>
      <c r="G5386" t="s">
        <v>32</v>
      </c>
      <c r="H5386" t="s">
        <v>33</v>
      </c>
      <c r="I5386" t="s">
        <v>59</v>
      </c>
      <c r="AB5386" t="s">
        <v>47</v>
      </c>
      <c r="AC5386" t="s">
        <v>41</v>
      </c>
    </row>
    <row r="5387" spans="1:30" x14ac:dyDescent="0.35">
      <c r="A5387" s="7">
        <v>42948</v>
      </c>
      <c r="B5387" t="s">
        <v>30</v>
      </c>
      <c r="C5387">
        <v>501</v>
      </c>
      <c r="D5387">
        <v>2</v>
      </c>
      <c r="E5387">
        <v>1</v>
      </c>
      <c r="F5387" t="s">
        <v>315</v>
      </c>
      <c r="G5387" t="s">
        <v>32</v>
      </c>
      <c r="H5387" t="s">
        <v>33</v>
      </c>
      <c r="I5387" t="s">
        <v>59</v>
      </c>
      <c r="AB5387" t="s">
        <v>47</v>
      </c>
      <c r="AC5387" t="s">
        <v>41</v>
      </c>
    </row>
    <row r="5388" spans="1:30" x14ac:dyDescent="0.35">
      <c r="A5388" s="7">
        <v>42948</v>
      </c>
      <c r="B5388" t="s">
        <v>30</v>
      </c>
      <c r="C5388">
        <v>501</v>
      </c>
      <c r="D5388">
        <v>2</v>
      </c>
      <c r="E5388">
        <v>2</v>
      </c>
      <c r="F5388" t="s">
        <v>315</v>
      </c>
      <c r="G5388" t="s">
        <v>32</v>
      </c>
      <c r="H5388" t="s">
        <v>33</v>
      </c>
      <c r="I5388" t="s">
        <v>59</v>
      </c>
      <c r="AB5388" t="s">
        <v>47</v>
      </c>
      <c r="AC5388" t="s">
        <v>41</v>
      </c>
    </row>
    <row r="5389" spans="1:30" x14ac:dyDescent="0.35">
      <c r="A5389" s="7">
        <v>42948</v>
      </c>
      <c r="B5389" t="s">
        <v>30</v>
      </c>
      <c r="C5389">
        <v>501</v>
      </c>
      <c r="D5389">
        <v>3</v>
      </c>
      <c r="E5389">
        <v>1</v>
      </c>
      <c r="F5389" t="s">
        <v>315</v>
      </c>
      <c r="G5389" t="s">
        <v>32</v>
      </c>
      <c r="H5389" t="s">
        <v>33</v>
      </c>
      <c r="I5389" t="s">
        <v>1029</v>
      </c>
      <c r="J5389" t="s">
        <v>56</v>
      </c>
      <c r="AB5389" t="s">
        <v>47</v>
      </c>
      <c r="AC5389" t="s">
        <v>41</v>
      </c>
    </row>
    <row r="5390" spans="1:30" x14ac:dyDescent="0.35">
      <c r="A5390" s="7">
        <v>42948</v>
      </c>
      <c r="B5390" t="s">
        <v>30</v>
      </c>
      <c r="C5390">
        <v>501</v>
      </c>
      <c r="D5390">
        <v>9</v>
      </c>
      <c r="E5390">
        <v>1</v>
      </c>
      <c r="F5390" t="s">
        <v>315</v>
      </c>
      <c r="G5390" t="s">
        <v>32</v>
      </c>
      <c r="H5390" t="s">
        <v>33</v>
      </c>
      <c r="I5390" t="s">
        <v>1029</v>
      </c>
      <c r="J5390" t="s">
        <v>56</v>
      </c>
      <c r="AB5390" t="s">
        <v>47</v>
      </c>
      <c r="AC5390" t="s">
        <v>41</v>
      </c>
    </row>
    <row r="5391" spans="1:30" x14ac:dyDescent="0.35">
      <c r="A5391" s="7">
        <v>42948</v>
      </c>
      <c r="B5391" t="s">
        <v>30</v>
      </c>
      <c r="C5391">
        <v>501</v>
      </c>
      <c r="D5391">
        <v>10</v>
      </c>
      <c r="E5391">
        <v>1</v>
      </c>
      <c r="F5391" t="s">
        <v>315</v>
      </c>
      <c r="G5391" t="s">
        <v>32</v>
      </c>
      <c r="H5391" t="s">
        <v>33</v>
      </c>
      <c r="I5391" t="s">
        <v>94</v>
      </c>
      <c r="J5391" t="s">
        <v>35</v>
      </c>
      <c r="K5391" t="s">
        <v>36</v>
      </c>
      <c r="L5391" t="s">
        <v>37</v>
      </c>
      <c r="M5391">
        <v>0</v>
      </c>
      <c r="N5391">
        <v>1</v>
      </c>
      <c r="O5391">
        <v>39444</v>
      </c>
      <c r="Q5391">
        <f>43-13</f>
        <v>30</v>
      </c>
      <c r="R5391" t="s">
        <v>38</v>
      </c>
      <c r="Z5391" t="s">
        <v>102</v>
      </c>
      <c r="AB5391" t="s">
        <v>47</v>
      </c>
      <c r="AC5391" t="s">
        <v>41</v>
      </c>
      <c r="AD5391" t="s">
        <v>1055</v>
      </c>
    </row>
    <row r="5392" spans="1:30" x14ac:dyDescent="0.35">
      <c r="A5392" s="7">
        <v>42948</v>
      </c>
      <c r="B5392" t="s">
        <v>30</v>
      </c>
      <c r="C5392">
        <v>503</v>
      </c>
      <c r="D5392">
        <v>1</v>
      </c>
      <c r="E5392">
        <v>1</v>
      </c>
      <c r="F5392" t="s">
        <v>315</v>
      </c>
      <c r="G5392" t="s">
        <v>32</v>
      </c>
      <c r="H5392" t="s">
        <v>33</v>
      </c>
      <c r="I5392" t="s">
        <v>59</v>
      </c>
      <c r="AB5392" t="s">
        <v>47</v>
      </c>
      <c r="AC5392" t="s">
        <v>41</v>
      </c>
    </row>
    <row r="5393" spans="1:29" x14ac:dyDescent="0.35">
      <c r="A5393" s="7">
        <v>42948</v>
      </c>
      <c r="B5393" t="s">
        <v>30</v>
      </c>
      <c r="C5393">
        <v>503</v>
      </c>
      <c r="D5393">
        <v>2</v>
      </c>
      <c r="E5393">
        <v>1</v>
      </c>
      <c r="F5393" t="s">
        <v>315</v>
      </c>
      <c r="G5393" t="s">
        <v>32</v>
      </c>
      <c r="H5393" t="s">
        <v>33</v>
      </c>
      <c r="I5393" t="s">
        <v>43</v>
      </c>
      <c r="J5393" t="s">
        <v>44</v>
      </c>
      <c r="K5393" t="s">
        <v>36</v>
      </c>
      <c r="L5393" t="s">
        <v>45</v>
      </c>
      <c r="M5393">
        <v>0</v>
      </c>
      <c r="N5393">
        <v>0</v>
      </c>
      <c r="O5393">
        <v>39314</v>
      </c>
      <c r="P5393">
        <v>39315</v>
      </c>
      <c r="Q5393">
        <f>34.5-14</f>
        <v>20.5</v>
      </c>
      <c r="R5393" t="s">
        <v>1035</v>
      </c>
      <c r="S5393" t="s">
        <v>102</v>
      </c>
      <c r="Z5393" t="s">
        <v>102</v>
      </c>
      <c r="AB5393" t="s">
        <v>47</v>
      </c>
      <c r="AC5393" t="s">
        <v>41</v>
      </c>
    </row>
    <row r="5394" spans="1:29" x14ac:dyDescent="0.35">
      <c r="A5394" s="7">
        <v>42948</v>
      </c>
      <c r="B5394" t="s">
        <v>30</v>
      </c>
      <c r="C5394">
        <v>503</v>
      </c>
      <c r="D5394">
        <v>3</v>
      </c>
      <c r="E5394">
        <v>1</v>
      </c>
      <c r="F5394" t="s">
        <v>315</v>
      </c>
      <c r="G5394" t="s">
        <v>32</v>
      </c>
      <c r="H5394" t="s">
        <v>33</v>
      </c>
      <c r="I5394" t="s">
        <v>94</v>
      </c>
      <c r="J5394" t="s">
        <v>44</v>
      </c>
      <c r="K5394" t="s">
        <v>36</v>
      </c>
      <c r="L5394" t="s">
        <v>45</v>
      </c>
      <c r="M5394">
        <v>0</v>
      </c>
      <c r="N5394">
        <v>0</v>
      </c>
      <c r="O5394">
        <v>39320</v>
      </c>
      <c r="Q5394">
        <f>36.5-14.5</f>
        <v>22</v>
      </c>
      <c r="R5394" t="s">
        <v>79</v>
      </c>
      <c r="Z5394" t="s">
        <v>102</v>
      </c>
      <c r="AB5394" t="s">
        <v>47</v>
      </c>
      <c r="AC5394" t="s">
        <v>41</v>
      </c>
    </row>
    <row r="5395" spans="1:29" x14ac:dyDescent="0.35">
      <c r="A5395" s="7">
        <v>42948</v>
      </c>
      <c r="B5395" t="s">
        <v>30</v>
      </c>
      <c r="C5395">
        <v>503</v>
      </c>
      <c r="D5395">
        <v>4</v>
      </c>
      <c r="E5395">
        <v>1</v>
      </c>
      <c r="F5395" t="s">
        <v>315</v>
      </c>
      <c r="G5395" t="s">
        <v>32</v>
      </c>
      <c r="H5395" t="s">
        <v>33</v>
      </c>
      <c r="I5395" t="s">
        <v>1029</v>
      </c>
      <c r="J5395" t="s">
        <v>66</v>
      </c>
      <c r="AB5395" t="s">
        <v>47</v>
      </c>
      <c r="AC5395" t="s">
        <v>41</v>
      </c>
    </row>
    <row r="5396" spans="1:29" x14ac:dyDescent="0.35">
      <c r="A5396" s="7">
        <v>42948</v>
      </c>
      <c r="B5396" t="s">
        <v>30</v>
      </c>
      <c r="C5396">
        <v>503</v>
      </c>
      <c r="D5396">
        <v>5</v>
      </c>
      <c r="E5396">
        <v>1</v>
      </c>
      <c r="F5396" t="s">
        <v>315</v>
      </c>
      <c r="G5396" t="s">
        <v>32</v>
      </c>
      <c r="H5396" t="s">
        <v>33</v>
      </c>
      <c r="I5396" t="s">
        <v>94</v>
      </c>
      <c r="J5396" t="s">
        <v>44</v>
      </c>
      <c r="K5396" t="s">
        <v>36</v>
      </c>
      <c r="L5396" t="s">
        <v>45</v>
      </c>
      <c r="M5396">
        <v>0</v>
      </c>
      <c r="N5396">
        <v>0</v>
      </c>
      <c r="O5396">
        <v>39498</v>
      </c>
      <c r="Q5396">
        <f>36.5-15</f>
        <v>21.5</v>
      </c>
      <c r="R5396" t="s">
        <v>1021</v>
      </c>
      <c r="S5396" t="s">
        <v>102</v>
      </c>
      <c r="Z5396" t="s">
        <v>102</v>
      </c>
      <c r="AB5396" t="s">
        <v>47</v>
      </c>
      <c r="AC5396" t="s">
        <v>41</v>
      </c>
    </row>
    <row r="5397" spans="1:29" x14ac:dyDescent="0.35">
      <c r="A5397" s="7">
        <v>42948</v>
      </c>
      <c r="B5397" t="s">
        <v>30</v>
      </c>
      <c r="C5397">
        <v>503</v>
      </c>
      <c r="D5397">
        <v>6</v>
      </c>
      <c r="E5397">
        <v>1</v>
      </c>
      <c r="F5397" t="s">
        <v>315</v>
      </c>
      <c r="G5397" t="s">
        <v>32</v>
      </c>
      <c r="H5397" t="s">
        <v>33</v>
      </c>
      <c r="I5397" t="s">
        <v>59</v>
      </c>
      <c r="AB5397" t="s">
        <v>47</v>
      </c>
      <c r="AC5397" t="s">
        <v>41</v>
      </c>
    </row>
    <row r="5398" spans="1:29" x14ac:dyDescent="0.35">
      <c r="A5398" s="7">
        <v>42948</v>
      </c>
      <c r="B5398" t="s">
        <v>30</v>
      </c>
      <c r="C5398">
        <v>503</v>
      </c>
      <c r="D5398">
        <v>7</v>
      </c>
      <c r="E5398">
        <v>1</v>
      </c>
      <c r="F5398" t="s">
        <v>315</v>
      </c>
      <c r="G5398" t="s">
        <v>32</v>
      </c>
      <c r="H5398" t="s">
        <v>33</v>
      </c>
      <c r="I5398" t="s">
        <v>59</v>
      </c>
      <c r="AB5398" t="s">
        <v>47</v>
      </c>
      <c r="AC5398" t="s">
        <v>41</v>
      </c>
    </row>
    <row r="5399" spans="1:29" x14ac:dyDescent="0.35">
      <c r="A5399" s="7">
        <v>42948</v>
      </c>
      <c r="B5399" t="s">
        <v>30</v>
      </c>
      <c r="C5399">
        <v>503</v>
      </c>
      <c r="D5399">
        <v>7</v>
      </c>
      <c r="E5399">
        <v>2</v>
      </c>
      <c r="F5399" t="s">
        <v>315</v>
      </c>
      <c r="G5399" t="s">
        <v>32</v>
      </c>
      <c r="H5399" t="s">
        <v>33</v>
      </c>
      <c r="I5399" t="s">
        <v>94</v>
      </c>
      <c r="J5399" t="s">
        <v>44</v>
      </c>
      <c r="K5399" t="s">
        <v>36</v>
      </c>
      <c r="L5399" t="s">
        <v>37</v>
      </c>
      <c r="M5399">
        <v>0</v>
      </c>
      <c r="N5399">
        <v>0</v>
      </c>
      <c r="O5399">
        <v>39497</v>
      </c>
      <c r="Q5399">
        <f>35-13</f>
        <v>22</v>
      </c>
      <c r="R5399" t="s">
        <v>38</v>
      </c>
      <c r="Z5399" t="s">
        <v>102</v>
      </c>
      <c r="AB5399" t="s">
        <v>47</v>
      </c>
      <c r="AC5399" t="s">
        <v>41</v>
      </c>
    </row>
    <row r="5400" spans="1:29" x14ac:dyDescent="0.35">
      <c r="A5400" s="7">
        <v>42948</v>
      </c>
      <c r="B5400" t="s">
        <v>30</v>
      </c>
      <c r="C5400">
        <v>503</v>
      </c>
      <c r="D5400">
        <v>8</v>
      </c>
      <c r="E5400">
        <v>1</v>
      </c>
      <c r="F5400" t="s">
        <v>315</v>
      </c>
      <c r="G5400" t="s">
        <v>32</v>
      </c>
      <c r="H5400" t="s">
        <v>33</v>
      </c>
      <c r="I5400" t="s">
        <v>59</v>
      </c>
      <c r="AB5400" t="s">
        <v>47</v>
      </c>
      <c r="AC5400" t="s">
        <v>41</v>
      </c>
    </row>
    <row r="5401" spans="1:29" x14ac:dyDescent="0.35">
      <c r="A5401" s="7">
        <v>42948</v>
      </c>
      <c r="B5401" t="s">
        <v>30</v>
      </c>
      <c r="C5401">
        <v>503</v>
      </c>
      <c r="D5401">
        <v>8</v>
      </c>
      <c r="E5401">
        <v>2</v>
      </c>
      <c r="F5401" t="s">
        <v>315</v>
      </c>
      <c r="G5401" t="s">
        <v>32</v>
      </c>
      <c r="H5401" t="s">
        <v>33</v>
      </c>
      <c r="I5401" t="s">
        <v>59</v>
      </c>
      <c r="AB5401" t="s">
        <v>47</v>
      </c>
      <c r="AC5401" t="s">
        <v>41</v>
      </c>
    </row>
    <row r="5402" spans="1:29" x14ac:dyDescent="0.35">
      <c r="A5402" s="7">
        <v>42948</v>
      </c>
      <c r="B5402" t="s">
        <v>30</v>
      </c>
      <c r="C5402">
        <v>503</v>
      </c>
      <c r="D5402">
        <v>9</v>
      </c>
      <c r="E5402">
        <v>1</v>
      </c>
      <c r="F5402" t="s">
        <v>315</v>
      </c>
      <c r="G5402" t="s">
        <v>32</v>
      </c>
      <c r="H5402" t="s">
        <v>33</v>
      </c>
      <c r="I5402" t="s">
        <v>59</v>
      </c>
      <c r="AB5402" t="s">
        <v>47</v>
      </c>
      <c r="AC5402" t="s">
        <v>41</v>
      </c>
    </row>
    <row r="5403" spans="1:29" x14ac:dyDescent="0.35">
      <c r="A5403" s="7">
        <v>42948</v>
      </c>
      <c r="B5403" t="s">
        <v>30</v>
      </c>
      <c r="C5403">
        <v>503</v>
      </c>
      <c r="D5403">
        <v>9</v>
      </c>
      <c r="E5403">
        <v>2</v>
      </c>
      <c r="F5403" t="s">
        <v>315</v>
      </c>
      <c r="G5403" t="s">
        <v>32</v>
      </c>
      <c r="H5403" t="s">
        <v>33</v>
      </c>
      <c r="I5403" t="s">
        <v>59</v>
      </c>
      <c r="AB5403" t="s">
        <v>47</v>
      </c>
      <c r="AC5403" t="s">
        <v>41</v>
      </c>
    </row>
    <row r="5404" spans="1:29" x14ac:dyDescent="0.35">
      <c r="A5404" s="7">
        <v>42948</v>
      </c>
      <c r="B5404" t="s">
        <v>30</v>
      </c>
      <c r="C5404">
        <v>503</v>
      </c>
      <c r="D5404">
        <v>10</v>
      </c>
      <c r="E5404">
        <v>1</v>
      </c>
      <c r="F5404" t="s">
        <v>315</v>
      </c>
      <c r="G5404" t="s">
        <v>32</v>
      </c>
      <c r="H5404" t="s">
        <v>33</v>
      </c>
      <c r="I5404" t="s">
        <v>59</v>
      </c>
      <c r="AB5404" t="s">
        <v>47</v>
      </c>
      <c r="AC5404" t="s">
        <v>41</v>
      </c>
    </row>
    <row r="5405" spans="1:29" x14ac:dyDescent="0.35">
      <c r="A5405" s="7">
        <v>42948</v>
      </c>
      <c r="B5405" t="s">
        <v>30</v>
      </c>
      <c r="C5405">
        <v>503</v>
      </c>
      <c r="D5405">
        <v>10</v>
      </c>
      <c r="E5405">
        <v>2</v>
      </c>
      <c r="F5405" t="s">
        <v>315</v>
      </c>
      <c r="G5405" t="s">
        <v>32</v>
      </c>
      <c r="H5405" t="s">
        <v>33</v>
      </c>
      <c r="I5405" t="s">
        <v>43</v>
      </c>
      <c r="J5405" t="s">
        <v>44</v>
      </c>
      <c r="K5405" t="s">
        <v>113</v>
      </c>
      <c r="L5405" t="s">
        <v>37</v>
      </c>
      <c r="M5405">
        <v>0</v>
      </c>
      <c r="N5405">
        <v>0</v>
      </c>
      <c r="O5405">
        <v>39475</v>
      </c>
      <c r="P5405">
        <v>39474</v>
      </c>
      <c r="Q5405">
        <f>33-16.5</f>
        <v>16.5</v>
      </c>
      <c r="R5405" t="s">
        <v>38</v>
      </c>
      <c r="AB5405" t="s">
        <v>47</v>
      </c>
      <c r="AC5405" t="s">
        <v>41</v>
      </c>
    </row>
    <row r="5406" spans="1:29" x14ac:dyDescent="0.35">
      <c r="A5406" s="7">
        <v>42948</v>
      </c>
      <c r="B5406" t="s">
        <v>30</v>
      </c>
      <c r="C5406">
        <v>701</v>
      </c>
      <c r="D5406">
        <v>3</v>
      </c>
      <c r="E5406">
        <v>1</v>
      </c>
      <c r="F5406" t="s">
        <v>1020</v>
      </c>
      <c r="G5406" t="s">
        <v>32</v>
      </c>
      <c r="H5406" t="s">
        <v>33</v>
      </c>
      <c r="I5406" t="s">
        <v>94</v>
      </c>
      <c r="J5406" t="s">
        <v>44</v>
      </c>
      <c r="K5406" t="s">
        <v>36</v>
      </c>
      <c r="L5406" t="s">
        <v>45</v>
      </c>
      <c r="M5406">
        <v>0</v>
      </c>
      <c r="N5406">
        <v>0</v>
      </c>
      <c r="P5406">
        <v>39759</v>
      </c>
      <c r="Q5406">
        <f>33-14</f>
        <v>19</v>
      </c>
      <c r="R5406" t="s">
        <v>1021</v>
      </c>
      <c r="S5406" t="s">
        <v>102</v>
      </c>
      <c r="AB5406" t="s">
        <v>47</v>
      </c>
      <c r="AC5406" t="s">
        <v>87</v>
      </c>
    </row>
    <row r="5407" spans="1:29" x14ac:dyDescent="0.35">
      <c r="A5407" s="7">
        <v>42948</v>
      </c>
      <c r="B5407" t="s">
        <v>30</v>
      </c>
      <c r="C5407">
        <v>701</v>
      </c>
      <c r="D5407">
        <v>4</v>
      </c>
      <c r="E5407">
        <v>1</v>
      </c>
      <c r="F5407" t="s">
        <v>1020</v>
      </c>
      <c r="G5407" t="s">
        <v>32</v>
      </c>
      <c r="H5407" t="s">
        <v>33</v>
      </c>
      <c r="I5407" t="s">
        <v>59</v>
      </c>
      <c r="AB5407" t="s">
        <v>47</v>
      </c>
      <c r="AC5407" t="s">
        <v>87</v>
      </c>
    </row>
    <row r="5408" spans="1:29" x14ac:dyDescent="0.35">
      <c r="A5408" s="7">
        <v>42948</v>
      </c>
      <c r="B5408" t="s">
        <v>30</v>
      </c>
      <c r="C5408">
        <v>701</v>
      </c>
      <c r="D5408">
        <v>4</v>
      </c>
      <c r="E5408">
        <v>2</v>
      </c>
      <c r="F5408" t="s">
        <v>1020</v>
      </c>
      <c r="G5408" t="s">
        <v>32</v>
      </c>
      <c r="H5408" t="s">
        <v>33</v>
      </c>
      <c r="I5408" t="s">
        <v>59</v>
      </c>
      <c r="AB5408" t="s">
        <v>47</v>
      </c>
      <c r="AC5408" t="s">
        <v>87</v>
      </c>
    </row>
    <row r="5409" spans="1:30" x14ac:dyDescent="0.35">
      <c r="A5409" s="7">
        <v>42948</v>
      </c>
      <c r="B5409" t="s">
        <v>30</v>
      </c>
      <c r="C5409">
        <v>701</v>
      </c>
      <c r="D5409">
        <v>5</v>
      </c>
      <c r="E5409">
        <v>1</v>
      </c>
      <c r="F5409" t="s">
        <v>1020</v>
      </c>
      <c r="G5409" t="s">
        <v>32</v>
      </c>
      <c r="H5409" t="s">
        <v>33</v>
      </c>
      <c r="I5409" t="s">
        <v>58</v>
      </c>
      <c r="J5409" t="s">
        <v>44</v>
      </c>
      <c r="K5409" t="s">
        <v>36</v>
      </c>
      <c r="L5409" t="s">
        <v>45</v>
      </c>
      <c r="M5409">
        <v>0</v>
      </c>
      <c r="N5409">
        <v>0</v>
      </c>
      <c r="O5409">
        <v>39739</v>
      </c>
      <c r="Q5409">
        <f>38-13</f>
        <v>25</v>
      </c>
      <c r="R5409" t="s">
        <v>1021</v>
      </c>
      <c r="S5409" t="s">
        <v>102</v>
      </c>
      <c r="Z5409" t="s">
        <v>102</v>
      </c>
      <c r="AB5409" t="s">
        <v>47</v>
      </c>
      <c r="AC5409" t="s">
        <v>87</v>
      </c>
      <c r="AD5409" t="s">
        <v>1086</v>
      </c>
    </row>
    <row r="5410" spans="1:30" x14ac:dyDescent="0.35">
      <c r="A5410" s="7">
        <v>42948</v>
      </c>
      <c r="B5410" t="s">
        <v>30</v>
      </c>
      <c r="C5410">
        <v>701</v>
      </c>
      <c r="D5410">
        <v>6</v>
      </c>
      <c r="E5410">
        <v>1</v>
      </c>
      <c r="F5410" t="s">
        <v>1020</v>
      </c>
      <c r="G5410" t="s">
        <v>32</v>
      </c>
      <c r="H5410" t="s">
        <v>33</v>
      </c>
      <c r="I5410" t="s">
        <v>94</v>
      </c>
      <c r="J5410" t="s">
        <v>92</v>
      </c>
      <c r="AB5410" t="s">
        <v>47</v>
      </c>
      <c r="AC5410" t="s">
        <v>87</v>
      </c>
    </row>
    <row r="5411" spans="1:30" x14ac:dyDescent="0.35">
      <c r="A5411" s="7">
        <v>42948</v>
      </c>
      <c r="B5411" t="s">
        <v>30</v>
      </c>
      <c r="C5411">
        <v>701</v>
      </c>
      <c r="D5411">
        <v>8</v>
      </c>
      <c r="E5411">
        <v>1</v>
      </c>
      <c r="F5411" t="s">
        <v>1020</v>
      </c>
      <c r="G5411" t="s">
        <v>32</v>
      </c>
      <c r="H5411" t="s">
        <v>33</v>
      </c>
      <c r="I5411" t="s">
        <v>59</v>
      </c>
      <c r="AB5411" t="s">
        <v>47</v>
      </c>
      <c r="AC5411" t="s">
        <v>87</v>
      </c>
    </row>
    <row r="5412" spans="1:30" x14ac:dyDescent="0.35">
      <c r="A5412" s="7">
        <v>42948</v>
      </c>
      <c r="B5412" t="s">
        <v>30</v>
      </c>
      <c r="C5412">
        <v>701</v>
      </c>
      <c r="D5412">
        <v>9</v>
      </c>
      <c r="E5412">
        <v>1</v>
      </c>
      <c r="F5412" t="s">
        <v>1020</v>
      </c>
      <c r="G5412" t="s">
        <v>32</v>
      </c>
      <c r="H5412" t="s">
        <v>33</v>
      </c>
      <c r="I5412" t="s">
        <v>59</v>
      </c>
      <c r="AB5412" t="s">
        <v>47</v>
      </c>
      <c r="AC5412" t="s">
        <v>87</v>
      </c>
    </row>
    <row r="5413" spans="1:30" x14ac:dyDescent="0.35">
      <c r="A5413" s="7">
        <v>42948</v>
      </c>
      <c r="B5413" t="s">
        <v>30</v>
      </c>
      <c r="C5413">
        <v>701</v>
      </c>
      <c r="D5413">
        <v>9</v>
      </c>
      <c r="E5413">
        <v>2</v>
      </c>
      <c r="F5413" t="s">
        <v>1020</v>
      </c>
      <c r="G5413" t="s">
        <v>32</v>
      </c>
      <c r="H5413" t="s">
        <v>33</v>
      </c>
      <c r="I5413" t="s">
        <v>59</v>
      </c>
      <c r="AB5413" t="s">
        <v>47</v>
      </c>
      <c r="AC5413" t="s">
        <v>87</v>
      </c>
    </row>
    <row r="5414" spans="1:30" x14ac:dyDescent="0.35">
      <c r="A5414" s="7">
        <v>42948</v>
      </c>
      <c r="B5414" t="s">
        <v>30</v>
      </c>
      <c r="C5414">
        <v>701</v>
      </c>
      <c r="D5414">
        <v>10</v>
      </c>
      <c r="E5414">
        <v>1</v>
      </c>
      <c r="F5414" t="s">
        <v>1020</v>
      </c>
      <c r="G5414" t="s">
        <v>32</v>
      </c>
      <c r="H5414" t="s">
        <v>33</v>
      </c>
      <c r="I5414" t="s">
        <v>59</v>
      </c>
      <c r="AB5414" t="s">
        <v>47</v>
      </c>
      <c r="AC5414" t="s">
        <v>87</v>
      </c>
    </row>
    <row r="5415" spans="1:30" x14ac:dyDescent="0.35">
      <c r="A5415" s="7">
        <v>42948</v>
      </c>
      <c r="B5415" t="s">
        <v>30</v>
      </c>
      <c r="C5415">
        <v>701</v>
      </c>
      <c r="D5415">
        <v>10</v>
      </c>
      <c r="E5415">
        <v>2</v>
      </c>
      <c r="F5415" t="s">
        <v>1020</v>
      </c>
      <c r="G5415" t="s">
        <v>32</v>
      </c>
      <c r="H5415" t="s">
        <v>33</v>
      </c>
      <c r="I5415" t="s">
        <v>59</v>
      </c>
      <c r="AB5415" t="s">
        <v>47</v>
      </c>
      <c r="AC5415" t="s">
        <v>87</v>
      </c>
    </row>
    <row r="5416" spans="1:30" x14ac:dyDescent="0.35">
      <c r="A5416" s="7">
        <v>42948</v>
      </c>
      <c r="B5416" t="s">
        <v>30</v>
      </c>
      <c r="C5416">
        <v>703</v>
      </c>
      <c r="D5416">
        <v>1</v>
      </c>
      <c r="E5416">
        <v>1</v>
      </c>
      <c r="F5416" t="s">
        <v>1020</v>
      </c>
      <c r="G5416" t="s">
        <v>32</v>
      </c>
      <c r="H5416" t="s">
        <v>33</v>
      </c>
      <c r="I5416" t="s">
        <v>59</v>
      </c>
      <c r="AB5416" t="s">
        <v>47</v>
      </c>
      <c r="AC5416" t="s">
        <v>87</v>
      </c>
    </row>
    <row r="5417" spans="1:30" x14ac:dyDescent="0.35">
      <c r="A5417" s="7">
        <v>42948</v>
      </c>
      <c r="B5417" t="s">
        <v>30</v>
      </c>
      <c r="C5417">
        <v>703</v>
      </c>
      <c r="D5417">
        <v>1</v>
      </c>
      <c r="E5417">
        <v>2</v>
      </c>
      <c r="F5417" t="s">
        <v>1020</v>
      </c>
      <c r="G5417" t="s">
        <v>32</v>
      </c>
      <c r="H5417" t="s">
        <v>33</v>
      </c>
      <c r="I5417" t="s">
        <v>43</v>
      </c>
      <c r="J5417" t="s">
        <v>44</v>
      </c>
      <c r="K5417" t="s">
        <v>36</v>
      </c>
      <c r="L5417" t="s">
        <v>45</v>
      </c>
      <c r="M5417">
        <v>0</v>
      </c>
      <c r="N5417">
        <v>0</v>
      </c>
      <c r="O5417">
        <v>39771</v>
      </c>
      <c r="P5417">
        <v>39770</v>
      </c>
      <c r="Q5417">
        <f>32-13</f>
        <v>19</v>
      </c>
      <c r="R5417" t="s">
        <v>1028</v>
      </c>
      <c r="S5417" t="s">
        <v>102</v>
      </c>
      <c r="AB5417" t="s">
        <v>47</v>
      </c>
      <c r="AC5417" t="s">
        <v>87</v>
      </c>
    </row>
    <row r="5418" spans="1:30" x14ac:dyDescent="0.35">
      <c r="A5418" s="7">
        <v>42948</v>
      </c>
      <c r="B5418" t="s">
        <v>30</v>
      </c>
      <c r="C5418">
        <v>703</v>
      </c>
      <c r="D5418">
        <v>2</v>
      </c>
      <c r="E5418">
        <v>1</v>
      </c>
      <c r="F5418" t="s">
        <v>1020</v>
      </c>
      <c r="G5418" t="s">
        <v>32</v>
      </c>
      <c r="H5418" t="s">
        <v>33</v>
      </c>
      <c r="I5418" t="s">
        <v>59</v>
      </c>
      <c r="AB5418" t="s">
        <v>47</v>
      </c>
      <c r="AC5418" t="s">
        <v>87</v>
      </c>
    </row>
    <row r="5419" spans="1:30" x14ac:dyDescent="0.35">
      <c r="A5419" s="7">
        <v>42948</v>
      </c>
      <c r="B5419" t="s">
        <v>30</v>
      </c>
      <c r="C5419">
        <v>703</v>
      </c>
      <c r="D5419">
        <v>4</v>
      </c>
      <c r="E5419">
        <v>1</v>
      </c>
      <c r="F5419" t="s">
        <v>1020</v>
      </c>
      <c r="G5419" t="s">
        <v>32</v>
      </c>
      <c r="H5419" t="s">
        <v>33</v>
      </c>
      <c r="I5419" t="s">
        <v>59</v>
      </c>
      <c r="AB5419" t="s">
        <v>47</v>
      </c>
      <c r="AC5419" t="s">
        <v>87</v>
      </c>
    </row>
    <row r="5420" spans="1:30" x14ac:dyDescent="0.35">
      <c r="A5420" s="7">
        <v>42948</v>
      </c>
      <c r="B5420" t="s">
        <v>30</v>
      </c>
      <c r="C5420">
        <v>703</v>
      </c>
      <c r="D5420">
        <v>5</v>
      </c>
      <c r="E5420">
        <v>1</v>
      </c>
      <c r="F5420" t="s">
        <v>1020</v>
      </c>
      <c r="G5420" t="s">
        <v>32</v>
      </c>
      <c r="H5420" t="s">
        <v>33</v>
      </c>
      <c r="I5420" t="s">
        <v>59</v>
      </c>
      <c r="AB5420" t="s">
        <v>47</v>
      </c>
      <c r="AC5420" t="s">
        <v>87</v>
      </c>
    </row>
    <row r="5421" spans="1:30" x14ac:dyDescent="0.35">
      <c r="A5421" s="7">
        <v>42948</v>
      </c>
      <c r="B5421" t="s">
        <v>30</v>
      </c>
      <c r="C5421">
        <v>703</v>
      </c>
      <c r="D5421">
        <v>5</v>
      </c>
      <c r="E5421">
        <v>2</v>
      </c>
      <c r="F5421" t="s">
        <v>1020</v>
      </c>
      <c r="G5421" t="s">
        <v>32</v>
      </c>
      <c r="H5421" t="s">
        <v>33</v>
      </c>
      <c r="I5421" t="s">
        <v>43</v>
      </c>
      <c r="J5421" t="s">
        <v>44</v>
      </c>
      <c r="K5421" t="s">
        <v>36</v>
      </c>
      <c r="L5421" t="s">
        <v>37</v>
      </c>
      <c r="M5421">
        <v>0</v>
      </c>
      <c r="N5421">
        <v>0</v>
      </c>
      <c r="O5421">
        <v>39741</v>
      </c>
      <c r="P5421">
        <v>39740</v>
      </c>
      <c r="Q5421">
        <f>37-15</f>
        <v>22</v>
      </c>
      <c r="R5421" t="s">
        <v>38</v>
      </c>
      <c r="AB5421" t="s">
        <v>47</v>
      </c>
      <c r="AC5421" t="s">
        <v>87</v>
      </c>
    </row>
    <row r="5422" spans="1:30" x14ac:dyDescent="0.35">
      <c r="A5422" s="7">
        <v>42948</v>
      </c>
      <c r="B5422" t="s">
        <v>30</v>
      </c>
      <c r="C5422">
        <v>703</v>
      </c>
      <c r="D5422">
        <v>6</v>
      </c>
      <c r="E5422">
        <v>1</v>
      </c>
      <c r="F5422" t="s">
        <v>1020</v>
      </c>
      <c r="G5422" t="s">
        <v>32</v>
      </c>
      <c r="H5422" t="s">
        <v>33</v>
      </c>
      <c r="I5422" t="s">
        <v>43</v>
      </c>
      <c r="J5422" t="s">
        <v>44</v>
      </c>
      <c r="K5422" t="s">
        <v>36</v>
      </c>
      <c r="L5422" t="s">
        <v>37</v>
      </c>
      <c r="M5422">
        <v>0</v>
      </c>
      <c r="N5422">
        <v>0</v>
      </c>
      <c r="O5422">
        <v>39743</v>
      </c>
      <c r="P5422">
        <v>39742</v>
      </c>
      <c r="Q5422">
        <f>35-14</f>
        <v>21</v>
      </c>
      <c r="R5422" t="s">
        <v>64</v>
      </c>
      <c r="AB5422" t="s">
        <v>47</v>
      </c>
      <c r="AC5422" t="s">
        <v>87</v>
      </c>
    </row>
    <row r="5423" spans="1:30" x14ac:dyDescent="0.35">
      <c r="A5423" s="7">
        <v>42948</v>
      </c>
      <c r="B5423" t="s">
        <v>30</v>
      </c>
      <c r="C5423">
        <v>703</v>
      </c>
      <c r="D5423">
        <v>7</v>
      </c>
      <c r="E5423">
        <v>1</v>
      </c>
      <c r="F5423" t="s">
        <v>1020</v>
      </c>
      <c r="G5423" t="s">
        <v>32</v>
      </c>
      <c r="H5423" t="s">
        <v>33</v>
      </c>
      <c r="I5423" t="s">
        <v>59</v>
      </c>
      <c r="AB5423" t="s">
        <v>47</v>
      </c>
      <c r="AC5423" t="s">
        <v>87</v>
      </c>
    </row>
    <row r="5424" spans="1:30" x14ac:dyDescent="0.35">
      <c r="A5424" s="7">
        <v>42948</v>
      </c>
      <c r="B5424" t="s">
        <v>30</v>
      </c>
      <c r="C5424">
        <v>703</v>
      </c>
      <c r="D5424">
        <v>8</v>
      </c>
      <c r="E5424">
        <v>1</v>
      </c>
      <c r="F5424" t="s">
        <v>1020</v>
      </c>
      <c r="G5424" t="s">
        <v>32</v>
      </c>
      <c r="H5424" t="s">
        <v>33</v>
      </c>
      <c r="I5424" t="s">
        <v>59</v>
      </c>
      <c r="AB5424" t="s">
        <v>47</v>
      </c>
      <c r="AC5424" t="s">
        <v>87</v>
      </c>
    </row>
    <row r="5425" spans="1:30" x14ac:dyDescent="0.35">
      <c r="A5425" s="7">
        <v>42948</v>
      </c>
      <c r="B5425" t="s">
        <v>30</v>
      </c>
      <c r="C5425">
        <v>703</v>
      </c>
      <c r="D5425">
        <v>9</v>
      </c>
      <c r="E5425">
        <v>1</v>
      </c>
      <c r="F5425" t="s">
        <v>1020</v>
      </c>
      <c r="G5425" t="s">
        <v>32</v>
      </c>
      <c r="H5425" t="s">
        <v>33</v>
      </c>
      <c r="I5425" t="s">
        <v>59</v>
      </c>
      <c r="AB5425" t="s">
        <v>47</v>
      </c>
      <c r="AC5425" t="s">
        <v>87</v>
      </c>
    </row>
    <row r="5426" spans="1:30" x14ac:dyDescent="0.35">
      <c r="A5426" s="7">
        <v>42948</v>
      </c>
      <c r="B5426" t="s">
        <v>30</v>
      </c>
      <c r="C5426">
        <v>703</v>
      </c>
      <c r="D5426">
        <v>9</v>
      </c>
      <c r="E5426">
        <v>2</v>
      </c>
      <c r="F5426" t="s">
        <v>1020</v>
      </c>
      <c r="G5426" t="s">
        <v>32</v>
      </c>
      <c r="H5426" t="s">
        <v>33</v>
      </c>
      <c r="I5426" t="s">
        <v>43</v>
      </c>
      <c r="J5426" t="s">
        <v>44</v>
      </c>
      <c r="K5426" t="s">
        <v>36</v>
      </c>
      <c r="L5426" t="s">
        <v>37</v>
      </c>
      <c r="M5426">
        <v>1</v>
      </c>
      <c r="N5426">
        <v>0</v>
      </c>
      <c r="O5426">
        <v>39352</v>
      </c>
      <c r="P5426">
        <v>39401</v>
      </c>
      <c r="Q5426">
        <f>35-15</f>
        <v>20</v>
      </c>
      <c r="R5426" t="s">
        <v>38</v>
      </c>
      <c r="AB5426" t="s">
        <v>47</v>
      </c>
      <c r="AC5426" t="s">
        <v>87</v>
      </c>
      <c r="AD5426" t="s">
        <v>1087</v>
      </c>
    </row>
    <row r="5427" spans="1:30" x14ac:dyDescent="0.35">
      <c r="A5427" s="7">
        <v>42948</v>
      </c>
      <c r="B5427" t="s">
        <v>30</v>
      </c>
      <c r="C5427">
        <v>703</v>
      </c>
      <c r="D5427">
        <v>10</v>
      </c>
      <c r="E5427">
        <v>1</v>
      </c>
      <c r="F5427" t="s">
        <v>1020</v>
      </c>
      <c r="G5427" t="s">
        <v>32</v>
      </c>
      <c r="H5427" t="s">
        <v>33</v>
      </c>
      <c r="I5427" t="s">
        <v>59</v>
      </c>
      <c r="AB5427" t="s">
        <v>47</v>
      </c>
      <c r="AC5427" t="s">
        <v>87</v>
      </c>
    </row>
    <row r="5428" spans="1:30" x14ac:dyDescent="0.35">
      <c r="A5428" s="7">
        <v>42948</v>
      </c>
      <c r="B5428" t="s">
        <v>30</v>
      </c>
      <c r="C5428">
        <v>801</v>
      </c>
      <c r="D5428">
        <v>2</v>
      </c>
      <c r="E5428">
        <v>1</v>
      </c>
      <c r="F5428" t="s">
        <v>1020</v>
      </c>
      <c r="G5428" t="s">
        <v>32</v>
      </c>
      <c r="H5428" t="s">
        <v>33</v>
      </c>
      <c r="I5428" t="s">
        <v>59</v>
      </c>
      <c r="AB5428" t="s">
        <v>47</v>
      </c>
      <c r="AC5428" t="s">
        <v>87</v>
      </c>
    </row>
    <row r="5429" spans="1:30" x14ac:dyDescent="0.35">
      <c r="A5429" s="7">
        <v>42948</v>
      </c>
      <c r="B5429" t="s">
        <v>30</v>
      </c>
      <c r="C5429">
        <v>801</v>
      </c>
      <c r="D5429">
        <v>3</v>
      </c>
      <c r="E5429">
        <v>1</v>
      </c>
      <c r="F5429" t="s">
        <v>1020</v>
      </c>
      <c r="G5429" t="s">
        <v>32</v>
      </c>
      <c r="H5429" t="s">
        <v>33</v>
      </c>
      <c r="I5429" t="s">
        <v>58</v>
      </c>
      <c r="J5429" t="s">
        <v>44</v>
      </c>
      <c r="K5429" t="s">
        <v>36</v>
      </c>
      <c r="L5429" t="s">
        <v>45</v>
      </c>
      <c r="M5429">
        <v>0</v>
      </c>
      <c r="N5429">
        <v>0</v>
      </c>
      <c r="O5429">
        <v>39345</v>
      </c>
      <c r="Q5429">
        <f>39-14.5</f>
        <v>24.5</v>
      </c>
      <c r="R5429" t="s">
        <v>79</v>
      </c>
      <c r="S5429" t="s">
        <v>39</v>
      </c>
      <c r="AB5429" t="s">
        <v>47</v>
      </c>
      <c r="AC5429" t="s">
        <v>87</v>
      </c>
    </row>
    <row r="5430" spans="1:30" x14ac:dyDescent="0.35">
      <c r="A5430" s="7">
        <v>42948</v>
      </c>
      <c r="B5430" t="s">
        <v>30</v>
      </c>
      <c r="C5430">
        <v>801</v>
      </c>
      <c r="D5430">
        <v>3</v>
      </c>
      <c r="E5430">
        <v>2</v>
      </c>
      <c r="F5430" t="s">
        <v>1020</v>
      </c>
      <c r="G5430" t="s">
        <v>32</v>
      </c>
      <c r="H5430" t="s">
        <v>33</v>
      </c>
      <c r="I5430" t="s">
        <v>59</v>
      </c>
      <c r="AB5430" t="s">
        <v>47</v>
      </c>
      <c r="AC5430" t="s">
        <v>87</v>
      </c>
    </row>
    <row r="5431" spans="1:30" x14ac:dyDescent="0.35">
      <c r="A5431" s="7">
        <v>42948</v>
      </c>
      <c r="B5431" t="s">
        <v>30</v>
      </c>
      <c r="C5431">
        <v>801</v>
      </c>
      <c r="D5431">
        <v>4</v>
      </c>
      <c r="E5431">
        <v>1</v>
      </c>
      <c r="F5431" t="s">
        <v>1020</v>
      </c>
      <c r="G5431" t="s">
        <v>32</v>
      </c>
      <c r="H5431" t="s">
        <v>33</v>
      </c>
      <c r="I5431" t="s">
        <v>59</v>
      </c>
      <c r="AB5431" t="s">
        <v>47</v>
      </c>
      <c r="AC5431" t="s">
        <v>87</v>
      </c>
    </row>
    <row r="5432" spans="1:30" x14ac:dyDescent="0.35">
      <c r="A5432" s="7">
        <v>42948</v>
      </c>
      <c r="B5432" t="s">
        <v>30</v>
      </c>
      <c r="C5432">
        <v>801</v>
      </c>
      <c r="D5432">
        <v>5</v>
      </c>
      <c r="E5432">
        <v>1</v>
      </c>
      <c r="F5432" t="s">
        <v>1020</v>
      </c>
      <c r="G5432" t="s">
        <v>32</v>
      </c>
      <c r="H5432" t="s">
        <v>33</v>
      </c>
      <c r="I5432" t="s">
        <v>59</v>
      </c>
      <c r="AB5432" t="s">
        <v>47</v>
      </c>
      <c r="AC5432" t="s">
        <v>87</v>
      </c>
    </row>
    <row r="5433" spans="1:30" x14ac:dyDescent="0.35">
      <c r="A5433" s="7">
        <v>42948</v>
      </c>
      <c r="B5433" t="s">
        <v>30</v>
      </c>
      <c r="C5433">
        <v>801</v>
      </c>
      <c r="D5433">
        <v>5</v>
      </c>
      <c r="E5433">
        <v>2</v>
      </c>
      <c r="F5433" t="s">
        <v>1020</v>
      </c>
      <c r="G5433" t="s">
        <v>32</v>
      </c>
      <c r="H5433" t="s">
        <v>33</v>
      </c>
      <c r="I5433" t="s">
        <v>59</v>
      </c>
      <c r="AB5433" t="s">
        <v>47</v>
      </c>
      <c r="AC5433" t="s">
        <v>87</v>
      </c>
    </row>
    <row r="5434" spans="1:30" x14ac:dyDescent="0.35">
      <c r="A5434" s="7">
        <v>42948</v>
      </c>
      <c r="B5434" t="s">
        <v>30</v>
      </c>
      <c r="C5434">
        <v>801</v>
      </c>
      <c r="D5434">
        <v>6</v>
      </c>
      <c r="E5434">
        <v>1</v>
      </c>
      <c r="F5434" t="s">
        <v>1020</v>
      </c>
      <c r="G5434" t="s">
        <v>32</v>
      </c>
      <c r="H5434" t="s">
        <v>33</v>
      </c>
      <c r="I5434" t="s">
        <v>59</v>
      </c>
      <c r="AB5434" t="s">
        <v>47</v>
      </c>
      <c r="AC5434" t="s">
        <v>87</v>
      </c>
    </row>
    <row r="5435" spans="1:30" x14ac:dyDescent="0.35">
      <c r="A5435" s="7">
        <v>42948</v>
      </c>
      <c r="B5435" t="s">
        <v>30</v>
      </c>
      <c r="C5435">
        <v>801</v>
      </c>
      <c r="D5435">
        <v>6</v>
      </c>
      <c r="E5435">
        <v>2</v>
      </c>
      <c r="F5435" t="s">
        <v>1020</v>
      </c>
      <c r="G5435" t="s">
        <v>32</v>
      </c>
      <c r="H5435" t="s">
        <v>33</v>
      </c>
      <c r="I5435" t="s">
        <v>59</v>
      </c>
      <c r="AB5435" t="s">
        <v>47</v>
      </c>
      <c r="AC5435" t="s">
        <v>87</v>
      </c>
    </row>
    <row r="5436" spans="1:30" x14ac:dyDescent="0.35">
      <c r="A5436" s="7">
        <v>42948</v>
      </c>
      <c r="B5436" t="s">
        <v>30</v>
      </c>
      <c r="C5436">
        <v>801</v>
      </c>
      <c r="D5436">
        <v>7</v>
      </c>
      <c r="E5436">
        <v>1</v>
      </c>
      <c r="F5436" t="s">
        <v>1020</v>
      </c>
      <c r="G5436" t="s">
        <v>32</v>
      </c>
      <c r="H5436" t="s">
        <v>33</v>
      </c>
      <c r="I5436" t="s">
        <v>59</v>
      </c>
      <c r="AB5436" t="s">
        <v>47</v>
      </c>
      <c r="AC5436" t="s">
        <v>87</v>
      </c>
    </row>
    <row r="5437" spans="1:30" x14ac:dyDescent="0.35">
      <c r="A5437" s="7">
        <v>42948</v>
      </c>
      <c r="B5437" t="s">
        <v>30</v>
      </c>
      <c r="C5437">
        <v>801</v>
      </c>
      <c r="D5437">
        <v>7</v>
      </c>
      <c r="E5437">
        <v>2</v>
      </c>
      <c r="F5437" t="s">
        <v>1020</v>
      </c>
      <c r="G5437" t="s">
        <v>32</v>
      </c>
      <c r="H5437" t="s">
        <v>33</v>
      </c>
      <c r="I5437" t="s">
        <v>34</v>
      </c>
      <c r="J5437" t="s">
        <v>44</v>
      </c>
      <c r="K5437" t="s">
        <v>36</v>
      </c>
      <c r="L5437" t="s">
        <v>45</v>
      </c>
      <c r="M5437">
        <v>0</v>
      </c>
      <c r="N5437">
        <v>0</v>
      </c>
      <c r="P5437">
        <v>50392</v>
      </c>
      <c r="Q5437">
        <f>195-95</f>
        <v>100</v>
      </c>
      <c r="R5437" t="s">
        <v>46</v>
      </c>
      <c r="S5437" t="s">
        <v>39</v>
      </c>
      <c r="AB5437" t="s">
        <v>47</v>
      </c>
      <c r="AC5437" t="s">
        <v>87</v>
      </c>
    </row>
    <row r="5438" spans="1:30" x14ac:dyDescent="0.35">
      <c r="A5438" s="7">
        <v>42948</v>
      </c>
      <c r="B5438" t="s">
        <v>30</v>
      </c>
      <c r="C5438">
        <v>801</v>
      </c>
      <c r="D5438">
        <v>8</v>
      </c>
      <c r="E5438">
        <v>1</v>
      </c>
      <c r="F5438" t="s">
        <v>1020</v>
      </c>
      <c r="G5438" t="s">
        <v>32</v>
      </c>
      <c r="H5438" t="s">
        <v>33</v>
      </c>
      <c r="I5438" t="s">
        <v>59</v>
      </c>
      <c r="AB5438" t="s">
        <v>47</v>
      </c>
      <c r="AC5438" t="s">
        <v>87</v>
      </c>
    </row>
    <row r="5439" spans="1:30" x14ac:dyDescent="0.35">
      <c r="A5439" s="7">
        <v>42948</v>
      </c>
      <c r="B5439" t="s">
        <v>30</v>
      </c>
      <c r="C5439">
        <v>801</v>
      </c>
      <c r="D5439">
        <v>8</v>
      </c>
      <c r="E5439">
        <v>2</v>
      </c>
      <c r="F5439" t="s">
        <v>1020</v>
      </c>
      <c r="G5439" t="s">
        <v>32</v>
      </c>
      <c r="H5439" t="s">
        <v>33</v>
      </c>
      <c r="I5439" t="s">
        <v>43</v>
      </c>
      <c r="J5439" t="s">
        <v>44</v>
      </c>
      <c r="K5439" t="s">
        <v>36</v>
      </c>
      <c r="L5439" t="s">
        <v>37</v>
      </c>
      <c r="M5439">
        <v>0</v>
      </c>
      <c r="N5439">
        <v>0</v>
      </c>
      <c r="O5439">
        <v>39129</v>
      </c>
      <c r="P5439">
        <v>39769</v>
      </c>
      <c r="Q5439">
        <f>33-13</f>
        <v>20</v>
      </c>
      <c r="R5439" t="s">
        <v>38</v>
      </c>
      <c r="AB5439" t="s">
        <v>47</v>
      </c>
      <c r="AC5439" t="s">
        <v>87</v>
      </c>
    </row>
    <row r="5440" spans="1:30" x14ac:dyDescent="0.35">
      <c r="A5440" s="7">
        <v>42948</v>
      </c>
      <c r="B5440" t="s">
        <v>30</v>
      </c>
      <c r="C5440">
        <v>801</v>
      </c>
      <c r="D5440">
        <v>9</v>
      </c>
      <c r="E5440">
        <v>1</v>
      </c>
      <c r="F5440" t="s">
        <v>1020</v>
      </c>
      <c r="G5440" t="s">
        <v>32</v>
      </c>
      <c r="H5440" t="s">
        <v>33</v>
      </c>
      <c r="I5440" t="s">
        <v>59</v>
      </c>
      <c r="AB5440" t="s">
        <v>47</v>
      </c>
      <c r="AC5440" t="s">
        <v>87</v>
      </c>
    </row>
    <row r="5441" spans="1:30" x14ac:dyDescent="0.35">
      <c r="A5441" s="7">
        <v>42948</v>
      </c>
      <c r="B5441" t="s">
        <v>30</v>
      </c>
      <c r="C5441">
        <v>801</v>
      </c>
      <c r="D5441">
        <v>9</v>
      </c>
      <c r="E5441">
        <v>2</v>
      </c>
      <c r="F5441" t="s">
        <v>1020</v>
      </c>
      <c r="G5441" t="s">
        <v>32</v>
      </c>
      <c r="H5441" t="s">
        <v>33</v>
      </c>
      <c r="I5441" t="s">
        <v>58</v>
      </c>
      <c r="J5441" t="s">
        <v>44</v>
      </c>
      <c r="K5441" t="s">
        <v>36</v>
      </c>
      <c r="L5441" t="s">
        <v>37</v>
      </c>
      <c r="M5441">
        <v>0</v>
      </c>
      <c r="N5441">
        <v>0</v>
      </c>
      <c r="O5441">
        <v>39780</v>
      </c>
      <c r="Q5441">
        <f>37-13.5</f>
        <v>23.5</v>
      </c>
      <c r="R5441" t="s">
        <v>64</v>
      </c>
      <c r="AB5441" t="s">
        <v>47</v>
      </c>
      <c r="AC5441" t="s">
        <v>87</v>
      </c>
    </row>
    <row r="5442" spans="1:30" x14ac:dyDescent="0.35">
      <c r="A5442" s="7">
        <v>42948</v>
      </c>
      <c r="B5442" t="s">
        <v>30</v>
      </c>
      <c r="C5442">
        <v>801</v>
      </c>
      <c r="D5442">
        <v>10</v>
      </c>
      <c r="E5442">
        <v>1</v>
      </c>
      <c r="F5442" t="s">
        <v>1020</v>
      </c>
      <c r="G5442" t="s">
        <v>32</v>
      </c>
      <c r="H5442" t="s">
        <v>33</v>
      </c>
      <c r="I5442" t="s">
        <v>59</v>
      </c>
      <c r="AB5442" t="s">
        <v>47</v>
      </c>
      <c r="AC5442" t="s">
        <v>87</v>
      </c>
    </row>
    <row r="5443" spans="1:30" x14ac:dyDescent="0.35">
      <c r="A5443" s="7">
        <v>42948</v>
      </c>
      <c r="B5443" t="s">
        <v>30</v>
      </c>
      <c r="C5443">
        <v>801</v>
      </c>
      <c r="D5443">
        <v>10</v>
      </c>
      <c r="E5443">
        <v>2</v>
      </c>
      <c r="F5443" t="s">
        <v>1020</v>
      </c>
      <c r="G5443" t="s">
        <v>32</v>
      </c>
      <c r="H5443" t="s">
        <v>33</v>
      </c>
      <c r="I5443" t="s">
        <v>58</v>
      </c>
      <c r="J5443" t="s">
        <v>44</v>
      </c>
      <c r="K5443" t="s">
        <v>36</v>
      </c>
      <c r="L5443" t="s">
        <v>45</v>
      </c>
      <c r="M5443">
        <v>0</v>
      </c>
      <c r="N5443">
        <v>0</v>
      </c>
      <c r="O5443">
        <v>39756</v>
      </c>
      <c r="Q5443">
        <f>41-14</f>
        <v>27</v>
      </c>
      <c r="R5443" t="s">
        <v>1028</v>
      </c>
      <c r="S5443" t="s">
        <v>102</v>
      </c>
      <c r="AB5443" t="s">
        <v>47</v>
      </c>
      <c r="AC5443" t="s">
        <v>87</v>
      </c>
    </row>
    <row r="5444" spans="1:30" x14ac:dyDescent="0.35">
      <c r="A5444" s="7">
        <v>42948</v>
      </c>
      <c r="B5444" t="s">
        <v>30</v>
      </c>
      <c r="C5444">
        <v>803</v>
      </c>
      <c r="D5444">
        <v>5</v>
      </c>
      <c r="E5444">
        <v>1</v>
      </c>
      <c r="F5444" t="s">
        <v>1020</v>
      </c>
      <c r="G5444" t="s">
        <v>32</v>
      </c>
      <c r="H5444" t="s">
        <v>33</v>
      </c>
      <c r="I5444" t="s">
        <v>72</v>
      </c>
      <c r="J5444" t="s">
        <v>56</v>
      </c>
      <c r="AB5444" t="s">
        <v>47</v>
      </c>
      <c r="AC5444" t="s">
        <v>87</v>
      </c>
    </row>
    <row r="5445" spans="1:30" x14ac:dyDescent="0.35">
      <c r="A5445" s="7">
        <v>42948</v>
      </c>
      <c r="B5445" t="s">
        <v>30</v>
      </c>
      <c r="C5445">
        <v>803</v>
      </c>
      <c r="D5445">
        <v>7</v>
      </c>
      <c r="E5445">
        <v>1</v>
      </c>
      <c r="F5445" t="s">
        <v>1020</v>
      </c>
      <c r="G5445" t="s">
        <v>32</v>
      </c>
      <c r="H5445" t="s">
        <v>33</v>
      </c>
      <c r="I5445" t="s">
        <v>59</v>
      </c>
      <c r="AB5445" t="s">
        <v>47</v>
      </c>
      <c r="AC5445" t="s">
        <v>87</v>
      </c>
    </row>
    <row r="5446" spans="1:30" x14ac:dyDescent="0.35">
      <c r="A5446" s="7">
        <v>42948</v>
      </c>
      <c r="B5446" t="s">
        <v>30</v>
      </c>
      <c r="C5446">
        <v>803</v>
      </c>
      <c r="D5446">
        <v>7</v>
      </c>
      <c r="E5446">
        <v>2</v>
      </c>
      <c r="F5446" t="s">
        <v>1020</v>
      </c>
      <c r="G5446" t="s">
        <v>32</v>
      </c>
      <c r="H5446" t="s">
        <v>33</v>
      </c>
      <c r="I5446" t="s">
        <v>59</v>
      </c>
      <c r="AB5446" t="s">
        <v>47</v>
      </c>
      <c r="AC5446" t="s">
        <v>87</v>
      </c>
    </row>
    <row r="5447" spans="1:30" x14ac:dyDescent="0.35">
      <c r="A5447" s="7">
        <v>42948</v>
      </c>
      <c r="B5447" t="s">
        <v>30</v>
      </c>
      <c r="C5447">
        <v>803</v>
      </c>
      <c r="D5447">
        <v>9</v>
      </c>
      <c r="E5447">
        <v>1</v>
      </c>
      <c r="F5447" t="s">
        <v>1020</v>
      </c>
      <c r="G5447" t="s">
        <v>32</v>
      </c>
      <c r="H5447" t="s">
        <v>33</v>
      </c>
      <c r="I5447" t="s">
        <v>94</v>
      </c>
      <c r="J5447" t="s">
        <v>44</v>
      </c>
      <c r="K5447" t="s">
        <v>36</v>
      </c>
      <c r="L5447" t="s">
        <v>37</v>
      </c>
      <c r="M5447">
        <v>0</v>
      </c>
      <c r="N5447">
        <v>0</v>
      </c>
      <c r="O5447">
        <v>2823</v>
      </c>
      <c r="Q5447">
        <f>38-14</f>
        <v>24</v>
      </c>
      <c r="R5447" t="s">
        <v>38</v>
      </c>
      <c r="AB5447" t="s">
        <v>47</v>
      </c>
      <c r="AC5447" t="s">
        <v>87</v>
      </c>
    </row>
    <row r="5448" spans="1:30" x14ac:dyDescent="0.35">
      <c r="A5448" s="7">
        <v>42948</v>
      </c>
      <c r="B5448" t="s">
        <v>30</v>
      </c>
      <c r="C5448">
        <v>901</v>
      </c>
      <c r="D5448">
        <v>1</v>
      </c>
      <c r="E5448">
        <v>1</v>
      </c>
      <c r="F5448" t="s">
        <v>1020</v>
      </c>
      <c r="G5448" t="s">
        <v>32</v>
      </c>
      <c r="H5448" t="s">
        <v>33</v>
      </c>
      <c r="I5448" t="s">
        <v>43</v>
      </c>
      <c r="J5448" t="s">
        <v>44</v>
      </c>
      <c r="K5448" t="s">
        <v>36</v>
      </c>
      <c r="L5448" t="s">
        <v>45</v>
      </c>
      <c r="M5448">
        <v>0</v>
      </c>
      <c r="N5448">
        <v>0</v>
      </c>
      <c r="O5448">
        <v>39145</v>
      </c>
      <c r="P5448">
        <v>39144</v>
      </c>
      <c r="Q5448">
        <f>33.5-15</f>
        <v>18.5</v>
      </c>
      <c r="R5448" t="s">
        <v>1028</v>
      </c>
      <c r="S5448" t="s">
        <v>102</v>
      </c>
      <c r="AB5448" t="s">
        <v>47</v>
      </c>
      <c r="AC5448" t="s">
        <v>87</v>
      </c>
    </row>
    <row r="5449" spans="1:30" x14ac:dyDescent="0.35">
      <c r="A5449" s="7">
        <v>42948</v>
      </c>
      <c r="B5449" t="s">
        <v>30</v>
      </c>
      <c r="C5449">
        <v>901</v>
      </c>
      <c r="D5449">
        <v>3</v>
      </c>
      <c r="E5449">
        <v>1</v>
      </c>
      <c r="F5449" t="s">
        <v>1020</v>
      </c>
      <c r="G5449" t="s">
        <v>32</v>
      </c>
      <c r="H5449" t="s">
        <v>33</v>
      </c>
      <c r="I5449" t="s">
        <v>43</v>
      </c>
      <c r="J5449" t="s">
        <v>44</v>
      </c>
      <c r="K5449" t="s">
        <v>36</v>
      </c>
      <c r="L5449" t="s">
        <v>45</v>
      </c>
      <c r="M5449">
        <v>0</v>
      </c>
      <c r="N5449">
        <v>0</v>
      </c>
      <c r="O5449">
        <v>39764</v>
      </c>
      <c r="P5449">
        <v>39763</v>
      </c>
      <c r="Q5449">
        <f>38-14.5</f>
        <v>23.5</v>
      </c>
      <c r="R5449" t="s">
        <v>1021</v>
      </c>
      <c r="S5449" t="s">
        <v>102</v>
      </c>
      <c r="AB5449" t="s">
        <v>47</v>
      </c>
      <c r="AC5449" t="s">
        <v>87</v>
      </c>
      <c r="AD5449" t="s">
        <v>1088</v>
      </c>
    </row>
    <row r="5450" spans="1:30" x14ac:dyDescent="0.35">
      <c r="A5450" s="7">
        <v>42948</v>
      </c>
      <c r="B5450" t="s">
        <v>30</v>
      </c>
      <c r="C5450">
        <v>901</v>
      </c>
      <c r="D5450">
        <v>3</v>
      </c>
      <c r="E5450">
        <v>2</v>
      </c>
      <c r="F5450" t="s">
        <v>1020</v>
      </c>
      <c r="G5450" t="s">
        <v>32</v>
      </c>
      <c r="H5450" t="s">
        <v>33</v>
      </c>
      <c r="I5450" t="s">
        <v>59</v>
      </c>
      <c r="AB5450" t="s">
        <v>47</v>
      </c>
      <c r="AC5450" t="s">
        <v>87</v>
      </c>
    </row>
    <row r="5451" spans="1:30" x14ac:dyDescent="0.35">
      <c r="A5451" s="7">
        <v>42949</v>
      </c>
      <c r="B5451" t="s">
        <v>30</v>
      </c>
      <c r="C5451">
        <v>303</v>
      </c>
      <c r="D5451">
        <v>1</v>
      </c>
      <c r="E5451">
        <v>1</v>
      </c>
      <c r="F5451" t="s">
        <v>315</v>
      </c>
      <c r="G5451" t="s">
        <v>32</v>
      </c>
      <c r="H5451" t="s">
        <v>33</v>
      </c>
      <c r="I5451" t="s">
        <v>59</v>
      </c>
      <c r="AB5451" t="s">
        <v>117</v>
      </c>
      <c r="AC5451" t="s">
        <v>87</v>
      </c>
    </row>
    <row r="5452" spans="1:30" x14ac:dyDescent="0.35">
      <c r="A5452" s="7">
        <v>42949</v>
      </c>
      <c r="B5452" t="s">
        <v>30</v>
      </c>
      <c r="C5452">
        <v>303</v>
      </c>
      <c r="D5452">
        <v>1</v>
      </c>
      <c r="E5452">
        <v>2</v>
      </c>
      <c r="F5452" t="s">
        <v>315</v>
      </c>
      <c r="G5452" t="s">
        <v>32</v>
      </c>
      <c r="H5452" t="s">
        <v>33</v>
      </c>
      <c r="I5452" t="s">
        <v>59</v>
      </c>
      <c r="AB5452" t="s">
        <v>117</v>
      </c>
      <c r="AC5452" t="s">
        <v>87</v>
      </c>
    </row>
    <row r="5453" spans="1:30" x14ac:dyDescent="0.35">
      <c r="A5453" s="7">
        <v>42949</v>
      </c>
      <c r="B5453" t="s">
        <v>30</v>
      </c>
      <c r="C5453">
        <v>303</v>
      </c>
      <c r="D5453">
        <v>2</v>
      </c>
      <c r="E5453">
        <v>1</v>
      </c>
      <c r="F5453" t="s">
        <v>315</v>
      </c>
      <c r="G5453" t="s">
        <v>32</v>
      </c>
      <c r="H5453" t="s">
        <v>33</v>
      </c>
      <c r="I5453" t="s">
        <v>59</v>
      </c>
      <c r="AB5453" t="s">
        <v>117</v>
      </c>
      <c r="AC5453" t="s">
        <v>87</v>
      </c>
    </row>
    <row r="5454" spans="1:30" x14ac:dyDescent="0.35">
      <c r="A5454" s="7">
        <v>42949</v>
      </c>
      <c r="B5454" t="s">
        <v>30</v>
      </c>
      <c r="C5454">
        <v>303</v>
      </c>
      <c r="D5454">
        <v>2</v>
      </c>
      <c r="E5454">
        <v>2</v>
      </c>
      <c r="F5454" t="s">
        <v>315</v>
      </c>
      <c r="G5454" t="s">
        <v>32</v>
      </c>
      <c r="H5454" t="s">
        <v>33</v>
      </c>
      <c r="I5454" t="s">
        <v>59</v>
      </c>
      <c r="AB5454" t="s">
        <v>117</v>
      </c>
      <c r="AC5454" t="s">
        <v>87</v>
      </c>
    </row>
    <row r="5455" spans="1:30" x14ac:dyDescent="0.35">
      <c r="A5455" s="7">
        <v>42949</v>
      </c>
      <c r="B5455" t="s">
        <v>30</v>
      </c>
      <c r="C5455">
        <v>303</v>
      </c>
      <c r="D5455">
        <v>3</v>
      </c>
      <c r="E5455">
        <v>1</v>
      </c>
      <c r="F5455" t="s">
        <v>315</v>
      </c>
      <c r="G5455" t="s">
        <v>32</v>
      </c>
      <c r="H5455" t="s">
        <v>33</v>
      </c>
      <c r="I5455" t="s">
        <v>59</v>
      </c>
      <c r="AB5455" t="s">
        <v>117</v>
      </c>
      <c r="AC5455" t="s">
        <v>87</v>
      </c>
    </row>
    <row r="5456" spans="1:30" x14ac:dyDescent="0.35">
      <c r="A5456" s="7">
        <v>42949</v>
      </c>
      <c r="B5456" t="s">
        <v>30</v>
      </c>
      <c r="C5456">
        <v>303</v>
      </c>
      <c r="D5456">
        <v>3</v>
      </c>
      <c r="E5456">
        <v>2</v>
      </c>
      <c r="F5456" t="s">
        <v>315</v>
      </c>
      <c r="G5456" t="s">
        <v>32</v>
      </c>
      <c r="H5456" t="s">
        <v>33</v>
      </c>
      <c r="I5456" t="s">
        <v>59</v>
      </c>
      <c r="AB5456" t="s">
        <v>117</v>
      </c>
      <c r="AC5456" t="s">
        <v>87</v>
      </c>
    </row>
    <row r="5457" spans="1:30" x14ac:dyDescent="0.35">
      <c r="A5457" s="7">
        <v>42949</v>
      </c>
      <c r="B5457" t="s">
        <v>30</v>
      </c>
      <c r="C5457">
        <v>303</v>
      </c>
      <c r="D5457">
        <v>4</v>
      </c>
      <c r="E5457">
        <v>1</v>
      </c>
      <c r="F5457" t="s">
        <v>315</v>
      </c>
      <c r="G5457" t="s">
        <v>32</v>
      </c>
      <c r="H5457" t="s">
        <v>33</v>
      </c>
      <c r="I5457" t="s">
        <v>59</v>
      </c>
      <c r="AB5457" t="s">
        <v>117</v>
      </c>
      <c r="AC5457" t="s">
        <v>87</v>
      </c>
    </row>
    <row r="5458" spans="1:30" x14ac:dyDescent="0.35">
      <c r="A5458" s="7">
        <v>42949</v>
      </c>
      <c r="B5458" t="s">
        <v>30</v>
      </c>
      <c r="C5458">
        <v>303</v>
      </c>
      <c r="D5458">
        <v>4</v>
      </c>
      <c r="E5458">
        <v>2</v>
      </c>
      <c r="F5458" t="s">
        <v>315</v>
      </c>
      <c r="G5458" t="s">
        <v>32</v>
      </c>
      <c r="H5458" t="s">
        <v>33</v>
      </c>
      <c r="I5458" t="s">
        <v>59</v>
      </c>
      <c r="AB5458" t="s">
        <v>117</v>
      </c>
      <c r="AC5458" t="s">
        <v>87</v>
      </c>
    </row>
    <row r="5459" spans="1:30" x14ac:dyDescent="0.35">
      <c r="A5459" s="7">
        <v>42949</v>
      </c>
      <c r="B5459" t="s">
        <v>30</v>
      </c>
      <c r="C5459">
        <v>303</v>
      </c>
      <c r="D5459">
        <v>5</v>
      </c>
      <c r="E5459">
        <v>1</v>
      </c>
      <c r="F5459" t="s">
        <v>315</v>
      </c>
      <c r="G5459" t="s">
        <v>32</v>
      </c>
      <c r="H5459" t="s">
        <v>33</v>
      </c>
      <c r="I5459" t="s">
        <v>59</v>
      </c>
      <c r="AB5459" t="s">
        <v>117</v>
      </c>
      <c r="AC5459" t="s">
        <v>87</v>
      </c>
    </row>
    <row r="5460" spans="1:30" x14ac:dyDescent="0.35">
      <c r="A5460" s="7">
        <v>42949</v>
      </c>
      <c r="B5460" t="s">
        <v>30</v>
      </c>
      <c r="C5460">
        <v>303</v>
      </c>
      <c r="D5460">
        <v>5</v>
      </c>
      <c r="E5460">
        <v>2</v>
      </c>
      <c r="F5460" t="s">
        <v>315</v>
      </c>
      <c r="G5460" t="s">
        <v>32</v>
      </c>
      <c r="H5460" t="s">
        <v>33</v>
      </c>
      <c r="I5460" t="s">
        <v>72</v>
      </c>
      <c r="J5460" t="s">
        <v>56</v>
      </c>
      <c r="AB5460" t="s">
        <v>117</v>
      </c>
      <c r="AC5460" t="s">
        <v>87</v>
      </c>
    </row>
    <row r="5461" spans="1:30" x14ac:dyDescent="0.35">
      <c r="A5461" s="7">
        <v>42949</v>
      </c>
      <c r="B5461" t="s">
        <v>30</v>
      </c>
      <c r="C5461">
        <v>303</v>
      </c>
      <c r="D5461">
        <v>6</v>
      </c>
      <c r="E5461">
        <v>1</v>
      </c>
      <c r="F5461" t="s">
        <v>315</v>
      </c>
      <c r="G5461" t="s">
        <v>32</v>
      </c>
      <c r="H5461" t="s">
        <v>33</v>
      </c>
      <c r="I5461" t="s">
        <v>43</v>
      </c>
      <c r="J5461" t="s">
        <v>35</v>
      </c>
      <c r="K5461" t="s">
        <v>88</v>
      </c>
      <c r="L5461" t="s">
        <v>45</v>
      </c>
      <c r="M5461">
        <v>0</v>
      </c>
      <c r="N5461">
        <v>1</v>
      </c>
      <c r="O5461">
        <v>39437</v>
      </c>
      <c r="P5461">
        <v>39436</v>
      </c>
      <c r="Q5461">
        <f>29.5-14.5</f>
        <v>15</v>
      </c>
      <c r="R5461" t="s">
        <v>46</v>
      </c>
      <c r="S5461" t="s">
        <v>39</v>
      </c>
      <c r="AB5461" t="s">
        <v>117</v>
      </c>
      <c r="AC5461" t="s">
        <v>87</v>
      </c>
    </row>
    <row r="5462" spans="1:30" x14ac:dyDescent="0.35">
      <c r="A5462" s="7">
        <v>42949</v>
      </c>
      <c r="B5462" t="s">
        <v>30</v>
      </c>
      <c r="C5462">
        <v>303</v>
      </c>
      <c r="D5462">
        <v>7</v>
      </c>
      <c r="E5462">
        <v>1</v>
      </c>
      <c r="F5462" t="s">
        <v>315</v>
      </c>
      <c r="G5462" t="s">
        <v>32</v>
      </c>
      <c r="H5462" t="s">
        <v>33</v>
      </c>
      <c r="I5462" t="s">
        <v>59</v>
      </c>
      <c r="AB5462" t="s">
        <v>117</v>
      </c>
      <c r="AC5462" t="s">
        <v>87</v>
      </c>
    </row>
    <row r="5463" spans="1:30" x14ac:dyDescent="0.35">
      <c r="A5463" s="7">
        <v>42949</v>
      </c>
      <c r="B5463" t="s">
        <v>30</v>
      </c>
      <c r="C5463">
        <v>303</v>
      </c>
      <c r="D5463">
        <v>7</v>
      </c>
      <c r="E5463">
        <v>2</v>
      </c>
      <c r="F5463" t="s">
        <v>315</v>
      </c>
      <c r="G5463" t="s">
        <v>32</v>
      </c>
      <c r="H5463" t="s">
        <v>33</v>
      </c>
      <c r="I5463" t="s">
        <v>59</v>
      </c>
      <c r="AB5463" t="s">
        <v>117</v>
      </c>
      <c r="AC5463" t="s">
        <v>87</v>
      </c>
    </row>
    <row r="5464" spans="1:30" x14ac:dyDescent="0.35">
      <c r="A5464" s="7">
        <v>42949</v>
      </c>
      <c r="B5464" t="s">
        <v>30</v>
      </c>
      <c r="C5464">
        <v>303</v>
      </c>
      <c r="D5464">
        <v>8</v>
      </c>
      <c r="E5464">
        <v>1</v>
      </c>
      <c r="F5464" t="s">
        <v>315</v>
      </c>
      <c r="G5464" t="s">
        <v>32</v>
      </c>
      <c r="H5464" t="s">
        <v>33</v>
      </c>
      <c r="I5464" t="s">
        <v>43</v>
      </c>
      <c r="J5464" t="s">
        <v>44</v>
      </c>
      <c r="K5464" t="s">
        <v>113</v>
      </c>
      <c r="L5464" t="s">
        <v>37</v>
      </c>
      <c r="M5464">
        <v>0</v>
      </c>
      <c r="N5464">
        <v>0</v>
      </c>
      <c r="O5464">
        <v>39446</v>
      </c>
      <c r="P5464">
        <v>39445</v>
      </c>
      <c r="Q5464">
        <f>30-13.5</f>
        <v>16.5</v>
      </c>
      <c r="R5464" t="s">
        <v>38</v>
      </c>
      <c r="Z5464" t="s">
        <v>102</v>
      </c>
      <c r="AB5464" t="s">
        <v>117</v>
      </c>
      <c r="AC5464" t="s">
        <v>87</v>
      </c>
      <c r="AD5464" t="s">
        <v>1089</v>
      </c>
    </row>
    <row r="5465" spans="1:30" x14ac:dyDescent="0.35">
      <c r="A5465" s="7">
        <v>42949</v>
      </c>
      <c r="B5465" t="s">
        <v>30</v>
      </c>
      <c r="C5465">
        <v>303</v>
      </c>
      <c r="D5465">
        <v>8</v>
      </c>
      <c r="E5465">
        <v>2</v>
      </c>
      <c r="F5465" t="s">
        <v>315</v>
      </c>
      <c r="G5465" t="s">
        <v>32</v>
      </c>
      <c r="H5465" t="s">
        <v>33</v>
      </c>
      <c r="I5465" t="s">
        <v>59</v>
      </c>
      <c r="AB5465" t="s">
        <v>117</v>
      </c>
      <c r="AC5465" t="s">
        <v>87</v>
      </c>
    </row>
    <row r="5466" spans="1:30" x14ac:dyDescent="0.35">
      <c r="A5466" s="7">
        <v>42949</v>
      </c>
      <c r="B5466" t="s">
        <v>30</v>
      </c>
      <c r="C5466">
        <v>303</v>
      </c>
      <c r="D5466">
        <v>9</v>
      </c>
      <c r="E5466">
        <v>1</v>
      </c>
      <c r="F5466" t="s">
        <v>315</v>
      </c>
      <c r="G5466" t="s">
        <v>32</v>
      </c>
      <c r="H5466" t="s">
        <v>33</v>
      </c>
      <c r="I5466" t="s">
        <v>59</v>
      </c>
      <c r="AB5466" t="s">
        <v>117</v>
      </c>
      <c r="AC5466" t="s">
        <v>87</v>
      </c>
    </row>
    <row r="5467" spans="1:30" x14ac:dyDescent="0.35">
      <c r="A5467" s="7">
        <v>42949</v>
      </c>
      <c r="B5467" t="s">
        <v>30</v>
      </c>
      <c r="C5467">
        <v>303</v>
      </c>
      <c r="D5467">
        <v>9</v>
      </c>
      <c r="E5467">
        <v>2</v>
      </c>
      <c r="F5467" t="s">
        <v>315</v>
      </c>
      <c r="G5467" t="s">
        <v>32</v>
      </c>
      <c r="H5467" t="s">
        <v>33</v>
      </c>
      <c r="I5467" t="s">
        <v>43</v>
      </c>
      <c r="J5467" t="s">
        <v>44</v>
      </c>
      <c r="K5467" t="s">
        <v>113</v>
      </c>
      <c r="L5467" t="s">
        <v>37</v>
      </c>
      <c r="M5467">
        <v>0</v>
      </c>
      <c r="N5467">
        <v>0</v>
      </c>
      <c r="O5467">
        <v>39494</v>
      </c>
      <c r="P5467">
        <v>39493</v>
      </c>
      <c r="Q5467">
        <f>33.5-16</f>
        <v>17.5</v>
      </c>
      <c r="R5467" t="s">
        <v>38</v>
      </c>
      <c r="Z5467" t="s">
        <v>102</v>
      </c>
      <c r="AB5467" t="s">
        <v>117</v>
      </c>
      <c r="AC5467" t="s">
        <v>87</v>
      </c>
    </row>
    <row r="5468" spans="1:30" x14ac:dyDescent="0.35">
      <c r="A5468" s="7">
        <v>42949</v>
      </c>
      <c r="B5468" t="s">
        <v>30</v>
      </c>
      <c r="C5468">
        <v>401</v>
      </c>
      <c r="D5468">
        <v>1</v>
      </c>
      <c r="E5468">
        <v>1</v>
      </c>
      <c r="F5468" t="s">
        <v>315</v>
      </c>
      <c r="G5468" t="s">
        <v>32</v>
      </c>
      <c r="H5468" t="s">
        <v>33</v>
      </c>
      <c r="I5468" t="s">
        <v>58</v>
      </c>
      <c r="J5468" t="s">
        <v>44</v>
      </c>
      <c r="K5468" t="s">
        <v>36</v>
      </c>
      <c r="L5468" t="s">
        <v>45</v>
      </c>
      <c r="M5468">
        <v>0</v>
      </c>
      <c r="N5468">
        <v>0</v>
      </c>
      <c r="O5468">
        <v>39325</v>
      </c>
      <c r="Q5468">
        <f>40.5-14</f>
        <v>26.5</v>
      </c>
      <c r="R5468" t="s">
        <v>1021</v>
      </c>
      <c r="S5468" t="s">
        <v>102</v>
      </c>
      <c r="Z5468" t="s">
        <v>102</v>
      </c>
      <c r="AB5468" t="s">
        <v>117</v>
      </c>
      <c r="AC5468" t="s">
        <v>87</v>
      </c>
    </row>
    <row r="5469" spans="1:30" x14ac:dyDescent="0.35">
      <c r="A5469" s="7">
        <v>42949</v>
      </c>
      <c r="B5469" t="s">
        <v>30</v>
      </c>
      <c r="C5469">
        <v>401</v>
      </c>
      <c r="D5469">
        <v>3</v>
      </c>
      <c r="E5469">
        <v>1</v>
      </c>
      <c r="F5469" t="s">
        <v>315</v>
      </c>
      <c r="G5469" t="s">
        <v>32</v>
      </c>
      <c r="H5469" t="s">
        <v>33</v>
      </c>
      <c r="I5469" t="s">
        <v>59</v>
      </c>
      <c r="AB5469" t="s">
        <v>117</v>
      </c>
      <c r="AC5469" t="s">
        <v>87</v>
      </c>
    </row>
    <row r="5470" spans="1:30" x14ac:dyDescent="0.35">
      <c r="A5470" s="7">
        <v>42949</v>
      </c>
      <c r="B5470" t="s">
        <v>30</v>
      </c>
      <c r="C5470">
        <v>401</v>
      </c>
      <c r="D5470">
        <v>4</v>
      </c>
      <c r="E5470">
        <v>1</v>
      </c>
      <c r="F5470" t="s">
        <v>315</v>
      </c>
      <c r="G5470" t="s">
        <v>32</v>
      </c>
      <c r="H5470" t="s">
        <v>33</v>
      </c>
      <c r="I5470" t="s">
        <v>59</v>
      </c>
      <c r="AB5470" t="s">
        <v>117</v>
      </c>
      <c r="AC5470" t="s">
        <v>87</v>
      </c>
    </row>
    <row r="5471" spans="1:30" x14ac:dyDescent="0.35">
      <c r="A5471" s="7">
        <v>42949</v>
      </c>
      <c r="B5471" t="s">
        <v>30</v>
      </c>
      <c r="C5471">
        <v>401</v>
      </c>
      <c r="D5471">
        <v>5</v>
      </c>
      <c r="E5471">
        <v>1</v>
      </c>
      <c r="F5471" t="s">
        <v>315</v>
      </c>
      <c r="G5471" t="s">
        <v>32</v>
      </c>
      <c r="H5471" t="s">
        <v>33</v>
      </c>
      <c r="I5471" t="s">
        <v>58</v>
      </c>
      <c r="J5471" t="s">
        <v>44</v>
      </c>
      <c r="K5471" t="s">
        <v>36</v>
      </c>
      <c r="L5471" t="s">
        <v>37</v>
      </c>
      <c r="M5471">
        <v>0</v>
      </c>
      <c r="N5471">
        <v>0</v>
      </c>
      <c r="O5471">
        <v>39195</v>
      </c>
      <c r="Q5471">
        <f>43.5-16</f>
        <v>27.5</v>
      </c>
      <c r="R5471" t="s">
        <v>38</v>
      </c>
      <c r="Z5471" t="s">
        <v>102</v>
      </c>
      <c r="AA5471" t="s">
        <v>1090</v>
      </c>
      <c r="AB5471" t="s">
        <v>117</v>
      </c>
      <c r="AC5471" t="s">
        <v>87</v>
      </c>
      <c r="AD5471" t="s">
        <v>1091</v>
      </c>
    </row>
    <row r="5472" spans="1:30" x14ac:dyDescent="0.35">
      <c r="A5472" s="7">
        <v>42949</v>
      </c>
      <c r="B5472" t="s">
        <v>30</v>
      </c>
      <c r="C5472">
        <v>401</v>
      </c>
      <c r="D5472">
        <v>6</v>
      </c>
      <c r="E5472">
        <v>1</v>
      </c>
      <c r="F5472" t="s">
        <v>315</v>
      </c>
      <c r="G5472" t="s">
        <v>32</v>
      </c>
      <c r="H5472" t="s">
        <v>33</v>
      </c>
      <c r="I5472" t="s">
        <v>59</v>
      </c>
      <c r="AB5472" t="s">
        <v>117</v>
      </c>
      <c r="AC5472" t="s">
        <v>87</v>
      </c>
    </row>
    <row r="5473" spans="1:29" x14ac:dyDescent="0.35">
      <c r="A5473" s="7">
        <v>42949</v>
      </c>
      <c r="B5473" t="s">
        <v>30</v>
      </c>
      <c r="C5473">
        <v>401</v>
      </c>
      <c r="D5473">
        <v>10</v>
      </c>
      <c r="E5473">
        <v>1</v>
      </c>
      <c r="F5473" t="s">
        <v>315</v>
      </c>
      <c r="G5473" t="s">
        <v>32</v>
      </c>
      <c r="H5473" t="s">
        <v>33</v>
      </c>
      <c r="I5473" t="s">
        <v>59</v>
      </c>
      <c r="AB5473" t="s">
        <v>117</v>
      </c>
      <c r="AC5473" t="s">
        <v>87</v>
      </c>
    </row>
    <row r="5474" spans="1:29" x14ac:dyDescent="0.35">
      <c r="A5474" s="7">
        <v>42949</v>
      </c>
      <c r="B5474" t="s">
        <v>30</v>
      </c>
      <c r="C5474">
        <v>501</v>
      </c>
      <c r="D5474">
        <v>1</v>
      </c>
      <c r="E5474">
        <v>1</v>
      </c>
      <c r="F5474" t="s">
        <v>315</v>
      </c>
      <c r="G5474" t="s">
        <v>32</v>
      </c>
      <c r="H5474" t="s">
        <v>33</v>
      </c>
      <c r="I5474" t="s">
        <v>1029</v>
      </c>
      <c r="J5474" t="s">
        <v>66</v>
      </c>
      <c r="AB5474" t="s">
        <v>117</v>
      </c>
      <c r="AC5474" t="s">
        <v>87</v>
      </c>
    </row>
    <row r="5475" spans="1:29" x14ac:dyDescent="0.35">
      <c r="A5475" s="7">
        <v>42949</v>
      </c>
      <c r="B5475" t="s">
        <v>30</v>
      </c>
      <c r="C5475">
        <v>501</v>
      </c>
      <c r="D5475">
        <v>1</v>
      </c>
      <c r="E5475">
        <v>2</v>
      </c>
      <c r="F5475" t="s">
        <v>315</v>
      </c>
      <c r="G5475" t="s">
        <v>32</v>
      </c>
      <c r="H5475" t="s">
        <v>33</v>
      </c>
      <c r="I5475" t="s">
        <v>59</v>
      </c>
      <c r="AB5475" t="s">
        <v>117</v>
      </c>
      <c r="AC5475" t="s">
        <v>87</v>
      </c>
    </row>
    <row r="5476" spans="1:29" x14ac:dyDescent="0.35">
      <c r="A5476" s="7">
        <v>42949</v>
      </c>
      <c r="B5476" t="s">
        <v>30</v>
      </c>
      <c r="C5476">
        <v>501</v>
      </c>
      <c r="D5476">
        <v>2</v>
      </c>
      <c r="E5476">
        <v>1</v>
      </c>
      <c r="F5476" t="s">
        <v>315</v>
      </c>
      <c r="G5476" t="s">
        <v>32</v>
      </c>
      <c r="H5476" t="s">
        <v>33</v>
      </c>
      <c r="I5476" t="s">
        <v>59</v>
      </c>
      <c r="AB5476" t="s">
        <v>117</v>
      </c>
      <c r="AC5476" t="s">
        <v>87</v>
      </c>
    </row>
    <row r="5477" spans="1:29" x14ac:dyDescent="0.35">
      <c r="A5477" s="7">
        <v>42949</v>
      </c>
      <c r="B5477" t="s">
        <v>30</v>
      </c>
      <c r="C5477">
        <v>501</v>
      </c>
      <c r="D5477">
        <v>4</v>
      </c>
      <c r="E5477">
        <v>1</v>
      </c>
      <c r="F5477" t="s">
        <v>315</v>
      </c>
      <c r="G5477" t="s">
        <v>32</v>
      </c>
      <c r="H5477" t="s">
        <v>33</v>
      </c>
      <c r="I5477" t="s">
        <v>1029</v>
      </c>
      <c r="J5477" t="s">
        <v>56</v>
      </c>
      <c r="AB5477" t="s">
        <v>117</v>
      </c>
      <c r="AC5477" t="s">
        <v>87</v>
      </c>
    </row>
    <row r="5478" spans="1:29" x14ac:dyDescent="0.35">
      <c r="A5478" s="7">
        <v>42949</v>
      </c>
      <c r="B5478" t="s">
        <v>30</v>
      </c>
      <c r="C5478">
        <v>501</v>
      </c>
      <c r="D5478">
        <v>5</v>
      </c>
      <c r="E5478">
        <v>1</v>
      </c>
      <c r="F5478" t="s">
        <v>315</v>
      </c>
      <c r="G5478" t="s">
        <v>32</v>
      </c>
      <c r="H5478" t="s">
        <v>33</v>
      </c>
      <c r="I5478" t="s">
        <v>34</v>
      </c>
      <c r="J5478" t="s">
        <v>35</v>
      </c>
      <c r="K5478" t="s">
        <v>36</v>
      </c>
      <c r="L5478" t="s">
        <v>37</v>
      </c>
      <c r="M5478">
        <v>0</v>
      </c>
      <c r="N5478">
        <v>1</v>
      </c>
      <c r="O5478">
        <v>39441</v>
      </c>
      <c r="Q5478">
        <f>136-50</f>
        <v>86</v>
      </c>
      <c r="R5478" t="s">
        <v>64</v>
      </c>
      <c r="Z5478" t="s">
        <v>102</v>
      </c>
      <c r="AB5478" t="s">
        <v>117</v>
      </c>
      <c r="AC5478" t="s">
        <v>87</v>
      </c>
    </row>
    <row r="5479" spans="1:29" x14ac:dyDescent="0.35">
      <c r="A5479" s="7">
        <v>42949</v>
      </c>
      <c r="B5479" t="s">
        <v>30</v>
      </c>
      <c r="C5479">
        <v>501</v>
      </c>
      <c r="D5479">
        <v>7</v>
      </c>
      <c r="E5479">
        <v>1</v>
      </c>
      <c r="F5479" t="s">
        <v>315</v>
      </c>
      <c r="G5479" t="s">
        <v>32</v>
      </c>
      <c r="H5479" t="s">
        <v>33</v>
      </c>
      <c r="I5479" t="s">
        <v>59</v>
      </c>
      <c r="AB5479" t="s">
        <v>117</v>
      </c>
      <c r="AC5479" t="s">
        <v>87</v>
      </c>
    </row>
    <row r="5480" spans="1:29" x14ac:dyDescent="0.35">
      <c r="A5480" s="7">
        <v>42949</v>
      </c>
      <c r="B5480" t="s">
        <v>30</v>
      </c>
      <c r="C5480">
        <v>501</v>
      </c>
      <c r="D5480">
        <v>7</v>
      </c>
      <c r="E5480">
        <v>2</v>
      </c>
      <c r="F5480" t="s">
        <v>315</v>
      </c>
      <c r="G5480" t="s">
        <v>32</v>
      </c>
      <c r="H5480" t="s">
        <v>33</v>
      </c>
      <c r="I5480" t="s">
        <v>59</v>
      </c>
      <c r="AB5480" t="s">
        <v>117</v>
      </c>
      <c r="AC5480" t="s">
        <v>87</v>
      </c>
    </row>
    <row r="5481" spans="1:29" x14ac:dyDescent="0.35">
      <c r="A5481" s="7">
        <v>42949</v>
      </c>
      <c r="B5481" t="s">
        <v>30</v>
      </c>
      <c r="C5481">
        <v>501</v>
      </c>
      <c r="D5481">
        <v>8</v>
      </c>
      <c r="E5481">
        <v>1</v>
      </c>
      <c r="F5481" t="s">
        <v>315</v>
      </c>
      <c r="G5481" t="s">
        <v>32</v>
      </c>
      <c r="H5481" t="s">
        <v>33</v>
      </c>
      <c r="I5481" t="s">
        <v>59</v>
      </c>
      <c r="AB5481" t="s">
        <v>117</v>
      </c>
      <c r="AC5481" t="s">
        <v>87</v>
      </c>
    </row>
    <row r="5482" spans="1:29" x14ac:dyDescent="0.35">
      <c r="A5482" s="7">
        <v>42949</v>
      </c>
      <c r="B5482" t="s">
        <v>30</v>
      </c>
      <c r="C5482">
        <v>501</v>
      </c>
      <c r="D5482">
        <v>9</v>
      </c>
      <c r="E5482">
        <v>1</v>
      </c>
      <c r="F5482" t="s">
        <v>315</v>
      </c>
      <c r="G5482" t="s">
        <v>32</v>
      </c>
      <c r="H5482" t="s">
        <v>33</v>
      </c>
      <c r="I5482" t="s">
        <v>58</v>
      </c>
      <c r="J5482" t="s">
        <v>35</v>
      </c>
      <c r="K5482" t="s">
        <v>36</v>
      </c>
      <c r="L5482" t="s">
        <v>37</v>
      </c>
      <c r="M5482">
        <v>0</v>
      </c>
      <c r="N5482">
        <v>1</v>
      </c>
      <c r="O5482">
        <v>39940</v>
      </c>
      <c r="Q5482">
        <f>40-16.5</f>
        <v>23.5</v>
      </c>
      <c r="R5482" t="s">
        <v>38</v>
      </c>
      <c r="Z5482" t="s">
        <v>102</v>
      </c>
      <c r="AB5482" t="s">
        <v>117</v>
      </c>
      <c r="AC5482" t="s">
        <v>87</v>
      </c>
    </row>
    <row r="5483" spans="1:29" x14ac:dyDescent="0.35">
      <c r="A5483" s="7">
        <v>42949</v>
      </c>
      <c r="B5483" t="s">
        <v>30</v>
      </c>
      <c r="C5483">
        <v>501</v>
      </c>
      <c r="D5483">
        <v>9</v>
      </c>
      <c r="E5483">
        <v>2</v>
      </c>
      <c r="F5483" t="s">
        <v>315</v>
      </c>
      <c r="G5483" t="s">
        <v>32</v>
      </c>
      <c r="H5483" t="s">
        <v>33</v>
      </c>
      <c r="I5483" t="s">
        <v>58</v>
      </c>
      <c r="J5483" t="s">
        <v>35</v>
      </c>
      <c r="K5483" t="s">
        <v>36</v>
      </c>
      <c r="L5483" t="s">
        <v>45</v>
      </c>
      <c r="M5483">
        <v>0</v>
      </c>
      <c r="N5483">
        <v>1</v>
      </c>
      <c r="O5483">
        <v>39439</v>
      </c>
      <c r="Q5483">
        <f>37-15.5</f>
        <v>21.5</v>
      </c>
      <c r="R5483" t="s">
        <v>79</v>
      </c>
      <c r="S5483" t="s">
        <v>39</v>
      </c>
      <c r="Z5483" t="s">
        <v>102</v>
      </c>
      <c r="AA5483" t="s">
        <v>1092</v>
      </c>
      <c r="AB5483" t="s">
        <v>117</v>
      </c>
      <c r="AC5483" t="s">
        <v>87</v>
      </c>
    </row>
    <row r="5484" spans="1:29" x14ac:dyDescent="0.35">
      <c r="A5484" s="7">
        <v>42949</v>
      </c>
      <c r="B5484" t="s">
        <v>30</v>
      </c>
      <c r="C5484">
        <v>501</v>
      </c>
      <c r="D5484">
        <v>10</v>
      </c>
      <c r="E5484">
        <v>1</v>
      </c>
      <c r="F5484" t="s">
        <v>315</v>
      </c>
      <c r="G5484" t="s">
        <v>32</v>
      </c>
      <c r="H5484" t="s">
        <v>33</v>
      </c>
      <c r="I5484" t="s">
        <v>58</v>
      </c>
      <c r="J5484" t="s">
        <v>35</v>
      </c>
      <c r="K5484" t="s">
        <v>36</v>
      </c>
      <c r="L5484" t="s">
        <v>37</v>
      </c>
      <c r="M5484">
        <v>0</v>
      </c>
      <c r="N5484">
        <v>1</v>
      </c>
      <c r="O5484">
        <v>39438</v>
      </c>
      <c r="Q5484">
        <f>40.5-16</f>
        <v>24.5</v>
      </c>
      <c r="R5484" t="s">
        <v>38</v>
      </c>
      <c r="Z5484" t="s">
        <v>102</v>
      </c>
      <c r="AA5484" t="s">
        <v>1093</v>
      </c>
      <c r="AB5484" t="s">
        <v>117</v>
      </c>
      <c r="AC5484" t="s">
        <v>87</v>
      </c>
    </row>
    <row r="5485" spans="1:29" x14ac:dyDescent="0.35">
      <c r="A5485" s="7">
        <v>42949</v>
      </c>
      <c r="B5485" t="s">
        <v>30</v>
      </c>
      <c r="C5485">
        <v>501</v>
      </c>
      <c r="D5485">
        <v>10</v>
      </c>
      <c r="E5485">
        <v>2</v>
      </c>
      <c r="F5485" t="s">
        <v>315</v>
      </c>
      <c r="G5485" t="s">
        <v>32</v>
      </c>
      <c r="H5485" t="s">
        <v>33</v>
      </c>
      <c r="I5485" t="s">
        <v>34</v>
      </c>
      <c r="J5485" t="s">
        <v>44</v>
      </c>
      <c r="K5485" t="s">
        <v>36</v>
      </c>
      <c r="L5485" t="s">
        <v>45</v>
      </c>
      <c r="M5485">
        <v>0</v>
      </c>
      <c r="N5485">
        <v>0</v>
      </c>
      <c r="P5485">
        <v>39189</v>
      </c>
      <c r="Q5485">
        <f>130-51</f>
        <v>79</v>
      </c>
      <c r="R5485" t="s">
        <v>1021</v>
      </c>
      <c r="S5485" t="s">
        <v>102</v>
      </c>
      <c r="Z5485" t="s">
        <v>102</v>
      </c>
      <c r="AA5485" t="s">
        <v>1094</v>
      </c>
      <c r="AB5485" t="s">
        <v>117</v>
      </c>
      <c r="AC5485" t="s">
        <v>87</v>
      </c>
    </row>
    <row r="5486" spans="1:29" x14ac:dyDescent="0.35">
      <c r="A5486" s="7">
        <v>42949</v>
      </c>
      <c r="B5486" t="s">
        <v>30</v>
      </c>
      <c r="C5486">
        <v>503</v>
      </c>
      <c r="D5486">
        <v>1</v>
      </c>
      <c r="E5486">
        <v>1</v>
      </c>
      <c r="F5486" t="s">
        <v>315</v>
      </c>
      <c r="G5486" t="s">
        <v>32</v>
      </c>
      <c r="H5486" t="s">
        <v>33</v>
      </c>
      <c r="I5486" t="s">
        <v>59</v>
      </c>
      <c r="AB5486" t="s">
        <v>117</v>
      </c>
      <c r="AC5486" t="s">
        <v>87</v>
      </c>
    </row>
    <row r="5487" spans="1:29" x14ac:dyDescent="0.35">
      <c r="A5487" s="7">
        <v>42949</v>
      </c>
      <c r="B5487" t="s">
        <v>30</v>
      </c>
      <c r="C5487">
        <v>503</v>
      </c>
      <c r="D5487">
        <v>2</v>
      </c>
      <c r="E5487">
        <v>1</v>
      </c>
      <c r="F5487" t="s">
        <v>315</v>
      </c>
      <c r="G5487" t="s">
        <v>32</v>
      </c>
      <c r="H5487" t="s">
        <v>33</v>
      </c>
      <c r="I5487" t="s">
        <v>59</v>
      </c>
      <c r="AB5487" t="s">
        <v>117</v>
      </c>
      <c r="AC5487" t="s">
        <v>87</v>
      </c>
    </row>
    <row r="5488" spans="1:29" x14ac:dyDescent="0.35">
      <c r="A5488" s="7">
        <v>42949</v>
      </c>
      <c r="B5488" t="s">
        <v>30</v>
      </c>
      <c r="C5488">
        <v>503</v>
      </c>
      <c r="D5488">
        <v>2</v>
      </c>
      <c r="E5488">
        <v>2</v>
      </c>
      <c r="F5488" t="s">
        <v>315</v>
      </c>
      <c r="G5488" t="s">
        <v>32</v>
      </c>
      <c r="H5488" t="s">
        <v>33</v>
      </c>
      <c r="I5488" t="s">
        <v>72</v>
      </c>
      <c r="J5488" t="s">
        <v>56</v>
      </c>
      <c r="AB5488" t="s">
        <v>117</v>
      </c>
      <c r="AC5488" t="s">
        <v>87</v>
      </c>
    </row>
    <row r="5489" spans="1:30" x14ac:dyDescent="0.35">
      <c r="A5489" s="7">
        <v>42949</v>
      </c>
      <c r="B5489" t="s">
        <v>30</v>
      </c>
      <c r="C5489">
        <v>503</v>
      </c>
      <c r="D5489">
        <v>5</v>
      </c>
      <c r="E5489">
        <v>1</v>
      </c>
      <c r="F5489" t="s">
        <v>315</v>
      </c>
      <c r="G5489" t="s">
        <v>32</v>
      </c>
      <c r="H5489" t="s">
        <v>33</v>
      </c>
      <c r="I5489" t="s">
        <v>43</v>
      </c>
      <c r="J5489" t="s">
        <v>44</v>
      </c>
      <c r="K5489" t="s">
        <v>113</v>
      </c>
      <c r="L5489" t="s">
        <v>37</v>
      </c>
      <c r="M5489">
        <v>0</v>
      </c>
      <c r="N5489">
        <v>0</v>
      </c>
      <c r="O5489">
        <v>39475</v>
      </c>
      <c r="P5489">
        <v>39474</v>
      </c>
      <c r="Q5489">
        <f>32.5-16.5</f>
        <v>16</v>
      </c>
      <c r="R5489" t="s">
        <v>38</v>
      </c>
      <c r="AB5489" t="s">
        <v>117</v>
      </c>
      <c r="AC5489" t="s">
        <v>87</v>
      </c>
    </row>
    <row r="5490" spans="1:30" x14ac:dyDescent="0.35">
      <c r="A5490" s="7">
        <v>42949</v>
      </c>
      <c r="B5490" t="s">
        <v>30</v>
      </c>
      <c r="C5490">
        <v>503</v>
      </c>
      <c r="D5490">
        <v>5</v>
      </c>
      <c r="E5490">
        <v>2</v>
      </c>
      <c r="F5490" t="s">
        <v>315</v>
      </c>
      <c r="G5490" t="s">
        <v>32</v>
      </c>
      <c r="H5490" t="s">
        <v>33</v>
      </c>
      <c r="I5490" t="s">
        <v>43</v>
      </c>
      <c r="J5490" t="s">
        <v>44</v>
      </c>
      <c r="K5490" t="s">
        <v>36</v>
      </c>
      <c r="L5490" t="s">
        <v>45</v>
      </c>
      <c r="M5490">
        <v>0</v>
      </c>
      <c r="N5490">
        <v>0</v>
      </c>
      <c r="O5490">
        <v>39314</v>
      </c>
      <c r="P5490">
        <v>39315</v>
      </c>
      <c r="Q5490">
        <f>34.5-14.5</f>
        <v>20</v>
      </c>
      <c r="R5490" t="s">
        <v>46</v>
      </c>
      <c r="S5490" t="s">
        <v>39</v>
      </c>
      <c r="Z5490" t="s">
        <v>102</v>
      </c>
      <c r="AB5490" t="s">
        <v>117</v>
      </c>
      <c r="AC5490" t="s">
        <v>87</v>
      </c>
    </row>
    <row r="5491" spans="1:30" x14ac:dyDescent="0.35">
      <c r="A5491" s="7">
        <v>42949</v>
      </c>
      <c r="B5491" t="s">
        <v>30</v>
      </c>
      <c r="C5491">
        <v>503</v>
      </c>
      <c r="D5491">
        <v>6</v>
      </c>
      <c r="E5491">
        <v>1</v>
      </c>
      <c r="F5491" t="s">
        <v>315</v>
      </c>
      <c r="G5491" t="s">
        <v>32</v>
      </c>
      <c r="H5491" t="s">
        <v>33</v>
      </c>
      <c r="I5491" t="s">
        <v>59</v>
      </c>
      <c r="AB5491" t="s">
        <v>117</v>
      </c>
      <c r="AC5491" t="s">
        <v>87</v>
      </c>
    </row>
    <row r="5492" spans="1:30" x14ac:dyDescent="0.35">
      <c r="A5492" s="7">
        <v>42949</v>
      </c>
      <c r="B5492" t="s">
        <v>30</v>
      </c>
      <c r="C5492">
        <v>503</v>
      </c>
      <c r="D5492">
        <v>7</v>
      </c>
      <c r="E5492">
        <v>1</v>
      </c>
      <c r="F5492" t="s">
        <v>315</v>
      </c>
      <c r="G5492" t="s">
        <v>32</v>
      </c>
      <c r="H5492" t="s">
        <v>33</v>
      </c>
      <c r="I5492" t="s">
        <v>59</v>
      </c>
      <c r="AB5492" t="s">
        <v>117</v>
      </c>
      <c r="AC5492" t="s">
        <v>87</v>
      </c>
    </row>
    <row r="5493" spans="1:30" x14ac:dyDescent="0.35">
      <c r="A5493" s="7">
        <v>42949</v>
      </c>
      <c r="B5493" t="s">
        <v>30</v>
      </c>
      <c r="C5493">
        <v>503</v>
      </c>
      <c r="D5493">
        <v>8</v>
      </c>
      <c r="E5493">
        <v>1</v>
      </c>
      <c r="F5493" t="s">
        <v>315</v>
      </c>
      <c r="G5493" t="s">
        <v>32</v>
      </c>
      <c r="H5493" t="s">
        <v>33</v>
      </c>
      <c r="I5493" t="s">
        <v>59</v>
      </c>
      <c r="AB5493" t="s">
        <v>117</v>
      </c>
      <c r="AC5493" t="s">
        <v>87</v>
      </c>
    </row>
    <row r="5494" spans="1:30" x14ac:dyDescent="0.35">
      <c r="A5494" s="7">
        <v>42949</v>
      </c>
      <c r="B5494" t="s">
        <v>30</v>
      </c>
      <c r="C5494">
        <v>503</v>
      </c>
      <c r="D5494">
        <v>8</v>
      </c>
      <c r="E5494">
        <v>2</v>
      </c>
      <c r="F5494" t="s">
        <v>315</v>
      </c>
      <c r="G5494" t="s">
        <v>32</v>
      </c>
      <c r="H5494" t="s">
        <v>33</v>
      </c>
      <c r="I5494" t="s">
        <v>59</v>
      </c>
      <c r="AB5494" t="s">
        <v>117</v>
      </c>
      <c r="AC5494" t="s">
        <v>87</v>
      </c>
    </row>
    <row r="5495" spans="1:30" x14ac:dyDescent="0.35">
      <c r="A5495" s="7">
        <v>42949</v>
      </c>
      <c r="B5495" t="s">
        <v>30</v>
      </c>
      <c r="C5495">
        <v>503</v>
      </c>
      <c r="D5495">
        <v>9</v>
      </c>
      <c r="E5495">
        <v>1</v>
      </c>
      <c r="F5495" t="s">
        <v>315</v>
      </c>
      <c r="G5495" t="s">
        <v>32</v>
      </c>
      <c r="H5495" t="s">
        <v>33</v>
      </c>
      <c r="I5495" t="s">
        <v>59</v>
      </c>
      <c r="AB5495" t="s">
        <v>117</v>
      </c>
      <c r="AC5495" t="s">
        <v>87</v>
      </c>
    </row>
    <row r="5496" spans="1:30" x14ac:dyDescent="0.35">
      <c r="A5496" s="7">
        <v>42949</v>
      </c>
      <c r="B5496" t="s">
        <v>30</v>
      </c>
      <c r="C5496">
        <v>503</v>
      </c>
      <c r="D5496">
        <v>9</v>
      </c>
      <c r="E5496">
        <v>2</v>
      </c>
      <c r="F5496" t="s">
        <v>315</v>
      </c>
      <c r="G5496" t="s">
        <v>32</v>
      </c>
      <c r="H5496" t="s">
        <v>33</v>
      </c>
      <c r="I5496" t="s">
        <v>94</v>
      </c>
      <c r="J5496" t="s">
        <v>92</v>
      </c>
      <c r="AB5496" t="s">
        <v>117</v>
      </c>
      <c r="AC5496" t="s">
        <v>87</v>
      </c>
    </row>
    <row r="5497" spans="1:30" x14ac:dyDescent="0.35">
      <c r="A5497" s="7">
        <v>42949</v>
      </c>
      <c r="B5497" t="s">
        <v>30</v>
      </c>
      <c r="C5497">
        <v>503</v>
      </c>
      <c r="D5497">
        <v>10</v>
      </c>
      <c r="E5497">
        <v>1</v>
      </c>
      <c r="F5497" t="s">
        <v>315</v>
      </c>
      <c r="G5497" t="s">
        <v>32</v>
      </c>
      <c r="H5497" t="s">
        <v>33</v>
      </c>
      <c r="I5497" t="s">
        <v>59</v>
      </c>
      <c r="AB5497" t="s">
        <v>117</v>
      </c>
      <c r="AC5497" t="s">
        <v>87</v>
      </c>
    </row>
    <row r="5498" spans="1:30" x14ac:dyDescent="0.35">
      <c r="A5498" s="7">
        <v>42949</v>
      </c>
      <c r="B5498" t="s">
        <v>30</v>
      </c>
      <c r="C5498">
        <v>503</v>
      </c>
      <c r="D5498">
        <v>10</v>
      </c>
      <c r="E5498">
        <v>2</v>
      </c>
      <c r="F5498" t="s">
        <v>315</v>
      </c>
      <c r="G5498" t="s">
        <v>32</v>
      </c>
      <c r="H5498" t="s">
        <v>33</v>
      </c>
      <c r="I5498" t="s">
        <v>1029</v>
      </c>
      <c r="J5498" t="s">
        <v>66</v>
      </c>
      <c r="AB5498" t="s">
        <v>117</v>
      </c>
      <c r="AC5498" t="s">
        <v>87</v>
      </c>
    </row>
    <row r="5499" spans="1:30" x14ac:dyDescent="0.35">
      <c r="A5499" s="7">
        <v>42949</v>
      </c>
      <c r="B5499" t="s">
        <v>30</v>
      </c>
      <c r="C5499">
        <v>701</v>
      </c>
      <c r="D5499">
        <v>2</v>
      </c>
      <c r="E5499">
        <v>1</v>
      </c>
      <c r="F5499" t="s">
        <v>1020</v>
      </c>
      <c r="G5499" t="s">
        <v>32</v>
      </c>
      <c r="H5499" t="s">
        <v>33</v>
      </c>
      <c r="I5499" t="s">
        <v>43</v>
      </c>
      <c r="J5499" t="s">
        <v>44</v>
      </c>
      <c r="K5499" t="s">
        <v>36</v>
      </c>
      <c r="L5499" t="s">
        <v>37</v>
      </c>
      <c r="M5499">
        <v>0</v>
      </c>
      <c r="N5499">
        <v>0</v>
      </c>
      <c r="O5499">
        <v>39352</v>
      </c>
      <c r="P5499">
        <v>39401</v>
      </c>
      <c r="Q5499">
        <f>33-13</f>
        <v>20</v>
      </c>
      <c r="R5499" t="s">
        <v>38</v>
      </c>
      <c r="Z5499" t="s">
        <v>102</v>
      </c>
      <c r="AB5499" t="s">
        <v>47</v>
      </c>
      <c r="AC5499" t="s">
        <v>87</v>
      </c>
    </row>
    <row r="5500" spans="1:30" x14ac:dyDescent="0.35">
      <c r="A5500" s="7">
        <v>42949</v>
      </c>
      <c r="B5500" t="s">
        <v>30</v>
      </c>
      <c r="C5500">
        <v>701</v>
      </c>
      <c r="D5500">
        <v>2</v>
      </c>
      <c r="E5500">
        <v>2</v>
      </c>
      <c r="F5500" t="s">
        <v>1020</v>
      </c>
      <c r="G5500" t="s">
        <v>32</v>
      </c>
      <c r="H5500" t="s">
        <v>33</v>
      </c>
      <c r="I5500" t="s">
        <v>59</v>
      </c>
      <c r="AB5500" t="s">
        <v>47</v>
      </c>
      <c r="AC5500" t="s">
        <v>87</v>
      </c>
    </row>
    <row r="5501" spans="1:30" x14ac:dyDescent="0.35">
      <c r="A5501" s="7">
        <v>42949</v>
      </c>
      <c r="B5501" t="s">
        <v>30</v>
      </c>
      <c r="C5501">
        <v>701</v>
      </c>
      <c r="D5501">
        <v>3</v>
      </c>
      <c r="E5501">
        <v>1</v>
      </c>
      <c r="F5501" t="s">
        <v>1020</v>
      </c>
      <c r="G5501" t="s">
        <v>32</v>
      </c>
      <c r="H5501" t="s">
        <v>33</v>
      </c>
      <c r="I5501" t="s">
        <v>58</v>
      </c>
      <c r="J5501" t="s">
        <v>44</v>
      </c>
      <c r="K5501" t="s">
        <v>36</v>
      </c>
      <c r="L5501" t="s">
        <v>45</v>
      </c>
      <c r="M5501">
        <v>0</v>
      </c>
      <c r="N5501">
        <v>0</v>
      </c>
      <c r="O5501">
        <v>39355</v>
      </c>
      <c r="Q5501">
        <f>44-15</f>
        <v>29</v>
      </c>
      <c r="R5501" t="s">
        <v>1028</v>
      </c>
      <c r="S5501" t="s">
        <v>102</v>
      </c>
      <c r="Z5501" t="s">
        <v>102</v>
      </c>
      <c r="AB5501" t="s">
        <v>47</v>
      </c>
      <c r="AC5501" t="s">
        <v>87</v>
      </c>
    </row>
    <row r="5502" spans="1:30" x14ac:dyDescent="0.35">
      <c r="A5502" s="7">
        <v>42949</v>
      </c>
      <c r="B5502" t="s">
        <v>30</v>
      </c>
      <c r="C5502">
        <v>701</v>
      </c>
      <c r="D5502">
        <v>4</v>
      </c>
      <c r="E5502">
        <v>1</v>
      </c>
      <c r="F5502" t="s">
        <v>1020</v>
      </c>
      <c r="G5502" t="s">
        <v>32</v>
      </c>
      <c r="H5502" t="s">
        <v>33</v>
      </c>
      <c r="I5502" t="s">
        <v>58</v>
      </c>
      <c r="J5502" t="s">
        <v>44</v>
      </c>
      <c r="K5502" t="s">
        <v>36</v>
      </c>
      <c r="L5502" t="s">
        <v>45</v>
      </c>
      <c r="M5502">
        <v>0</v>
      </c>
      <c r="N5502">
        <v>0</v>
      </c>
      <c r="O5502">
        <v>39739</v>
      </c>
      <c r="Q5502">
        <f>37-14</f>
        <v>23</v>
      </c>
      <c r="R5502" t="s">
        <v>1021</v>
      </c>
      <c r="S5502" t="s">
        <v>102</v>
      </c>
      <c r="Z5502" t="s">
        <v>102</v>
      </c>
      <c r="AB5502" t="s">
        <v>47</v>
      </c>
      <c r="AC5502" t="s">
        <v>87</v>
      </c>
      <c r="AD5502" t="s">
        <v>1095</v>
      </c>
    </row>
    <row r="5503" spans="1:30" x14ac:dyDescent="0.35">
      <c r="A5503" s="7">
        <v>42949</v>
      </c>
      <c r="B5503" t="s">
        <v>30</v>
      </c>
      <c r="C5503">
        <v>701</v>
      </c>
      <c r="D5503">
        <v>4</v>
      </c>
      <c r="E5503">
        <v>2</v>
      </c>
      <c r="F5503" t="s">
        <v>1020</v>
      </c>
      <c r="G5503" t="s">
        <v>32</v>
      </c>
      <c r="H5503" t="s">
        <v>33</v>
      </c>
      <c r="I5503" t="s">
        <v>59</v>
      </c>
      <c r="AB5503" t="s">
        <v>47</v>
      </c>
      <c r="AC5503" t="s">
        <v>87</v>
      </c>
    </row>
    <row r="5504" spans="1:30" x14ac:dyDescent="0.35">
      <c r="A5504" s="7">
        <v>42949</v>
      </c>
      <c r="B5504" t="s">
        <v>30</v>
      </c>
      <c r="C5504">
        <v>701</v>
      </c>
      <c r="D5504">
        <v>6</v>
      </c>
      <c r="E5504">
        <v>1</v>
      </c>
      <c r="F5504" t="s">
        <v>1020</v>
      </c>
      <c r="G5504" t="s">
        <v>32</v>
      </c>
      <c r="H5504" t="s">
        <v>33</v>
      </c>
      <c r="I5504" t="s">
        <v>59</v>
      </c>
      <c r="AB5504" t="s">
        <v>47</v>
      </c>
      <c r="AC5504" t="s">
        <v>87</v>
      </c>
    </row>
    <row r="5505" spans="1:30" x14ac:dyDescent="0.35">
      <c r="A5505" s="7">
        <v>42949</v>
      </c>
      <c r="B5505" t="s">
        <v>30</v>
      </c>
      <c r="C5505">
        <v>701</v>
      </c>
      <c r="D5505">
        <v>6</v>
      </c>
      <c r="E5505">
        <v>2</v>
      </c>
      <c r="F5505" t="s">
        <v>1020</v>
      </c>
      <c r="G5505" t="s">
        <v>32</v>
      </c>
      <c r="H5505" t="s">
        <v>33</v>
      </c>
      <c r="I5505" t="s">
        <v>43</v>
      </c>
      <c r="J5505" t="s">
        <v>35</v>
      </c>
      <c r="K5505" t="s">
        <v>36</v>
      </c>
      <c r="L5505" t="s">
        <v>45</v>
      </c>
      <c r="M5505">
        <v>0</v>
      </c>
      <c r="N5505">
        <v>1</v>
      </c>
      <c r="O5505">
        <v>39406</v>
      </c>
      <c r="P5505">
        <v>39405</v>
      </c>
      <c r="Q5505">
        <f>33-14</f>
        <v>19</v>
      </c>
      <c r="R5505" t="s">
        <v>1028</v>
      </c>
      <c r="S5505" t="s">
        <v>102</v>
      </c>
      <c r="AB5505" t="s">
        <v>47</v>
      </c>
      <c r="AC5505" t="s">
        <v>87</v>
      </c>
    </row>
    <row r="5506" spans="1:30" x14ac:dyDescent="0.35">
      <c r="A5506" s="7">
        <v>42949</v>
      </c>
      <c r="B5506" t="s">
        <v>30</v>
      </c>
      <c r="C5506">
        <v>701</v>
      </c>
      <c r="D5506">
        <v>7</v>
      </c>
      <c r="E5506">
        <v>1</v>
      </c>
      <c r="F5506" t="s">
        <v>1020</v>
      </c>
      <c r="G5506" t="s">
        <v>32</v>
      </c>
      <c r="H5506" t="s">
        <v>33</v>
      </c>
      <c r="I5506" t="s">
        <v>59</v>
      </c>
      <c r="AB5506" t="s">
        <v>47</v>
      </c>
      <c r="AC5506" t="s">
        <v>87</v>
      </c>
    </row>
    <row r="5507" spans="1:30" x14ac:dyDescent="0.35">
      <c r="A5507" s="7">
        <v>42949</v>
      </c>
      <c r="B5507" t="s">
        <v>30</v>
      </c>
      <c r="C5507">
        <v>701</v>
      </c>
      <c r="D5507">
        <v>8</v>
      </c>
      <c r="E5507">
        <v>1</v>
      </c>
      <c r="F5507" t="s">
        <v>1020</v>
      </c>
      <c r="G5507" t="s">
        <v>32</v>
      </c>
      <c r="H5507" t="s">
        <v>33</v>
      </c>
      <c r="I5507" t="s">
        <v>59</v>
      </c>
      <c r="AB5507" t="s">
        <v>47</v>
      </c>
      <c r="AC5507" t="s">
        <v>87</v>
      </c>
    </row>
    <row r="5508" spans="1:30" x14ac:dyDescent="0.35">
      <c r="A5508" s="7">
        <v>42949</v>
      </c>
      <c r="B5508" t="s">
        <v>30</v>
      </c>
      <c r="C5508">
        <v>701</v>
      </c>
      <c r="D5508">
        <v>9</v>
      </c>
      <c r="E5508">
        <v>1</v>
      </c>
      <c r="F5508" t="s">
        <v>1020</v>
      </c>
      <c r="G5508" t="s">
        <v>32</v>
      </c>
      <c r="H5508" t="s">
        <v>33</v>
      </c>
      <c r="I5508" t="s">
        <v>59</v>
      </c>
      <c r="AB5508" t="s">
        <v>47</v>
      </c>
      <c r="AC5508" t="s">
        <v>87</v>
      </c>
    </row>
    <row r="5509" spans="1:30" x14ac:dyDescent="0.35">
      <c r="A5509" s="7">
        <v>42949</v>
      </c>
      <c r="B5509" t="s">
        <v>30</v>
      </c>
      <c r="C5509">
        <v>701</v>
      </c>
      <c r="D5509">
        <v>9</v>
      </c>
      <c r="E5509">
        <v>2</v>
      </c>
      <c r="F5509" t="s">
        <v>1020</v>
      </c>
      <c r="G5509" t="s">
        <v>32</v>
      </c>
      <c r="H5509" t="s">
        <v>33</v>
      </c>
      <c r="I5509" t="s">
        <v>59</v>
      </c>
      <c r="AB5509" t="s">
        <v>47</v>
      </c>
      <c r="AC5509" t="s">
        <v>87</v>
      </c>
    </row>
    <row r="5510" spans="1:30" x14ac:dyDescent="0.35">
      <c r="A5510" s="7">
        <v>42949</v>
      </c>
      <c r="B5510" t="s">
        <v>30</v>
      </c>
      <c r="C5510">
        <v>701</v>
      </c>
      <c r="D5510">
        <v>10</v>
      </c>
      <c r="E5510">
        <v>1</v>
      </c>
      <c r="F5510" t="s">
        <v>1020</v>
      </c>
      <c r="G5510" t="s">
        <v>32</v>
      </c>
      <c r="H5510" t="s">
        <v>33</v>
      </c>
      <c r="I5510" t="s">
        <v>59</v>
      </c>
      <c r="AB5510" t="s">
        <v>47</v>
      </c>
      <c r="AC5510" t="s">
        <v>87</v>
      </c>
    </row>
    <row r="5511" spans="1:30" x14ac:dyDescent="0.35">
      <c r="A5511" s="7">
        <v>42949</v>
      </c>
      <c r="B5511" t="s">
        <v>30</v>
      </c>
      <c r="C5511">
        <v>701</v>
      </c>
      <c r="D5511">
        <v>10</v>
      </c>
      <c r="E5511">
        <v>2</v>
      </c>
      <c r="F5511" t="s">
        <v>1020</v>
      </c>
      <c r="G5511" t="s">
        <v>32</v>
      </c>
      <c r="H5511" t="s">
        <v>33</v>
      </c>
      <c r="I5511" t="s">
        <v>59</v>
      </c>
      <c r="AB5511" t="s">
        <v>47</v>
      </c>
      <c r="AC5511" t="s">
        <v>87</v>
      </c>
    </row>
    <row r="5512" spans="1:30" x14ac:dyDescent="0.35">
      <c r="A5512" s="7">
        <v>42949</v>
      </c>
      <c r="B5512" t="s">
        <v>30</v>
      </c>
      <c r="C5512">
        <v>703</v>
      </c>
      <c r="D5512">
        <v>1</v>
      </c>
      <c r="E5512">
        <v>1</v>
      </c>
      <c r="F5512" t="s">
        <v>1020</v>
      </c>
      <c r="G5512" t="s">
        <v>32</v>
      </c>
      <c r="H5512" t="s">
        <v>33</v>
      </c>
      <c r="I5512" t="s">
        <v>59</v>
      </c>
      <c r="AB5512" t="s">
        <v>47</v>
      </c>
      <c r="AC5512" t="s">
        <v>87</v>
      </c>
    </row>
    <row r="5513" spans="1:30" x14ac:dyDescent="0.35">
      <c r="A5513" s="7">
        <v>42949</v>
      </c>
      <c r="B5513" t="s">
        <v>30</v>
      </c>
      <c r="C5513">
        <v>703</v>
      </c>
      <c r="D5513">
        <v>1</v>
      </c>
      <c r="E5513">
        <v>2</v>
      </c>
      <c r="F5513" t="s">
        <v>1020</v>
      </c>
      <c r="G5513" t="s">
        <v>32</v>
      </c>
      <c r="H5513" t="s">
        <v>33</v>
      </c>
      <c r="I5513" t="s">
        <v>59</v>
      </c>
      <c r="AB5513" t="s">
        <v>47</v>
      </c>
      <c r="AC5513" t="s">
        <v>87</v>
      </c>
    </row>
    <row r="5514" spans="1:30" x14ac:dyDescent="0.35">
      <c r="A5514" s="7">
        <v>42949</v>
      </c>
      <c r="B5514" t="s">
        <v>30</v>
      </c>
      <c r="C5514">
        <v>703</v>
      </c>
      <c r="D5514">
        <v>2</v>
      </c>
      <c r="E5514">
        <v>1</v>
      </c>
      <c r="F5514" t="s">
        <v>1020</v>
      </c>
      <c r="G5514" t="s">
        <v>32</v>
      </c>
      <c r="H5514" t="s">
        <v>33</v>
      </c>
      <c r="I5514" t="s">
        <v>43</v>
      </c>
      <c r="J5514" t="s">
        <v>44</v>
      </c>
      <c r="K5514" t="s">
        <v>36</v>
      </c>
      <c r="L5514" t="s">
        <v>45</v>
      </c>
      <c r="M5514">
        <v>0</v>
      </c>
      <c r="N5514">
        <v>0</v>
      </c>
      <c r="O5514">
        <v>39771</v>
      </c>
      <c r="P5514">
        <v>39770</v>
      </c>
      <c r="Q5514">
        <f>32-14</f>
        <v>18</v>
      </c>
      <c r="R5514" t="s">
        <v>1028</v>
      </c>
      <c r="S5514" t="s">
        <v>102</v>
      </c>
      <c r="AB5514" t="s">
        <v>47</v>
      </c>
      <c r="AC5514" t="s">
        <v>87</v>
      </c>
    </row>
    <row r="5515" spans="1:30" x14ac:dyDescent="0.35">
      <c r="A5515" s="7">
        <v>42949</v>
      </c>
      <c r="B5515" t="s">
        <v>30</v>
      </c>
      <c r="C5515">
        <v>703</v>
      </c>
      <c r="D5515">
        <v>3</v>
      </c>
      <c r="E5515">
        <v>1</v>
      </c>
      <c r="F5515" t="s">
        <v>1020</v>
      </c>
      <c r="G5515" t="s">
        <v>32</v>
      </c>
      <c r="H5515" t="s">
        <v>33</v>
      </c>
      <c r="I5515" t="s">
        <v>94</v>
      </c>
      <c r="J5515" t="s">
        <v>35</v>
      </c>
      <c r="K5515" t="s">
        <v>36</v>
      </c>
      <c r="L5515" t="s">
        <v>45</v>
      </c>
      <c r="M5515">
        <v>0</v>
      </c>
      <c r="N5515">
        <v>1</v>
      </c>
      <c r="P5515">
        <v>39402</v>
      </c>
      <c r="Q5515">
        <f>37-13</f>
        <v>24</v>
      </c>
      <c r="R5515" t="s">
        <v>1028</v>
      </c>
      <c r="S5515" t="s">
        <v>102</v>
      </c>
      <c r="AB5515" t="s">
        <v>47</v>
      </c>
      <c r="AC5515" t="s">
        <v>87</v>
      </c>
      <c r="AD5515" t="s">
        <v>1023</v>
      </c>
    </row>
    <row r="5516" spans="1:30" x14ac:dyDescent="0.35">
      <c r="A5516" s="7">
        <v>42949</v>
      </c>
      <c r="B5516" t="s">
        <v>30</v>
      </c>
      <c r="C5516">
        <v>703</v>
      </c>
      <c r="D5516">
        <v>4</v>
      </c>
      <c r="E5516">
        <v>1</v>
      </c>
      <c r="F5516" t="s">
        <v>1020</v>
      </c>
      <c r="G5516" t="s">
        <v>32</v>
      </c>
      <c r="H5516" t="s">
        <v>33</v>
      </c>
      <c r="I5516" t="s">
        <v>59</v>
      </c>
      <c r="AB5516" t="s">
        <v>47</v>
      </c>
      <c r="AC5516" t="s">
        <v>87</v>
      </c>
    </row>
    <row r="5517" spans="1:30" x14ac:dyDescent="0.35">
      <c r="A5517" s="7">
        <v>42949</v>
      </c>
      <c r="B5517" t="s">
        <v>30</v>
      </c>
      <c r="C5517">
        <v>703</v>
      </c>
      <c r="D5517">
        <v>4</v>
      </c>
      <c r="E5517">
        <v>2</v>
      </c>
      <c r="F5517" t="s">
        <v>1020</v>
      </c>
      <c r="G5517" t="s">
        <v>32</v>
      </c>
      <c r="H5517" t="s">
        <v>33</v>
      </c>
      <c r="I5517" t="s">
        <v>59</v>
      </c>
      <c r="AB5517" t="s">
        <v>47</v>
      </c>
      <c r="AC5517" t="s">
        <v>87</v>
      </c>
    </row>
    <row r="5518" spans="1:30" x14ac:dyDescent="0.35">
      <c r="A5518" s="7">
        <v>42949</v>
      </c>
      <c r="B5518" t="s">
        <v>30</v>
      </c>
      <c r="C5518">
        <v>703</v>
      </c>
      <c r="D5518">
        <v>5</v>
      </c>
      <c r="E5518">
        <v>1</v>
      </c>
      <c r="F5518" t="s">
        <v>1020</v>
      </c>
      <c r="G5518" t="s">
        <v>32</v>
      </c>
      <c r="H5518" t="s">
        <v>33</v>
      </c>
      <c r="I5518" t="s">
        <v>59</v>
      </c>
      <c r="AB5518" t="s">
        <v>47</v>
      </c>
      <c r="AC5518" t="s">
        <v>87</v>
      </c>
    </row>
    <row r="5519" spans="1:30" x14ac:dyDescent="0.35">
      <c r="A5519" s="7">
        <v>42949</v>
      </c>
      <c r="B5519" t="s">
        <v>30</v>
      </c>
      <c r="C5519">
        <v>703</v>
      </c>
      <c r="D5519">
        <v>6</v>
      </c>
      <c r="E5519">
        <v>1</v>
      </c>
      <c r="F5519" t="s">
        <v>1020</v>
      </c>
      <c r="G5519" t="s">
        <v>32</v>
      </c>
      <c r="H5519" t="s">
        <v>33</v>
      </c>
      <c r="I5519" t="s">
        <v>43</v>
      </c>
      <c r="J5519" t="s">
        <v>35</v>
      </c>
      <c r="K5519" t="s">
        <v>88</v>
      </c>
      <c r="L5519" t="s">
        <v>45</v>
      </c>
      <c r="M5519">
        <v>0</v>
      </c>
      <c r="N5519">
        <v>1</v>
      </c>
      <c r="O5519">
        <v>39404</v>
      </c>
      <c r="P5519">
        <v>39403</v>
      </c>
      <c r="Q5519">
        <f>25-13</f>
        <v>12</v>
      </c>
      <c r="R5519" t="s">
        <v>46</v>
      </c>
      <c r="S5519" t="s">
        <v>39</v>
      </c>
      <c r="AB5519" t="s">
        <v>47</v>
      </c>
      <c r="AC5519" t="s">
        <v>87</v>
      </c>
    </row>
    <row r="5520" spans="1:30" x14ac:dyDescent="0.35">
      <c r="A5520" s="7">
        <v>42949</v>
      </c>
      <c r="B5520" t="s">
        <v>30</v>
      </c>
      <c r="C5520">
        <v>703</v>
      </c>
      <c r="D5520">
        <v>7</v>
      </c>
      <c r="E5520">
        <v>1</v>
      </c>
      <c r="F5520" t="s">
        <v>1020</v>
      </c>
      <c r="G5520" t="s">
        <v>32</v>
      </c>
      <c r="H5520" t="s">
        <v>33</v>
      </c>
      <c r="I5520" t="s">
        <v>59</v>
      </c>
      <c r="AB5520" t="s">
        <v>47</v>
      </c>
      <c r="AC5520" t="s">
        <v>87</v>
      </c>
    </row>
    <row r="5521" spans="1:29" x14ac:dyDescent="0.35">
      <c r="A5521" s="7">
        <v>42949</v>
      </c>
      <c r="B5521" t="s">
        <v>30</v>
      </c>
      <c r="C5521">
        <v>703</v>
      </c>
      <c r="D5521">
        <v>8</v>
      </c>
      <c r="E5521">
        <v>1</v>
      </c>
      <c r="F5521" t="s">
        <v>1020</v>
      </c>
      <c r="G5521" t="s">
        <v>32</v>
      </c>
      <c r="H5521" t="s">
        <v>33</v>
      </c>
      <c r="I5521" t="s">
        <v>59</v>
      </c>
      <c r="AB5521" t="s">
        <v>47</v>
      </c>
      <c r="AC5521" t="s">
        <v>87</v>
      </c>
    </row>
    <row r="5522" spans="1:29" x14ac:dyDescent="0.35">
      <c r="A5522" s="7">
        <v>42949</v>
      </c>
      <c r="B5522" t="s">
        <v>30</v>
      </c>
      <c r="C5522">
        <v>703</v>
      </c>
      <c r="D5522">
        <v>8</v>
      </c>
      <c r="E5522">
        <v>2</v>
      </c>
      <c r="F5522" t="s">
        <v>1020</v>
      </c>
      <c r="G5522" t="s">
        <v>32</v>
      </c>
      <c r="H5522" t="s">
        <v>33</v>
      </c>
      <c r="I5522" t="s">
        <v>59</v>
      </c>
      <c r="AB5522" t="s">
        <v>47</v>
      </c>
      <c r="AC5522" t="s">
        <v>87</v>
      </c>
    </row>
    <row r="5523" spans="1:29" x14ac:dyDescent="0.35">
      <c r="A5523" s="7">
        <v>42949</v>
      </c>
      <c r="B5523" t="s">
        <v>30</v>
      </c>
      <c r="C5523">
        <v>703</v>
      </c>
      <c r="D5523">
        <v>9</v>
      </c>
      <c r="E5523">
        <v>1</v>
      </c>
      <c r="F5523" t="s">
        <v>1020</v>
      </c>
      <c r="G5523" t="s">
        <v>32</v>
      </c>
      <c r="H5523" t="s">
        <v>33</v>
      </c>
      <c r="I5523" t="s">
        <v>43</v>
      </c>
      <c r="J5523" t="s">
        <v>44</v>
      </c>
      <c r="K5523" t="s">
        <v>36</v>
      </c>
      <c r="L5523" t="s">
        <v>37</v>
      </c>
      <c r="M5523">
        <v>0</v>
      </c>
      <c r="N5523">
        <v>0</v>
      </c>
      <c r="O5523">
        <v>39743</v>
      </c>
      <c r="P5523">
        <v>39742</v>
      </c>
      <c r="Q5523">
        <f>33-14</f>
        <v>19</v>
      </c>
      <c r="R5523" t="s">
        <v>38</v>
      </c>
      <c r="AB5523" t="s">
        <v>47</v>
      </c>
      <c r="AC5523" t="s">
        <v>87</v>
      </c>
    </row>
    <row r="5524" spans="1:29" x14ac:dyDescent="0.35">
      <c r="A5524" s="7">
        <v>42949</v>
      </c>
      <c r="B5524" t="s">
        <v>30</v>
      </c>
      <c r="C5524">
        <v>703</v>
      </c>
      <c r="D5524">
        <v>10</v>
      </c>
      <c r="E5524">
        <v>1</v>
      </c>
      <c r="F5524" t="s">
        <v>1020</v>
      </c>
      <c r="G5524" t="s">
        <v>32</v>
      </c>
      <c r="H5524" t="s">
        <v>33</v>
      </c>
      <c r="I5524" t="s">
        <v>43</v>
      </c>
      <c r="J5524" t="s">
        <v>44</v>
      </c>
      <c r="K5524" t="s">
        <v>36</v>
      </c>
      <c r="L5524" t="s">
        <v>37</v>
      </c>
      <c r="M5524">
        <v>0</v>
      </c>
      <c r="N5524">
        <v>0</v>
      </c>
      <c r="O5524">
        <v>39741</v>
      </c>
      <c r="P5524">
        <v>39740</v>
      </c>
      <c r="Q5524">
        <f>36-13</f>
        <v>23</v>
      </c>
      <c r="R5524" t="s">
        <v>38</v>
      </c>
      <c r="AB5524" t="s">
        <v>47</v>
      </c>
      <c r="AC5524" t="s">
        <v>87</v>
      </c>
    </row>
    <row r="5525" spans="1:29" x14ac:dyDescent="0.35">
      <c r="A5525" s="7">
        <v>42949</v>
      </c>
      <c r="B5525" t="s">
        <v>30</v>
      </c>
      <c r="C5525">
        <v>801</v>
      </c>
      <c r="D5525">
        <v>1</v>
      </c>
      <c r="E5525">
        <v>1</v>
      </c>
      <c r="F5525" t="s">
        <v>1020</v>
      </c>
      <c r="G5525" t="s">
        <v>32</v>
      </c>
      <c r="H5525" t="s">
        <v>33</v>
      </c>
      <c r="I5525" t="s">
        <v>59</v>
      </c>
      <c r="AB5525" t="s">
        <v>47</v>
      </c>
      <c r="AC5525" t="s">
        <v>87</v>
      </c>
    </row>
    <row r="5526" spans="1:29" x14ac:dyDescent="0.35">
      <c r="A5526" s="7">
        <v>42949</v>
      </c>
      <c r="B5526" t="s">
        <v>30</v>
      </c>
      <c r="C5526">
        <v>801</v>
      </c>
      <c r="D5526">
        <v>2</v>
      </c>
      <c r="E5526">
        <v>1</v>
      </c>
      <c r="F5526" t="s">
        <v>1020</v>
      </c>
      <c r="G5526" t="s">
        <v>32</v>
      </c>
      <c r="H5526" t="s">
        <v>33</v>
      </c>
      <c r="I5526" t="s">
        <v>59</v>
      </c>
      <c r="AB5526" t="s">
        <v>47</v>
      </c>
      <c r="AC5526" t="s">
        <v>87</v>
      </c>
    </row>
    <row r="5527" spans="1:29" x14ac:dyDescent="0.35">
      <c r="A5527" s="7">
        <v>42949</v>
      </c>
      <c r="B5527" t="s">
        <v>30</v>
      </c>
      <c r="C5527">
        <v>801</v>
      </c>
      <c r="D5527">
        <v>2</v>
      </c>
      <c r="E5527">
        <v>2</v>
      </c>
      <c r="F5527" t="s">
        <v>1020</v>
      </c>
      <c r="G5527" t="s">
        <v>32</v>
      </c>
      <c r="H5527" t="s">
        <v>33</v>
      </c>
      <c r="I5527" t="s">
        <v>59</v>
      </c>
      <c r="AB5527" t="s">
        <v>47</v>
      </c>
      <c r="AC5527" t="s">
        <v>87</v>
      </c>
    </row>
    <row r="5528" spans="1:29" x14ac:dyDescent="0.35">
      <c r="A5528" s="7">
        <v>42949</v>
      </c>
      <c r="B5528" t="s">
        <v>30</v>
      </c>
      <c r="C5528">
        <v>801</v>
      </c>
      <c r="D5528">
        <v>3</v>
      </c>
      <c r="E5528">
        <v>1</v>
      </c>
      <c r="F5528" t="s">
        <v>1020</v>
      </c>
      <c r="G5528" t="s">
        <v>32</v>
      </c>
      <c r="H5528" t="s">
        <v>33</v>
      </c>
      <c r="I5528" t="s">
        <v>72</v>
      </c>
      <c r="J5528" t="s">
        <v>56</v>
      </c>
      <c r="AB5528" t="s">
        <v>47</v>
      </c>
      <c r="AC5528" t="s">
        <v>87</v>
      </c>
    </row>
    <row r="5529" spans="1:29" x14ac:dyDescent="0.35">
      <c r="A5529" s="7">
        <v>42949</v>
      </c>
      <c r="B5529" t="s">
        <v>30</v>
      </c>
      <c r="C5529">
        <v>801</v>
      </c>
      <c r="D5529">
        <v>3</v>
      </c>
      <c r="E5529">
        <v>2</v>
      </c>
      <c r="F5529" t="s">
        <v>1020</v>
      </c>
      <c r="G5529" t="s">
        <v>32</v>
      </c>
      <c r="H5529" t="s">
        <v>33</v>
      </c>
      <c r="I5529" t="s">
        <v>58</v>
      </c>
      <c r="J5529" t="s">
        <v>35</v>
      </c>
      <c r="K5529" t="s">
        <v>36</v>
      </c>
      <c r="L5529" t="s">
        <v>45</v>
      </c>
      <c r="M5529">
        <v>0</v>
      </c>
      <c r="N5529">
        <v>1</v>
      </c>
      <c r="O5529">
        <v>39407</v>
      </c>
      <c r="Q5529">
        <f>33-13</f>
        <v>20</v>
      </c>
      <c r="R5529" t="s">
        <v>46</v>
      </c>
      <c r="S5529" t="s">
        <v>39</v>
      </c>
      <c r="AB5529" t="s">
        <v>47</v>
      </c>
      <c r="AC5529" t="s">
        <v>87</v>
      </c>
    </row>
    <row r="5530" spans="1:29" x14ac:dyDescent="0.35">
      <c r="A5530" s="7">
        <v>42949</v>
      </c>
      <c r="B5530" t="s">
        <v>30</v>
      </c>
      <c r="C5530">
        <v>801</v>
      </c>
      <c r="D5530">
        <v>4</v>
      </c>
      <c r="E5530">
        <v>1</v>
      </c>
      <c r="F5530" t="s">
        <v>1020</v>
      </c>
      <c r="G5530" t="s">
        <v>32</v>
      </c>
      <c r="H5530" t="s">
        <v>33</v>
      </c>
      <c r="I5530" t="s">
        <v>59</v>
      </c>
      <c r="AB5530" t="s">
        <v>47</v>
      </c>
      <c r="AC5530" t="s">
        <v>87</v>
      </c>
    </row>
    <row r="5531" spans="1:29" x14ac:dyDescent="0.35">
      <c r="A5531" s="7">
        <v>42949</v>
      </c>
      <c r="B5531" t="s">
        <v>30</v>
      </c>
      <c r="C5531">
        <v>801</v>
      </c>
      <c r="D5531">
        <v>4</v>
      </c>
      <c r="E5531">
        <v>2</v>
      </c>
      <c r="F5531" t="s">
        <v>1020</v>
      </c>
      <c r="G5531" t="s">
        <v>32</v>
      </c>
      <c r="H5531" t="s">
        <v>33</v>
      </c>
      <c r="I5531" t="s">
        <v>59</v>
      </c>
      <c r="AB5531" t="s">
        <v>47</v>
      </c>
      <c r="AC5531" t="s">
        <v>87</v>
      </c>
    </row>
    <row r="5532" spans="1:29" x14ac:dyDescent="0.35">
      <c r="A5532" s="7">
        <v>42949</v>
      </c>
      <c r="B5532" t="s">
        <v>30</v>
      </c>
      <c r="C5532">
        <v>801</v>
      </c>
      <c r="D5532">
        <v>5</v>
      </c>
      <c r="E5532">
        <v>1</v>
      </c>
      <c r="F5532" t="s">
        <v>1020</v>
      </c>
      <c r="G5532" t="s">
        <v>32</v>
      </c>
      <c r="H5532" t="s">
        <v>33</v>
      </c>
      <c r="I5532" t="s">
        <v>59</v>
      </c>
      <c r="AB5532" t="s">
        <v>47</v>
      </c>
      <c r="AC5532" t="s">
        <v>87</v>
      </c>
    </row>
    <row r="5533" spans="1:29" x14ac:dyDescent="0.35">
      <c r="A5533" s="7">
        <v>42949</v>
      </c>
      <c r="B5533" t="s">
        <v>30</v>
      </c>
      <c r="C5533">
        <v>801</v>
      </c>
      <c r="D5533">
        <v>5</v>
      </c>
      <c r="E5533">
        <v>2</v>
      </c>
      <c r="F5533" t="s">
        <v>1020</v>
      </c>
      <c r="G5533" t="s">
        <v>32</v>
      </c>
      <c r="H5533" t="s">
        <v>33</v>
      </c>
      <c r="I5533" t="s">
        <v>59</v>
      </c>
      <c r="AB5533" t="s">
        <v>47</v>
      </c>
      <c r="AC5533" t="s">
        <v>87</v>
      </c>
    </row>
    <row r="5534" spans="1:29" x14ac:dyDescent="0.35">
      <c r="A5534" s="7">
        <v>42949</v>
      </c>
      <c r="B5534" t="s">
        <v>30</v>
      </c>
      <c r="C5534">
        <v>801</v>
      </c>
      <c r="D5534">
        <v>6</v>
      </c>
      <c r="E5534">
        <v>1</v>
      </c>
      <c r="F5534" t="s">
        <v>1020</v>
      </c>
      <c r="G5534" t="s">
        <v>32</v>
      </c>
      <c r="H5534" t="s">
        <v>33</v>
      </c>
      <c r="I5534" t="s">
        <v>59</v>
      </c>
      <c r="AB5534" t="s">
        <v>47</v>
      </c>
      <c r="AC5534" t="s">
        <v>87</v>
      </c>
    </row>
    <row r="5535" spans="1:29" x14ac:dyDescent="0.35">
      <c r="A5535" s="7">
        <v>42949</v>
      </c>
      <c r="B5535" t="s">
        <v>30</v>
      </c>
      <c r="C5535">
        <v>801</v>
      </c>
      <c r="D5535">
        <v>6</v>
      </c>
      <c r="E5535">
        <v>2</v>
      </c>
      <c r="F5535" t="s">
        <v>1020</v>
      </c>
      <c r="G5535" t="s">
        <v>32</v>
      </c>
      <c r="H5535" t="s">
        <v>33</v>
      </c>
      <c r="I5535" t="s">
        <v>59</v>
      </c>
      <c r="AB5535" t="s">
        <v>47</v>
      </c>
      <c r="AC5535" t="s">
        <v>87</v>
      </c>
    </row>
    <row r="5536" spans="1:29" x14ac:dyDescent="0.35">
      <c r="A5536" s="7">
        <v>42949</v>
      </c>
      <c r="B5536" t="s">
        <v>30</v>
      </c>
      <c r="C5536">
        <v>801</v>
      </c>
      <c r="D5536">
        <v>7</v>
      </c>
      <c r="E5536">
        <v>1</v>
      </c>
      <c r="F5536" t="s">
        <v>1020</v>
      </c>
      <c r="G5536" t="s">
        <v>32</v>
      </c>
      <c r="H5536" t="s">
        <v>33</v>
      </c>
      <c r="I5536" t="s">
        <v>59</v>
      </c>
      <c r="AB5536" t="s">
        <v>47</v>
      </c>
      <c r="AC5536" t="s">
        <v>87</v>
      </c>
    </row>
    <row r="5537" spans="1:29" x14ac:dyDescent="0.35">
      <c r="A5537" s="7">
        <v>42949</v>
      </c>
      <c r="B5537" t="s">
        <v>30</v>
      </c>
      <c r="C5537">
        <v>801</v>
      </c>
      <c r="D5537">
        <v>7</v>
      </c>
      <c r="E5537">
        <v>2</v>
      </c>
      <c r="F5537" t="s">
        <v>1020</v>
      </c>
      <c r="G5537" t="s">
        <v>32</v>
      </c>
      <c r="H5537" t="s">
        <v>33</v>
      </c>
      <c r="I5537" t="s">
        <v>59</v>
      </c>
      <c r="AB5537" t="s">
        <v>47</v>
      </c>
      <c r="AC5537" t="s">
        <v>87</v>
      </c>
    </row>
    <row r="5538" spans="1:29" x14ac:dyDescent="0.35">
      <c r="A5538" s="7">
        <v>42949</v>
      </c>
      <c r="B5538" t="s">
        <v>30</v>
      </c>
      <c r="C5538">
        <v>801</v>
      </c>
      <c r="D5538">
        <v>8</v>
      </c>
      <c r="E5538">
        <v>1</v>
      </c>
      <c r="F5538" t="s">
        <v>1020</v>
      </c>
      <c r="G5538" t="s">
        <v>32</v>
      </c>
      <c r="H5538" t="s">
        <v>33</v>
      </c>
      <c r="I5538" t="s">
        <v>43</v>
      </c>
      <c r="J5538" t="s">
        <v>44</v>
      </c>
      <c r="K5538" t="s">
        <v>36</v>
      </c>
      <c r="L5538" t="s">
        <v>37</v>
      </c>
      <c r="M5538">
        <v>0</v>
      </c>
      <c r="N5538">
        <v>0</v>
      </c>
      <c r="O5538">
        <v>39129</v>
      </c>
      <c r="P5538">
        <v>39769</v>
      </c>
      <c r="Q5538">
        <f>35-14</f>
        <v>21</v>
      </c>
      <c r="R5538" t="s">
        <v>38</v>
      </c>
      <c r="AB5538" t="s">
        <v>47</v>
      </c>
      <c r="AC5538" t="s">
        <v>87</v>
      </c>
    </row>
    <row r="5539" spans="1:29" x14ac:dyDescent="0.35">
      <c r="A5539" s="7">
        <v>42949</v>
      </c>
      <c r="B5539" t="s">
        <v>30</v>
      </c>
      <c r="C5539">
        <v>801</v>
      </c>
      <c r="D5539">
        <v>8</v>
      </c>
      <c r="E5539">
        <v>2</v>
      </c>
      <c r="F5539" t="s">
        <v>1020</v>
      </c>
      <c r="G5539" t="s">
        <v>32</v>
      </c>
      <c r="H5539" t="s">
        <v>33</v>
      </c>
      <c r="I5539" t="s">
        <v>59</v>
      </c>
      <c r="AB5539" t="s">
        <v>47</v>
      </c>
      <c r="AC5539" t="s">
        <v>87</v>
      </c>
    </row>
    <row r="5540" spans="1:29" x14ac:dyDescent="0.35">
      <c r="A5540" s="7">
        <v>42949</v>
      </c>
      <c r="B5540" t="s">
        <v>30</v>
      </c>
      <c r="C5540">
        <v>801</v>
      </c>
      <c r="D5540">
        <v>9</v>
      </c>
      <c r="E5540">
        <v>1</v>
      </c>
      <c r="F5540" t="s">
        <v>1020</v>
      </c>
      <c r="G5540" t="s">
        <v>32</v>
      </c>
      <c r="H5540" t="s">
        <v>33</v>
      </c>
      <c r="I5540" t="s">
        <v>59</v>
      </c>
      <c r="AB5540" t="s">
        <v>47</v>
      </c>
      <c r="AC5540" t="s">
        <v>87</v>
      </c>
    </row>
    <row r="5541" spans="1:29" x14ac:dyDescent="0.35">
      <c r="A5541" s="7">
        <v>42949</v>
      </c>
      <c r="B5541" t="s">
        <v>30</v>
      </c>
      <c r="C5541">
        <v>801</v>
      </c>
      <c r="D5541">
        <v>9</v>
      </c>
      <c r="E5541">
        <v>2</v>
      </c>
      <c r="F5541" t="s">
        <v>1020</v>
      </c>
      <c r="G5541" t="s">
        <v>32</v>
      </c>
      <c r="H5541" t="s">
        <v>33</v>
      </c>
      <c r="I5541" t="s">
        <v>59</v>
      </c>
      <c r="AB5541" t="s">
        <v>47</v>
      </c>
      <c r="AC5541" t="s">
        <v>87</v>
      </c>
    </row>
    <row r="5542" spans="1:29" x14ac:dyDescent="0.35">
      <c r="A5542" s="7">
        <v>42949</v>
      </c>
      <c r="B5542" t="s">
        <v>30</v>
      </c>
      <c r="C5542">
        <v>801</v>
      </c>
      <c r="D5542">
        <v>10</v>
      </c>
      <c r="E5542">
        <v>1</v>
      </c>
      <c r="F5542" t="s">
        <v>1020</v>
      </c>
      <c r="G5542" t="s">
        <v>32</v>
      </c>
      <c r="H5542" t="s">
        <v>33</v>
      </c>
      <c r="I5542" t="s">
        <v>59</v>
      </c>
      <c r="AB5542" t="s">
        <v>47</v>
      </c>
      <c r="AC5542" t="s">
        <v>87</v>
      </c>
    </row>
    <row r="5543" spans="1:29" x14ac:dyDescent="0.35">
      <c r="A5543" s="7">
        <v>42949</v>
      </c>
      <c r="B5543" t="s">
        <v>30</v>
      </c>
      <c r="C5543">
        <v>801</v>
      </c>
      <c r="D5543">
        <v>10</v>
      </c>
      <c r="E5543">
        <v>2</v>
      </c>
      <c r="F5543" t="s">
        <v>1020</v>
      </c>
      <c r="G5543" t="s">
        <v>32</v>
      </c>
      <c r="H5543" t="s">
        <v>33</v>
      </c>
      <c r="I5543" t="s">
        <v>59</v>
      </c>
      <c r="AB5543" t="s">
        <v>47</v>
      </c>
      <c r="AC5543" t="s">
        <v>87</v>
      </c>
    </row>
    <row r="5544" spans="1:29" x14ac:dyDescent="0.35">
      <c r="A5544" s="7">
        <v>42949</v>
      </c>
      <c r="B5544" t="s">
        <v>30</v>
      </c>
      <c r="C5544">
        <v>803</v>
      </c>
      <c r="D5544">
        <v>3</v>
      </c>
      <c r="E5544">
        <v>1</v>
      </c>
      <c r="F5544" t="s">
        <v>1020</v>
      </c>
      <c r="G5544" t="s">
        <v>32</v>
      </c>
      <c r="H5544" t="s">
        <v>33</v>
      </c>
      <c r="I5544" t="s">
        <v>72</v>
      </c>
      <c r="J5544" t="s">
        <v>56</v>
      </c>
      <c r="AB5544" t="s">
        <v>47</v>
      </c>
      <c r="AC5544" t="s">
        <v>87</v>
      </c>
    </row>
    <row r="5545" spans="1:29" x14ac:dyDescent="0.35">
      <c r="A5545" s="7">
        <v>42949</v>
      </c>
      <c r="B5545" t="s">
        <v>30</v>
      </c>
      <c r="C5545">
        <v>803</v>
      </c>
      <c r="D5545">
        <v>3</v>
      </c>
      <c r="E5545">
        <v>2</v>
      </c>
      <c r="F5545" t="s">
        <v>1020</v>
      </c>
      <c r="G5545" t="s">
        <v>32</v>
      </c>
      <c r="H5545" t="s">
        <v>33</v>
      </c>
      <c r="I5545" t="s">
        <v>59</v>
      </c>
      <c r="AB5545" t="s">
        <v>47</v>
      </c>
      <c r="AC5545" t="s">
        <v>87</v>
      </c>
    </row>
    <row r="5546" spans="1:29" x14ac:dyDescent="0.35">
      <c r="A5546" s="7">
        <v>42949</v>
      </c>
      <c r="B5546" t="s">
        <v>30</v>
      </c>
      <c r="C5546">
        <v>803</v>
      </c>
      <c r="D5546">
        <v>6</v>
      </c>
      <c r="E5546">
        <v>1</v>
      </c>
      <c r="F5546" t="s">
        <v>1020</v>
      </c>
      <c r="G5546" t="s">
        <v>32</v>
      </c>
      <c r="H5546" t="s">
        <v>33</v>
      </c>
      <c r="I5546" t="s">
        <v>94</v>
      </c>
      <c r="J5546" t="s">
        <v>44</v>
      </c>
      <c r="K5546" t="s">
        <v>36</v>
      </c>
      <c r="L5546" t="s">
        <v>37</v>
      </c>
      <c r="M5546">
        <v>0</v>
      </c>
      <c r="N5546">
        <v>0</v>
      </c>
      <c r="O5546">
        <v>2823</v>
      </c>
      <c r="Q5546">
        <f>37-14</f>
        <v>23</v>
      </c>
      <c r="R5546" t="s">
        <v>38</v>
      </c>
      <c r="AB5546" t="s">
        <v>47</v>
      </c>
      <c r="AC5546" t="s">
        <v>87</v>
      </c>
    </row>
    <row r="5547" spans="1:29" x14ac:dyDescent="0.35">
      <c r="A5547" s="7">
        <v>42949</v>
      </c>
      <c r="B5547" t="s">
        <v>30</v>
      </c>
      <c r="C5547">
        <v>803</v>
      </c>
      <c r="D5547">
        <v>6</v>
      </c>
      <c r="E5547">
        <v>2</v>
      </c>
      <c r="F5547" t="s">
        <v>1020</v>
      </c>
      <c r="G5547" t="s">
        <v>32</v>
      </c>
      <c r="H5547" t="s">
        <v>33</v>
      </c>
      <c r="I5547" t="s">
        <v>59</v>
      </c>
      <c r="AB5547" t="s">
        <v>47</v>
      </c>
      <c r="AC5547" t="s">
        <v>87</v>
      </c>
    </row>
    <row r="5548" spans="1:29" x14ac:dyDescent="0.35">
      <c r="A5548" s="7">
        <v>42949</v>
      </c>
      <c r="B5548" t="s">
        <v>30</v>
      </c>
      <c r="C5548">
        <v>803</v>
      </c>
      <c r="D5548">
        <v>7</v>
      </c>
      <c r="E5548">
        <v>1</v>
      </c>
      <c r="F5548" t="s">
        <v>1020</v>
      </c>
      <c r="G5548" t="s">
        <v>32</v>
      </c>
      <c r="H5548" t="s">
        <v>33</v>
      </c>
      <c r="I5548" t="s">
        <v>59</v>
      </c>
      <c r="AB5548" t="s">
        <v>47</v>
      </c>
      <c r="AC5548" t="s">
        <v>87</v>
      </c>
    </row>
    <row r="5549" spans="1:29" x14ac:dyDescent="0.35">
      <c r="A5549" s="7">
        <v>42949</v>
      </c>
      <c r="B5549" t="s">
        <v>30</v>
      </c>
      <c r="C5549">
        <v>803</v>
      </c>
      <c r="D5549">
        <v>7</v>
      </c>
      <c r="E5549">
        <v>2</v>
      </c>
      <c r="F5549" t="s">
        <v>1020</v>
      </c>
      <c r="G5549" t="s">
        <v>32</v>
      </c>
      <c r="H5549" t="s">
        <v>33</v>
      </c>
      <c r="I5549" t="s">
        <v>59</v>
      </c>
      <c r="AB5549" t="s">
        <v>47</v>
      </c>
      <c r="AC5549" t="s">
        <v>87</v>
      </c>
    </row>
    <row r="5550" spans="1:29" x14ac:dyDescent="0.35">
      <c r="A5550" s="7">
        <v>42949</v>
      </c>
      <c r="B5550" t="s">
        <v>30</v>
      </c>
      <c r="C5550">
        <v>803</v>
      </c>
      <c r="D5550">
        <v>8</v>
      </c>
      <c r="E5550">
        <v>1</v>
      </c>
      <c r="F5550" t="s">
        <v>1020</v>
      </c>
      <c r="G5550" t="s">
        <v>32</v>
      </c>
      <c r="H5550" t="s">
        <v>33</v>
      </c>
      <c r="I5550" t="s">
        <v>72</v>
      </c>
      <c r="J5550" t="s">
        <v>56</v>
      </c>
      <c r="AB5550" t="s">
        <v>47</v>
      </c>
      <c r="AC5550" t="s">
        <v>87</v>
      </c>
    </row>
    <row r="5551" spans="1:29" x14ac:dyDescent="0.35">
      <c r="A5551" s="7">
        <v>42949</v>
      </c>
      <c r="B5551" t="s">
        <v>30</v>
      </c>
      <c r="C5551">
        <v>803</v>
      </c>
      <c r="D5551">
        <v>10</v>
      </c>
      <c r="E5551">
        <v>1</v>
      </c>
      <c r="F5551" t="s">
        <v>1020</v>
      </c>
      <c r="G5551" t="s">
        <v>32</v>
      </c>
      <c r="H5551" t="s">
        <v>33</v>
      </c>
      <c r="I5551" t="s">
        <v>59</v>
      </c>
      <c r="AB5551" t="s">
        <v>47</v>
      </c>
      <c r="AC5551" t="s">
        <v>87</v>
      </c>
    </row>
    <row r="5552" spans="1:29" x14ac:dyDescent="0.35">
      <c r="A5552" s="7">
        <v>42949</v>
      </c>
      <c r="B5552" t="s">
        <v>30</v>
      </c>
      <c r="C5552">
        <v>803</v>
      </c>
      <c r="D5552">
        <v>10</v>
      </c>
      <c r="E5552">
        <v>2</v>
      </c>
      <c r="F5552" t="s">
        <v>1020</v>
      </c>
      <c r="G5552" t="s">
        <v>32</v>
      </c>
      <c r="H5552" t="s">
        <v>33</v>
      </c>
      <c r="I5552" t="s">
        <v>59</v>
      </c>
      <c r="AB5552" t="s">
        <v>47</v>
      </c>
      <c r="AC5552" t="s">
        <v>87</v>
      </c>
    </row>
    <row r="5553" spans="1:30" x14ac:dyDescent="0.35">
      <c r="A5553" s="7">
        <v>42949</v>
      </c>
      <c r="B5553" t="s">
        <v>30</v>
      </c>
      <c r="C5553">
        <v>901</v>
      </c>
      <c r="D5553">
        <v>1</v>
      </c>
      <c r="E5553">
        <v>1</v>
      </c>
      <c r="F5553" t="s">
        <v>1020</v>
      </c>
      <c r="G5553" t="s">
        <v>32</v>
      </c>
      <c r="H5553" t="s">
        <v>33</v>
      </c>
      <c r="I5553" t="s">
        <v>43</v>
      </c>
      <c r="J5553" t="s">
        <v>44</v>
      </c>
      <c r="K5553" t="s">
        <v>36</v>
      </c>
      <c r="L5553" t="s">
        <v>45</v>
      </c>
      <c r="M5553">
        <v>0</v>
      </c>
      <c r="N5553">
        <v>0</v>
      </c>
      <c r="O5553">
        <v>39145</v>
      </c>
      <c r="P5553">
        <v>39144</v>
      </c>
      <c r="Q5553">
        <f>34-14</f>
        <v>20</v>
      </c>
      <c r="R5553" t="s">
        <v>1028</v>
      </c>
      <c r="S5553" t="s">
        <v>102</v>
      </c>
      <c r="AB5553" t="s">
        <v>47</v>
      </c>
      <c r="AC5553" t="s">
        <v>87</v>
      </c>
    </row>
    <row r="5554" spans="1:30" x14ac:dyDescent="0.35">
      <c r="A5554" s="7">
        <v>42949</v>
      </c>
      <c r="B5554" t="s">
        <v>30</v>
      </c>
      <c r="C5554">
        <v>901</v>
      </c>
      <c r="D5554">
        <v>1</v>
      </c>
      <c r="E5554">
        <v>2</v>
      </c>
      <c r="F5554" t="s">
        <v>1020</v>
      </c>
      <c r="G5554" t="s">
        <v>32</v>
      </c>
      <c r="H5554" t="s">
        <v>33</v>
      </c>
      <c r="I5554" t="s">
        <v>59</v>
      </c>
      <c r="AB5554" t="s">
        <v>47</v>
      </c>
      <c r="AC5554" t="s">
        <v>87</v>
      </c>
    </row>
    <row r="5555" spans="1:30" x14ac:dyDescent="0.35">
      <c r="A5555" s="7">
        <v>42949</v>
      </c>
      <c r="B5555" t="s">
        <v>30</v>
      </c>
      <c r="C5555">
        <v>901</v>
      </c>
      <c r="D5555">
        <v>2</v>
      </c>
      <c r="E5555">
        <v>1</v>
      </c>
      <c r="F5555" t="s">
        <v>1020</v>
      </c>
      <c r="G5555" t="s">
        <v>32</v>
      </c>
      <c r="H5555" t="s">
        <v>33</v>
      </c>
      <c r="I5555" t="s">
        <v>43</v>
      </c>
      <c r="J5555" t="s">
        <v>44</v>
      </c>
      <c r="K5555" t="s">
        <v>36</v>
      </c>
      <c r="L5555" t="s">
        <v>45</v>
      </c>
      <c r="M5555">
        <v>0</v>
      </c>
      <c r="N5555">
        <v>0</v>
      </c>
      <c r="O5555" t="s">
        <v>1096</v>
      </c>
      <c r="Q5555">
        <f>33-13.5</f>
        <v>19.5</v>
      </c>
      <c r="R5555" t="s">
        <v>1021</v>
      </c>
      <c r="S5555" t="s">
        <v>102</v>
      </c>
      <c r="AB5555" t="s">
        <v>47</v>
      </c>
      <c r="AC5555" t="s">
        <v>87</v>
      </c>
    </row>
    <row r="5556" spans="1:30" x14ac:dyDescent="0.35">
      <c r="A5556" s="7">
        <v>42949</v>
      </c>
      <c r="B5556" t="s">
        <v>30</v>
      </c>
      <c r="C5556">
        <v>901</v>
      </c>
      <c r="D5556">
        <v>5</v>
      </c>
      <c r="E5556">
        <v>1</v>
      </c>
      <c r="F5556" t="s">
        <v>1020</v>
      </c>
      <c r="G5556" t="s">
        <v>32</v>
      </c>
      <c r="H5556" t="s">
        <v>33</v>
      </c>
      <c r="I5556" t="s">
        <v>43</v>
      </c>
      <c r="J5556" t="s">
        <v>44</v>
      </c>
      <c r="K5556" t="s">
        <v>36</v>
      </c>
      <c r="L5556" t="s">
        <v>37</v>
      </c>
      <c r="M5556">
        <v>0</v>
      </c>
      <c r="N5556">
        <v>0</v>
      </c>
      <c r="O5556">
        <v>39736</v>
      </c>
      <c r="P5556">
        <v>39735</v>
      </c>
      <c r="Q5556">
        <f>31.5-14.5</f>
        <v>17</v>
      </c>
      <c r="R5556" t="s">
        <v>38</v>
      </c>
      <c r="AB5556" t="s">
        <v>47</v>
      </c>
      <c r="AC5556" t="s">
        <v>87</v>
      </c>
      <c r="AD5556" t="s">
        <v>1097</v>
      </c>
    </row>
    <row r="5557" spans="1:30" x14ac:dyDescent="0.35">
      <c r="A5557" s="7">
        <v>42949</v>
      </c>
      <c r="B5557" t="s">
        <v>30</v>
      </c>
      <c r="C5557">
        <v>901</v>
      </c>
      <c r="D5557">
        <v>8</v>
      </c>
      <c r="E5557">
        <v>1</v>
      </c>
      <c r="F5557" t="s">
        <v>1020</v>
      </c>
      <c r="G5557" t="s">
        <v>32</v>
      </c>
      <c r="H5557" t="s">
        <v>33</v>
      </c>
      <c r="I5557" t="s">
        <v>43</v>
      </c>
      <c r="J5557" t="s">
        <v>44</v>
      </c>
      <c r="K5557" t="s">
        <v>36</v>
      </c>
      <c r="L5557" t="s">
        <v>37</v>
      </c>
      <c r="M5557">
        <v>0</v>
      </c>
      <c r="N5557">
        <v>0</v>
      </c>
      <c r="O5557">
        <v>39788</v>
      </c>
      <c r="P5557">
        <v>39787</v>
      </c>
      <c r="Q5557">
        <f>35-14</f>
        <v>21</v>
      </c>
      <c r="R5557" t="s">
        <v>38</v>
      </c>
      <c r="AB5557" t="s">
        <v>47</v>
      </c>
      <c r="AC5557" t="s">
        <v>87</v>
      </c>
      <c r="AD5557" t="s">
        <v>1098</v>
      </c>
    </row>
    <row r="5558" spans="1:30" x14ac:dyDescent="0.35">
      <c r="A5558" s="7">
        <v>42949</v>
      </c>
      <c r="B5558" t="s">
        <v>30</v>
      </c>
      <c r="C5558">
        <v>901</v>
      </c>
      <c r="D5558">
        <v>8</v>
      </c>
      <c r="E5558">
        <v>2</v>
      </c>
      <c r="F5558" t="s">
        <v>1020</v>
      </c>
      <c r="G5558" t="s">
        <v>32</v>
      </c>
      <c r="H5558" t="s">
        <v>33</v>
      </c>
      <c r="I5558" t="s">
        <v>43</v>
      </c>
      <c r="J5558" t="s">
        <v>35</v>
      </c>
      <c r="K5558" t="s">
        <v>113</v>
      </c>
      <c r="L5558" t="s">
        <v>45</v>
      </c>
      <c r="M5558">
        <v>0</v>
      </c>
      <c r="N5558">
        <v>1</v>
      </c>
      <c r="O5558">
        <v>39409</v>
      </c>
      <c r="P5558">
        <v>39408</v>
      </c>
      <c r="Q5558">
        <f>29-14</f>
        <v>15</v>
      </c>
      <c r="R5558" t="s">
        <v>46</v>
      </c>
      <c r="S5558" t="s">
        <v>39</v>
      </c>
      <c r="AB5558" t="s">
        <v>47</v>
      </c>
      <c r="AC5558" t="s">
        <v>87</v>
      </c>
    </row>
    <row r="5559" spans="1:30" x14ac:dyDescent="0.35">
      <c r="A5559" s="7">
        <v>42955</v>
      </c>
      <c r="B5559" t="s">
        <v>30</v>
      </c>
      <c r="C5559">
        <v>111</v>
      </c>
      <c r="D5559">
        <v>1</v>
      </c>
      <c r="E5559">
        <v>1</v>
      </c>
      <c r="F5559" t="s">
        <v>315</v>
      </c>
      <c r="G5559" t="s">
        <v>32</v>
      </c>
      <c r="H5559" t="s">
        <v>33</v>
      </c>
      <c r="I5559" t="s">
        <v>84</v>
      </c>
      <c r="AB5559" t="s">
        <v>1099</v>
      </c>
      <c r="AC5559" t="s">
        <v>41</v>
      </c>
    </row>
    <row r="5560" spans="1:30" x14ac:dyDescent="0.35">
      <c r="A5560" s="7">
        <v>42955</v>
      </c>
      <c r="B5560" t="s">
        <v>30</v>
      </c>
      <c r="C5560">
        <v>111</v>
      </c>
      <c r="D5560">
        <v>2</v>
      </c>
      <c r="E5560">
        <v>1</v>
      </c>
      <c r="F5560" t="s">
        <v>315</v>
      </c>
      <c r="G5560" t="s">
        <v>32</v>
      </c>
      <c r="H5560" t="s">
        <v>33</v>
      </c>
      <c r="I5560" t="s">
        <v>59</v>
      </c>
      <c r="AB5560" t="s">
        <v>1099</v>
      </c>
      <c r="AC5560" t="s">
        <v>41</v>
      </c>
    </row>
    <row r="5561" spans="1:30" x14ac:dyDescent="0.35">
      <c r="A5561" s="7">
        <v>42955</v>
      </c>
      <c r="B5561" t="s">
        <v>30</v>
      </c>
      <c r="C5561">
        <v>111</v>
      </c>
      <c r="D5561">
        <v>3</v>
      </c>
      <c r="E5561">
        <v>1</v>
      </c>
      <c r="F5561" t="s">
        <v>315</v>
      </c>
      <c r="G5561" t="s">
        <v>32</v>
      </c>
      <c r="H5561" t="s">
        <v>33</v>
      </c>
      <c r="I5561" t="s">
        <v>43</v>
      </c>
      <c r="J5561" t="s">
        <v>44</v>
      </c>
      <c r="K5561" t="s">
        <v>36</v>
      </c>
      <c r="L5561" t="s">
        <v>45</v>
      </c>
      <c r="M5561">
        <v>0</v>
      </c>
      <c r="N5561">
        <v>0</v>
      </c>
      <c r="O5561">
        <v>39309</v>
      </c>
      <c r="P5561">
        <v>39310</v>
      </c>
      <c r="Q5561">
        <f>33.5-13</f>
        <v>20.5</v>
      </c>
      <c r="R5561" t="s">
        <v>46</v>
      </c>
      <c r="S5561" t="s">
        <v>39</v>
      </c>
      <c r="AB5561" t="s">
        <v>1099</v>
      </c>
      <c r="AC5561" t="s">
        <v>41</v>
      </c>
    </row>
    <row r="5562" spans="1:30" x14ac:dyDescent="0.35">
      <c r="A5562" s="7">
        <v>42955</v>
      </c>
      <c r="B5562" t="s">
        <v>30</v>
      </c>
      <c r="C5562">
        <v>111</v>
      </c>
      <c r="D5562">
        <v>5</v>
      </c>
      <c r="E5562">
        <v>1</v>
      </c>
      <c r="F5562" t="s">
        <v>315</v>
      </c>
      <c r="G5562" t="s">
        <v>32</v>
      </c>
      <c r="H5562" t="s">
        <v>33</v>
      </c>
      <c r="I5562" t="s">
        <v>43</v>
      </c>
      <c r="J5562" t="s">
        <v>44</v>
      </c>
      <c r="K5562" t="s">
        <v>36</v>
      </c>
      <c r="L5562" t="s">
        <v>45</v>
      </c>
      <c r="M5562">
        <v>0</v>
      </c>
      <c r="N5562">
        <v>0</v>
      </c>
      <c r="O5562">
        <v>38901</v>
      </c>
      <c r="P5562">
        <v>38902</v>
      </c>
      <c r="Q5562">
        <f>37-17</f>
        <v>20</v>
      </c>
      <c r="R5562" t="s">
        <v>1021</v>
      </c>
      <c r="S5562" t="s">
        <v>102</v>
      </c>
      <c r="AB5562" t="s">
        <v>1099</v>
      </c>
      <c r="AC5562" t="s">
        <v>41</v>
      </c>
    </row>
    <row r="5563" spans="1:30" x14ac:dyDescent="0.35">
      <c r="A5563" s="7">
        <v>42955</v>
      </c>
      <c r="B5563" t="s">
        <v>30</v>
      </c>
      <c r="C5563">
        <v>111</v>
      </c>
      <c r="D5563">
        <v>7</v>
      </c>
      <c r="E5563">
        <v>1</v>
      </c>
      <c r="F5563" t="s">
        <v>315</v>
      </c>
      <c r="G5563" t="s">
        <v>32</v>
      </c>
      <c r="H5563" t="s">
        <v>33</v>
      </c>
      <c r="I5563" t="s">
        <v>43</v>
      </c>
      <c r="J5563" t="s">
        <v>44</v>
      </c>
      <c r="K5563" t="s">
        <v>36</v>
      </c>
      <c r="L5563" t="s">
        <v>45</v>
      </c>
      <c r="M5563">
        <v>0</v>
      </c>
      <c r="N5563">
        <v>0</v>
      </c>
      <c r="O5563">
        <v>39301</v>
      </c>
      <c r="P5563">
        <v>39302</v>
      </c>
      <c r="Q5563">
        <f>36-14.5</f>
        <v>21.5</v>
      </c>
      <c r="R5563" t="s">
        <v>1021</v>
      </c>
      <c r="S5563" t="s">
        <v>102</v>
      </c>
      <c r="AB5563" t="s">
        <v>1099</v>
      </c>
      <c r="AC5563" t="s">
        <v>41</v>
      </c>
    </row>
    <row r="5564" spans="1:30" x14ac:dyDescent="0.35">
      <c r="A5564" s="7">
        <v>42955</v>
      </c>
      <c r="B5564" t="s">
        <v>30</v>
      </c>
      <c r="C5564">
        <v>111</v>
      </c>
      <c r="D5564">
        <v>7</v>
      </c>
      <c r="E5564">
        <v>2</v>
      </c>
      <c r="F5564" t="s">
        <v>315</v>
      </c>
      <c r="G5564" t="s">
        <v>32</v>
      </c>
      <c r="H5564" t="s">
        <v>33</v>
      </c>
      <c r="I5564" t="s">
        <v>43</v>
      </c>
      <c r="J5564" t="s">
        <v>44</v>
      </c>
      <c r="K5564" t="s">
        <v>36</v>
      </c>
      <c r="L5564" t="s">
        <v>37</v>
      </c>
      <c r="M5564">
        <v>0</v>
      </c>
      <c r="N5564">
        <v>0</v>
      </c>
      <c r="O5564">
        <v>2871</v>
      </c>
      <c r="P5564">
        <v>2870</v>
      </c>
      <c r="Q5564">
        <f>37-15</f>
        <v>22</v>
      </c>
      <c r="R5564" t="s">
        <v>38</v>
      </c>
      <c r="AB5564" t="s">
        <v>1099</v>
      </c>
      <c r="AC5564" t="s">
        <v>41</v>
      </c>
      <c r="AD5564" t="s">
        <v>725</v>
      </c>
    </row>
    <row r="5565" spans="1:30" x14ac:dyDescent="0.35">
      <c r="A5565" s="7">
        <v>42955</v>
      </c>
      <c r="B5565" t="s">
        <v>30</v>
      </c>
      <c r="C5565">
        <v>111</v>
      </c>
      <c r="D5565">
        <v>8</v>
      </c>
      <c r="E5565">
        <v>1</v>
      </c>
      <c r="F5565" t="s">
        <v>315</v>
      </c>
      <c r="G5565" t="s">
        <v>32</v>
      </c>
      <c r="H5565" t="s">
        <v>33</v>
      </c>
      <c r="I5565" t="s">
        <v>84</v>
      </c>
      <c r="AB5565" t="s">
        <v>1099</v>
      </c>
      <c r="AC5565" t="s">
        <v>41</v>
      </c>
    </row>
    <row r="5566" spans="1:30" x14ac:dyDescent="0.35">
      <c r="A5566" s="7">
        <v>42955</v>
      </c>
      <c r="B5566" t="s">
        <v>30</v>
      </c>
      <c r="C5566">
        <v>111</v>
      </c>
      <c r="D5566">
        <v>8</v>
      </c>
      <c r="E5566">
        <v>2</v>
      </c>
      <c r="F5566" t="s">
        <v>315</v>
      </c>
      <c r="G5566" t="s">
        <v>32</v>
      </c>
      <c r="H5566" t="s">
        <v>33</v>
      </c>
      <c r="I5566" t="s">
        <v>59</v>
      </c>
      <c r="AB5566" t="s">
        <v>1099</v>
      </c>
      <c r="AC5566" t="s">
        <v>41</v>
      </c>
    </row>
    <row r="5567" spans="1:30" x14ac:dyDescent="0.35">
      <c r="A5567" s="7">
        <v>42955</v>
      </c>
      <c r="B5567" t="s">
        <v>30</v>
      </c>
      <c r="C5567">
        <v>111</v>
      </c>
      <c r="D5567">
        <v>10</v>
      </c>
      <c r="E5567">
        <v>1</v>
      </c>
      <c r="F5567" t="s">
        <v>315</v>
      </c>
      <c r="G5567" t="s">
        <v>32</v>
      </c>
      <c r="H5567" t="s">
        <v>33</v>
      </c>
      <c r="I5567" t="s">
        <v>59</v>
      </c>
      <c r="AB5567" t="s">
        <v>1099</v>
      </c>
      <c r="AC5567" t="s">
        <v>41</v>
      </c>
    </row>
    <row r="5568" spans="1:30" x14ac:dyDescent="0.35">
      <c r="A5568" s="7">
        <v>42955</v>
      </c>
      <c r="B5568" t="s">
        <v>30</v>
      </c>
      <c r="C5568">
        <v>112</v>
      </c>
      <c r="D5568">
        <v>2</v>
      </c>
      <c r="E5568">
        <v>1</v>
      </c>
      <c r="F5568" t="s">
        <v>315</v>
      </c>
      <c r="G5568" t="s">
        <v>32</v>
      </c>
      <c r="H5568" t="s">
        <v>33</v>
      </c>
      <c r="I5568" t="s">
        <v>43</v>
      </c>
      <c r="J5568" t="s">
        <v>35</v>
      </c>
      <c r="K5568" t="s">
        <v>36</v>
      </c>
      <c r="L5568" t="s">
        <v>37</v>
      </c>
      <c r="M5568">
        <v>0</v>
      </c>
      <c r="N5568">
        <v>1</v>
      </c>
      <c r="O5568">
        <v>39429</v>
      </c>
      <c r="P5568">
        <v>39428</v>
      </c>
      <c r="Q5568">
        <f>31.5-13</f>
        <v>18.5</v>
      </c>
      <c r="R5568" t="s">
        <v>38</v>
      </c>
      <c r="Y5568" t="s">
        <v>1100</v>
      </c>
      <c r="AB5568" t="s">
        <v>1099</v>
      </c>
      <c r="AC5568" t="s">
        <v>41</v>
      </c>
    </row>
    <row r="5569" spans="1:29" x14ac:dyDescent="0.35">
      <c r="A5569" s="7">
        <v>42955</v>
      </c>
      <c r="B5569" t="s">
        <v>30</v>
      </c>
      <c r="C5569">
        <v>112</v>
      </c>
      <c r="D5569">
        <v>3</v>
      </c>
      <c r="E5569">
        <v>1</v>
      </c>
      <c r="F5569" t="s">
        <v>315</v>
      </c>
      <c r="G5569" t="s">
        <v>32</v>
      </c>
      <c r="H5569" t="s">
        <v>33</v>
      </c>
      <c r="I5569" t="s">
        <v>59</v>
      </c>
      <c r="AB5569" t="s">
        <v>1099</v>
      </c>
      <c r="AC5569" t="s">
        <v>41</v>
      </c>
    </row>
    <row r="5570" spans="1:29" x14ac:dyDescent="0.35">
      <c r="A5570" s="7">
        <v>42955</v>
      </c>
      <c r="B5570" t="s">
        <v>30</v>
      </c>
      <c r="C5570">
        <v>112</v>
      </c>
      <c r="D5570">
        <v>4</v>
      </c>
      <c r="E5570">
        <v>1</v>
      </c>
      <c r="F5570" t="s">
        <v>315</v>
      </c>
      <c r="G5570" t="s">
        <v>32</v>
      </c>
      <c r="H5570" t="s">
        <v>33</v>
      </c>
      <c r="I5570" t="s">
        <v>59</v>
      </c>
      <c r="AB5570" t="s">
        <v>1099</v>
      </c>
      <c r="AC5570" t="s">
        <v>41</v>
      </c>
    </row>
    <row r="5571" spans="1:29" x14ac:dyDescent="0.35">
      <c r="A5571" s="7">
        <v>42955</v>
      </c>
      <c r="B5571" t="s">
        <v>30</v>
      </c>
      <c r="C5571">
        <v>112</v>
      </c>
      <c r="D5571">
        <v>8</v>
      </c>
      <c r="E5571">
        <v>1</v>
      </c>
      <c r="F5571" t="s">
        <v>315</v>
      </c>
      <c r="G5571" t="s">
        <v>32</v>
      </c>
      <c r="H5571" t="s">
        <v>33</v>
      </c>
      <c r="I5571" t="s">
        <v>59</v>
      </c>
      <c r="AB5571" t="s">
        <v>1099</v>
      </c>
      <c r="AC5571" t="s">
        <v>41</v>
      </c>
    </row>
    <row r="5572" spans="1:29" x14ac:dyDescent="0.35">
      <c r="A5572" s="7">
        <v>42955</v>
      </c>
      <c r="B5572" t="s">
        <v>30</v>
      </c>
      <c r="C5572">
        <v>112</v>
      </c>
      <c r="D5572">
        <v>8</v>
      </c>
      <c r="E5572">
        <v>2</v>
      </c>
      <c r="F5572" t="s">
        <v>315</v>
      </c>
      <c r="G5572" t="s">
        <v>32</v>
      </c>
      <c r="H5572" t="s">
        <v>33</v>
      </c>
      <c r="I5572" t="s">
        <v>43</v>
      </c>
      <c r="J5572" t="s">
        <v>44</v>
      </c>
      <c r="K5572" t="s">
        <v>36</v>
      </c>
      <c r="L5572" t="s">
        <v>45</v>
      </c>
      <c r="M5572">
        <v>0</v>
      </c>
      <c r="N5572">
        <v>0</v>
      </c>
      <c r="O5572">
        <v>39469</v>
      </c>
      <c r="P5572">
        <v>39467</v>
      </c>
      <c r="Q5572">
        <f>36-15</f>
        <v>21</v>
      </c>
      <c r="R5572" t="s">
        <v>46</v>
      </c>
      <c r="S5572" t="s">
        <v>39</v>
      </c>
      <c r="Y5572" t="s">
        <v>1101</v>
      </c>
      <c r="Z5572" t="s">
        <v>102</v>
      </c>
      <c r="AB5572" t="s">
        <v>1099</v>
      </c>
      <c r="AC5572" t="s">
        <v>41</v>
      </c>
    </row>
    <row r="5573" spans="1:29" x14ac:dyDescent="0.35">
      <c r="A5573" s="7">
        <v>42955</v>
      </c>
      <c r="B5573" t="s">
        <v>30</v>
      </c>
      <c r="C5573">
        <v>112</v>
      </c>
      <c r="D5573">
        <v>9</v>
      </c>
      <c r="E5573">
        <v>1</v>
      </c>
      <c r="F5573" t="s">
        <v>315</v>
      </c>
      <c r="G5573" t="s">
        <v>32</v>
      </c>
      <c r="H5573" t="s">
        <v>33</v>
      </c>
      <c r="I5573" t="s">
        <v>59</v>
      </c>
      <c r="AB5573" t="s">
        <v>1099</v>
      </c>
      <c r="AC5573" t="s">
        <v>41</v>
      </c>
    </row>
    <row r="5574" spans="1:29" x14ac:dyDescent="0.35">
      <c r="A5574" s="7">
        <v>42955</v>
      </c>
      <c r="B5574" t="s">
        <v>30</v>
      </c>
      <c r="C5574">
        <v>112</v>
      </c>
      <c r="D5574">
        <v>9</v>
      </c>
      <c r="E5574">
        <v>2</v>
      </c>
      <c r="F5574" t="s">
        <v>315</v>
      </c>
      <c r="G5574" t="s">
        <v>32</v>
      </c>
      <c r="H5574" t="s">
        <v>33</v>
      </c>
      <c r="I5574" t="s">
        <v>59</v>
      </c>
      <c r="AB5574" t="s">
        <v>1099</v>
      </c>
      <c r="AC5574" t="s">
        <v>41</v>
      </c>
    </row>
    <row r="5575" spans="1:29" x14ac:dyDescent="0.35">
      <c r="A5575" s="7">
        <v>42955</v>
      </c>
      <c r="B5575" t="s">
        <v>30</v>
      </c>
      <c r="C5575">
        <v>112</v>
      </c>
      <c r="D5575">
        <v>10</v>
      </c>
      <c r="E5575">
        <v>1</v>
      </c>
      <c r="F5575" t="s">
        <v>315</v>
      </c>
      <c r="G5575" t="s">
        <v>32</v>
      </c>
      <c r="H5575" t="s">
        <v>33</v>
      </c>
      <c r="I5575" t="s">
        <v>59</v>
      </c>
      <c r="AB5575" t="s">
        <v>1099</v>
      </c>
      <c r="AC5575" t="s">
        <v>41</v>
      </c>
    </row>
    <row r="5576" spans="1:29" x14ac:dyDescent="0.35">
      <c r="A5576" s="7">
        <v>42955</v>
      </c>
      <c r="B5576" t="s">
        <v>30</v>
      </c>
      <c r="C5576">
        <v>112</v>
      </c>
      <c r="D5576">
        <v>10</v>
      </c>
      <c r="E5576">
        <v>2</v>
      </c>
      <c r="F5576" t="s">
        <v>315</v>
      </c>
      <c r="G5576" t="s">
        <v>32</v>
      </c>
      <c r="H5576" t="s">
        <v>33</v>
      </c>
      <c r="I5576" t="s">
        <v>59</v>
      </c>
      <c r="AB5576" t="s">
        <v>1099</v>
      </c>
      <c r="AC5576" t="s">
        <v>41</v>
      </c>
    </row>
    <row r="5577" spans="1:29" x14ac:dyDescent="0.35">
      <c r="A5577" s="7">
        <v>42955</v>
      </c>
      <c r="B5577" t="s">
        <v>30</v>
      </c>
      <c r="C5577">
        <v>113</v>
      </c>
      <c r="D5577">
        <v>7</v>
      </c>
      <c r="E5577">
        <v>1</v>
      </c>
      <c r="F5577" t="s">
        <v>315</v>
      </c>
      <c r="G5577" t="s">
        <v>32</v>
      </c>
      <c r="H5577" t="s">
        <v>33</v>
      </c>
      <c r="I5577" t="s">
        <v>59</v>
      </c>
      <c r="AB5577" t="s">
        <v>1099</v>
      </c>
      <c r="AC5577" t="s">
        <v>41</v>
      </c>
    </row>
    <row r="5578" spans="1:29" x14ac:dyDescent="0.35">
      <c r="A5578" s="7">
        <v>42955</v>
      </c>
      <c r="B5578" t="s">
        <v>30</v>
      </c>
      <c r="C5578">
        <v>113</v>
      </c>
      <c r="D5578">
        <v>8</v>
      </c>
      <c r="E5578">
        <v>1</v>
      </c>
      <c r="F5578" t="s">
        <v>315</v>
      </c>
      <c r="G5578" t="s">
        <v>32</v>
      </c>
      <c r="H5578" t="s">
        <v>33</v>
      </c>
      <c r="I5578" t="s">
        <v>59</v>
      </c>
      <c r="AB5578" t="s">
        <v>1099</v>
      </c>
      <c r="AC5578" t="s">
        <v>41</v>
      </c>
    </row>
    <row r="5579" spans="1:29" x14ac:dyDescent="0.35">
      <c r="A5579" s="7">
        <v>42955</v>
      </c>
      <c r="B5579" t="s">
        <v>30</v>
      </c>
      <c r="C5579">
        <v>113</v>
      </c>
      <c r="D5579">
        <v>9</v>
      </c>
      <c r="E5579">
        <v>1</v>
      </c>
      <c r="F5579" t="s">
        <v>315</v>
      </c>
      <c r="G5579" t="s">
        <v>32</v>
      </c>
      <c r="H5579" t="s">
        <v>33</v>
      </c>
      <c r="I5579" t="s">
        <v>1029</v>
      </c>
      <c r="J5579" t="s">
        <v>66</v>
      </c>
      <c r="AB5579" t="s">
        <v>1099</v>
      </c>
      <c r="AC5579" t="s">
        <v>41</v>
      </c>
    </row>
    <row r="5580" spans="1:29" x14ac:dyDescent="0.35">
      <c r="A5580" s="7">
        <v>42955</v>
      </c>
      <c r="B5580" t="s">
        <v>30</v>
      </c>
      <c r="C5580">
        <v>201</v>
      </c>
      <c r="D5580">
        <v>1</v>
      </c>
      <c r="E5580">
        <v>1</v>
      </c>
      <c r="F5580" t="s">
        <v>1020</v>
      </c>
      <c r="G5580" t="s">
        <v>32</v>
      </c>
      <c r="H5580" t="s">
        <v>33</v>
      </c>
      <c r="I5580" t="s">
        <v>84</v>
      </c>
      <c r="AB5580" t="s">
        <v>86</v>
      </c>
      <c r="AC5580" t="s">
        <v>41</v>
      </c>
    </row>
    <row r="5581" spans="1:29" x14ac:dyDescent="0.35">
      <c r="A5581" s="7">
        <v>42955</v>
      </c>
      <c r="B5581" t="s">
        <v>30</v>
      </c>
      <c r="C5581">
        <v>201</v>
      </c>
      <c r="D5581">
        <v>1</v>
      </c>
      <c r="E5581">
        <v>1</v>
      </c>
      <c r="F5581" t="s">
        <v>1020</v>
      </c>
      <c r="G5581" t="s">
        <v>32</v>
      </c>
      <c r="H5581" t="s">
        <v>33</v>
      </c>
      <c r="I5581" t="s">
        <v>59</v>
      </c>
      <c r="AB5581" t="s">
        <v>86</v>
      </c>
      <c r="AC5581" t="s">
        <v>41</v>
      </c>
    </row>
    <row r="5582" spans="1:29" x14ac:dyDescent="0.35">
      <c r="A5582" s="7">
        <v>42955</v>
      </c>
      <c r="B5582" t="s">
        <v>30</v>
      </c>
      <c r="C5582">
        <v>201</v>
      </c>
      <c r="D5582">
        <v>1</v>
      </c>
      <c r="E5582">
        <v>2</v>
      </c>
      <c r="F5582" t="s">
        <v>1020</v>
      </c>
      <c r="G5582" t="s">
        <v>32</v>
      </c>
      <c r="H5582" t="s">
        <v>33</v>
      </c>
      <c r="I5582" t="s">
        <v>59</v>
      </c>
      <c r="AB5582" t="s">
        <v>86</v>
      </c>
      <c r="AC5582" t="s">
        <v>41</v>
      </c>
    </row>
    <row r="5583" spans="1:29" x14ac:dyDescent="0.35">
      <c r="A5583" s="7">
        <v>42955</v>
      </c>
      <c r="B5583" t="s">
        <v>30</v>
      </c>
      <c r="C5583">
        <v>201</v>
      </c>
      <c r="D5583">
        <v>2</v>
      </c>
      <c r="E5583">
        <v>1</v>
      </c>
      <c r="F5583" t="s">
        <v>1020</v>
      </c>
      <c r="G5583" t="s">
        <v>32</v>
      </c>
      <c r="H5583" t="s">
        <v>33</v>
      </c>
      <c r="I5583" t="s">
        <v>84</v>
      </c>
      <c r="AB5583" t="s">
        <v>86</v>
      </c>
      <c r="AC5583" t="s">
        <v>41</v>
      </c>
    </row>
    <row r="5584" spans="1:29" x14ac:dyDescent="0.35">
      <c r="A5584" s="7">
        <v>42955</v>
      </c>
      <c r="B5584" t="s">
        <v>30</v>
      </c>
      <c r="C5584">
        <v>201</v>
      </c>
      <c r="D5584">
        <v>2</v>
      </c>
      <c r="E5584">
        <v>2</v>
      </c>
      <c r="F5584" t="s">
        <v>1020</v>
      </c>
      <c r="G5584" t="s">
        <v>32</v>
      </c>
      <c r="H5584" t="s">
        <v>33</v>
      </c>
      <c r="I5584" t="s">
        <v>84</v>
      </c>
      <c r="AB5584" t="s">
        <v>86</v>
      </c>
      <c r="AC5584" t="s">
        <v>41</v>
      </c>
    </row>
    <row r="5585" spans="1:29" x14ac:dyDescent="0.35">
      <c r="A5585" s="7">
        <v>42955</v>
      </c>
      <c r="B5585" t="s">
        <v>30</v>
      </c>
      <c r="C5585">
        <v>201</v>
      </c>
      <c r="D5585">
        <v>3</v>
      </c>
      <c r="E5585">
        <v>1</v>
      </c>
      <c r="F5585" t="s">
        <v>1020</v>
      </c>
      <c r="G5585" t="s">
        <v>32</v>
      </c>
      <c r="H5585" t="s">
        <v>33</v>
      </c>
      <c r="I5585" t="s">
        <v>84</v>
      </c>
      <c r="AB5585" t="s">
        <v>86</v>
      </c>
      <c r="AC5585" t="s">
        <v>41</v>
      </c>
    </row>
    <row r="5586" spans="1:29" x14ac:dyDescent="0.35">
      <c r="A5586" s="7">
        <v>42955</v>
      </c>
      <c r="B5586" t="s">
        <v>30</v>
      </c>
      <c r="C5586">
        <v>201</v>
      </c>
      <c r="D5586">
        <v>3</v>
      </c>
      <c r="E5586">
        <v>2</v>
      </c>
      <c r="F5586" t="s">
        <v>1020</v>
      </c>
      <c r="G5586" t="s">
        <v>32</v>
      </c>
      <c r="H5586" t="s">
        <v>33</v>
      </c>
      <c r="I5586" t="s">
        <v>84</v>
      </c>
      <c r="AB5586" t="s">
        <v>86</v>
      </c>
      <c r="AC5586" t="s">
        <v>41</v>
      </c>
    </row>
    <row r="5587" spans="1:29" x14ac:dyDescent="0.35">
      <c r="A5587" s="7">
        <v>42955</v>
      </c>
      <c r="B5587" t="s">
        <v>30</v>
      </c>
      <c r="C5587">
        <v>201</v>
      </c>
      <c r="D5587">
        <v>4</v>
      </c>
      <c r="E5587">
        <v>1</v>
      </c>
      <c r="F5587" t="s">
        <v>1020</v>
      </c>
      <c r="G5587" t="s">
        <v>32</v>
      </c>
      <c r="H5587" t="s">
        <v>33</v>
      </c>
      <c r="I5587" t="s">
        <v>84</v>
      </c>
      <c r="AB5587" t="s">
        <v>86</v>
      </c>
      <c r="AC5587" t="s">
        <v>41</v>
      </c>
    </row>
    <row r="5588" spans="1:29" x14ac:dyDescent="0.35">
      <c r="A5588" s="7">
        <v>42955</v>
      </c>
      <c r="B5588" t="s">
        <v>30</v>
      </c>
      <c r="C5588">
        <v>201</v>
      </c>
      <c r="D5588">
        <v>4</v>
      </c>
      <c r="E5588">
        <v>2</v>
      </c>
      <c r="F5588" t="s">
        <v>1020</v>
      </c>
      <c r="G5588" t="s">
        <v>32</v>
      </c>
      <c r="H5588" t="s">
        <v>33</v>
      </c>
      <c r="I5588" t="s">
        <v>84</v>
      </c>
      <c r="AB5588" t="s">
        <v>86</v>
      </c>
      <c r="AC5588" t="s">
        <v>41</v>
      </c>
    </row>
    <row r="5589" spans="1:29" x14ac:dyDescent="0.35">
      <c r="A5589" s="7">
        <v>42955</v>
      </c>
      <c r="B5589" t="s">
        <v>30</v>
      </c>
      <c r="C5589">
        <v>201</v>
      </c>
      <c r="D5589">
        <v>5</v>
      </c>
      <c r="E5589">
        <v>1</v>
      </c>
      <c r="F5589" t="s">
        <v>1020</v>
      </c>
      <c r="G5589" t="s">
        <v>32</v>
      </c>
      <c r="H5589" t="s">
        <v>33</v>
      </c>
      <c r="I5589" t="s">
        <v>84</v>
      </c>
      <c r="AB5589" t="s">
        <v>86</v>
      </c>
      <c r="AC5589" t="s">
        <v>41</v>
      </c>
    </row>
    <row r="5590" spans="1:29" x14ac:dyDescent="0.35">
      <c r="A5590" s="7">
        <v>42955</v>
      </c>
      <c r="B5590" t="s">
        <v>30</v>
      </c>
      <c r="C5590">
        <v>201</v>
      </c>
      <c r="D5590">
        <v>5</v>
      </c>
      <c r="E5590">
        <v>2</v>
      </c>
      <c r="F5590" t="s">
        <v>1020</v>
      </c>
      <c r="G5590" t="s">
        <v>32</v>
      </c>
      <c r="H5590" t="s">
        <v>33</v>
      </c>
      <c r="I5590" t="s">
        <v>84</v>
      </c>
      <c r="AB5590" t="s">
        <v>86</v>
      </c>
      <c r="AC5590" t="s">
        <v>41</v>
      </c>
    </row>
    <row r="5591" spans="1:29" x14ac:dyDescent="0.35">
      <c r="A5591" s="7">
        <v>42955</v>
      </c>
      <c r="B5591" t="s">
        <v>30</v>
      </c>
      <c r="C5591">
        <v>201</v>
      </c>
      <c r="D5591">
        <v>6</v>
      </c>
      <c r="E5591">
        <v>1</v>
      </c>
      <c r="F5591" t="s">
        <v>1020</v>
      </c>
      <c r="G5591" t="s">
        <v>32</v>
      </c>
      <c r="H5591" t="s">
        <v>33</v>
      </c>
      <c r="I5591" t="s">
        <v>84</v>
      </c>
      <c r="AB5591" t="s">
        <v>86</v>
      </c>
      <c r="AC5591" t="s">
        <v>41</v>
      </c>
    </row>
    <row r="5592" spans="1:29" x14ac:dyDescent="0.35">
      <c r="A5592" s="7">
        <v>42955</v>
      </c>
      <c r="B5592" t="s">
        <v>30</v>
      </c>
      <c r="C5592">
        <v>201</v>
      </c>
      <c r="D5592">
        <v>6</v>
      </c>
      <c r="E5592">
        <v>2</v>
      </c>
      <c r="F5592" t="s">
        <v>1020</v>
      </c>
      <c r="G5592" t="s">
        <v>32</v>
      </c>
      <c r="H5592" t="s">
        <v>33</v>
      </c>
      <c r="I5592" t="s">
        <v>84</v>
      </c>
      <c r="AB5592" t="s">
        <v>86</v>
      </c>
      <c r="AC5592" t="s">
        <v>41</v>
      </c>
    </row>
    <row r="5593" spans="1:29" x14ac:dyDescent="0.35">
      <c r="A5593" s="7">
        <v>42955</v>
      </c>
      <c r="B5593" t="s">
        <v>30</v>
      </c>
      <c r="C5593">
        <v>201</v>
      </c>
      <c r="D5593">
        <v>7</v>
      </c>
      <c r="E5593">
        <v>1</v>
      </c>
      <c r="F5593" t="s">
        <v>1020</v>
      </c>
      <c r="G5593" t="s">
        <v>32</v>
      </c>
      <c r="H5593" t="s">
        <v>33</v>
      </c>
      <c r="I5593" t="s">
        <v>84</v>
      </c>
      <c r="AB5593" t="s">
        <v>86</v>
      </c>
      <c r="AC5593" t="s">
        <v>41</v>
      </c>
    </row>
    <row r="5594" spans="1:29" x14ac:dyDescent="0.35">
      <c r="A5594" s="7">
        <v>42955</v>
      </c>
      <c r="B5594" t="s">
        <v>30</v>
      </c>
      <c r="C5594">
        <v>201</v>
      </c>
      <c r="D5594">
        <v>7</v>
      </c>
      <c r="E5594">
        <v>2</v>
      </c>
      <c r="F5594" t="s">
        <v>1020</v>
      </c>
      <c r="G5594" t="s">
        <v>32</v>
      </c>
      <c r="H5594" t="s">
        <v>33</v>
      </c>
      <c r="I5594" t="s">
        <v>84</v>
      </c>
      <c r="AB5594" t="s">
        <v>86</v>
      </c>
      <c r="AC5594" t="s">
        <v>41</v>
      </c>
    </row>
    <row r="5595" spans="1:29" x14ac:dyDescent="0.35">
      <c r="A5595" s="7">
        <v>42955</v>
      </c>
      <c r="B5595" t="s">
        <v>30</v>
      </c>
      <c r="C5595">
        <v>201</v>
      </c>
      <c r="D5595">
        <v>8</v>
      </c>
      <c r="E5595">
        <v>1</v>
      </c>
      <c r="F5595" t="s">
        <v>1020</v>
      </c>
      <c r="G5595" t="s">
        <v>32</v>
      </c>
      <c r="H5595" t="s">
        <v>33</v>
      </c>
      <c r="I5595" t="s">
        <v>84</v>
      </c>
      <c r="AB5595" t="s">
        <v>86</v>
      </c>
      <c r="AC5595" t="s">
        <v>41</v>
      </c>
    </row>
    <row r="5596" spans="1:29" x14ac:dyDescent="0.35">
      <c r="A5596" s="7">
        <v>42955</v>
      </c>
      <c r="B5596" t="s">
        <v>30</v>
      </c>
      <c r="C5596">
        <v>201</v>
      </c>
      <c r="D5596">
        <v>8</v>
      </c>
      <c r="E5596">
        <v>2</v>
      </c>
      <c r="F5596" t="s">
        <v>1020</v>
      </c>
      <c r="G5596" t="s">
        <v>32</v>
      </c>
      <c r="H5596" t="s">
        <v>33</v>
      </c>
      <c r="I5596" t="s">
        <v>84</v>
      </c>
      <c r="AB5596" t="s">
        <v>86</v>
      </c>
      <c r="AC5596" t="s">
        <v>41</v>
      </c>
    </row>
    <row r="5597" spans="1:29" x14ac:dyDescent="0.35">
      <c r="A5597" s="7">
        <v>42955</v>
      </c>
      <c r="B5597" t="s">
        <v>30</v>
      </c>
      <c r="C5597">
        <v>201</v>
      </c>
      <c r="D5597">
        <v>9</v>
      </c>
      <c r="E5597">
        <v>1</v>
      </c>
      <c r="F5597" t="s">
        <v>1020</v>
      </c>
      <c r="G5597" t="s">
        <v>32</v>
      </c>
      <c r="H5597" t="s">
        <v>33</v>
      </c>
      <c r="I5597" t="s">
        <v>84</v>
      </c>
      <c r="AB5597" t="s">
        <v>86</v>
      </c>
      <c r="AC5597" t="s">
        <v>41</v>
      </c>
    </row>
    <row r="5598" spans="1:29" x14ac:dyDescent="0.35">
      <c r="A5598" s="7">
        <v>42955</v>
      </c>
      <c r="B5598" t="s">
        <v>30</v>
      </c>
      <c r="C5598">
        <v>201</v>
      </c>
      <c r="D5598">
        <v>9</v>
      </c>
      <c r="E5598">
        <v>2</v>
      </c>
      <c r="F5598" t="s">
        <v>1020</v>
      </c>
      <c r="G5598" t="s">
        <v>32</v>
      </c>
      <c r="H5598" t="s">
        <v>33</v>
      </c>
      <c r="I5598" t="s">
        <v>84</v>
      </c>
      <c r="AB5598" t="s">
        <v>86</v>
      </c>
      <c r="AC5598" t="s">
        <v>41</v>
      </c>
    </row>
    <row r="5599" spans="1:29" x14ac:dyDescent="0.35">
      <c r="A5599" s="7">
        <v>42955</v>
      </c>
      <c r="B5599" t="s">
        <v>30</v>
      </c>
      <c r="C5599">
        <v>201</v>
      </c>
      <c r="D5599">
        <v>10</v>
      </c>
      <c r="E5599">
        <v>1</v>
      </c>
      <c r="F5599" t="s">
        <v>1020</v>
      </c>
      <c r="G5599" t="s">
        <v>32</v>
      </c>
      <c r="H5599" t="s">
        <v>33</v>
      </c>
      <c r="I5599" t="s">
        <v>84</v>
      </c>
      <c r="AB5599" t="s">
        <v>86</v>
      </c>
      <c r="AC5599" t="s">
        <v>41</v>
      </c>
    </row>
    <row r="5600" spans="1:29" x14ac:dyDescent="0.35">
      <c r="A5600" s="7">
        <v>42955</v>
      </c>
      <c r="B5600" t="s">
        <v>30</v>
      </c>
      <c r="C5600">
        <v>201</v>
      </c>
      <c r="D5600">
        <v>10</v>
      </c>
      <c r="E5600">
        <v>2</v>
      </c>
      <c r="F5600" t="s">
        <v>1020</v>
      </c>
      <c r="G5600" t="s">
        <v>32</v>
      </c>
      <c r="H5600" t="s">
        <v>33</v>
      </c>
      <c r="I5600" t="s">
        <v>84</v>
      </c>
      <c r="AB5600" t="s">
        <v>86</v>
      </c>
      <c r="AC5600" t="s">
        <v>41</v>
      </c>
    </row>
    <row r="5601" spans="1:30" x14ac:dyDescent="0.35">
      <c r="A5601" s="7">
        <v>42955</v>
      </c>
      <c r="B5601" t="s">
        <v>30</v>
      </c>
      <c r="C5601">
        <v>202</v>
      </c>
      <c r="D5601">
        <v>1</v>
      </c>
      <c r="E5601">
        <v>1</v>
      </c>
      <c r="F5601" t="s">
        <v>1020</v>
      </c>
      <c r="G5601" t="s">
        <v>32</v>
      </c>
      <c r="H5601" t="s">
        <v>33</v>
      </c>
      <c r="I5601" t="s">
        <v>59</v>
      </c>
      <c r="AB5601" t="s">
        <v>86</v>
      </c>
      <c r="AC5601" t="s">
        <v>41</v>
      </c>
    </row>
    <row r="5602" spans="1:30" x14ac:dyDescent="0.35">
      <c r="A5602" s="7">
        <v>42955</v>
      </c>
      <c r="B5602" t="s">
        <v>30</v>
      </c>
      <c r="C5602">
        <v>202</v>
      </c>
      <c r="D5602">
        <v>1</v>
      </c>
      <c r="E5602">
        <v>2</v>
      </c>
      <c r="F5602" t="s">
        <v>1020</v>
      </c>
      <c r="G5602" t="s">
        <v>32</v>
      </c>
      <c r="H5602" t="s">
        <v>33</v>
      </c>
      <c r="I5602" t="s">
        <v>59</v>
      </c>
      <c r="AB5602" t="s">
        <v>86</v>
      </c>
      <c r="AC5602" t="s">
        <v>41</v>
      </c>
    </row>
    <row r="5603" spans="1:30" x14ac:dyDescent="0.35">
      <c r="A5603" s="7">
        <v>42955</v>
      </c>
      <c r="B5603" t="s">
        <v>30</v>
      </c>
      <c r="C5603">
        <v>202</v>
      </c>
      <c r="D5603">
        <v>2</v>
      </c>
      <c r="E5603">
        <v>1</v>
      </c>
      <c r="F5603" t="s">
        <v>1020</v>
      </c>
      <c r="G5603" t="s">
        <v>32</v>
      </c>
      <c r="H5603" t="s">
        <v>33</v>
      </c>
      <c r="I5603" t="s">
        <v>59</v>
      </c>
      <c r="AB5603" t="s">
        <v>86</v>
      </c>
      <c r="AC5603" t="s">
        <v>41</v>
      </c>
    </row>
    <row r="5604" spans="1:30" x14ac:dyDescent="0.35">
      <c r="A5604" s="7">
        <v>42955</v>
      </c>
      <c r="B5604" t="s">
        <v>30</v>
      </c>
      <c r="C5604">
        <v>202</v>
      </c>
      <c r="D5604">
        <v>2</v>
      </c>
      <c r="E5604">
        <v>2</v>
      </c>
      <c r="F5604" t="s">
        <v>1020</v>
      </c>
      <c r="G5604" t="s">
        <v>32</v>
      </c>
      <c r="H5604" t="s">
        <v>33</v>
      </c>
      <c r="I5604" t="s">
        <v>59</v>
      </c>
      <c r="AB5604" t="s">
        <v>86</v>
      </c>
      <c r="AC5604" t="s">
        <v>41</v>
      </c>
    </row>
    <row r="5605" spans="1:30" x14ac:dyDescent="0.35">
      <c r="A5605" s="7">
        <v>42955</v>
      </c>
      <c r="B5605" t="s">
        <v>30</v>
      </c>
      <c r="C5605">
        <v>202</v>
      </c>
      <c r="D5605">
        <v>4</v>
      </c>
      <c r="E5605">
        <v>1</v>
      </c>
      <c r="F5605" t="s">
        <v>1020</v>
      </c>
      <c r="G5605" t="s">
        <v>32</v>
      </c>
      <c r="H5605" t="s">
        <v>33</v>
      </c>
      <c r="I5605" t="s">
        <v>59</v>
      </c>
      <c r="AB5605" t="s">
        <v>86</v>
      </c>
      <c r="AC5605" t="s">
        <v>41</v>
      </c>
    </row>
    <row r="5606" spans="1:30" x14ac:dyDescent="0.35">
      <c r="A5606" s="7">
        <v>42955</v>
      </c>
      <c r="B5606" t="s">
        <v>30</v>
      </c>
      <c r="C5606">
        <v>202</v>
      </c>
      <c r="D5606">
        <v>4</v>
      </c>
      <c r="E5606">
        <v>2</v>
      </c>
      <c r="F5606" t="s">
        <v>1020</v>
      </c>
      <c r="G5606" t="s">
        <v>32</v>
      </c>
      <c r="H5606" t="s">
        <v>33</v>
      </c>
      <c r="I5606" t="s">
        <v>59</v>
      </c>
      <c r="AB5606" t="s">
        <v>86</v>
      </c>
      <c r="AC5606" t="s">
        <v>41</v>
      </c>
    </row>
    <row r="5607" spans="1:30" x14ac:dyDescent="0.35">
      <c r="A5607" s="7">
        <v>42955</v>
      </c>
      <c r="B5607" t="s">
        <v>30</v>
      </c>
      <c r="C5607">
        <v>202</v>
      </c>
      <c r="D5607">
        <v>5</v>
      </c>
      <c r="E5607">
        <v>1</v>
      </c>
      <c r="F5607" t="s">
        <v>1020</v>
      </c>
      <c r="G5607" t="s">
        <v>32</v>
      </c>
      <c r="H5607" t="s">
        <v>33</v>
      </c>
      <c r="I5607" t="s">
        <v>59</v>
      </c>
      <c r="AB5607" t="s">
        <v>86</v>
      </c>
      <c r="AC5607" t="s">
        <v>41</v>
      </c>
    </row>
    <row r="5608" spans="1:30" x14ac:dyDescent="0.35">
      <c r="A5608" s="7">
        <v>42955</v>
      </c>
      <c r="B5608" t="s">
        <v>30</v>
      </c>
      <c r="C5608">
        <v>304</v>
      </c>
      <c r="D5608">
        <v>1</v>
      </c>
      <c r="E5608">
        <v>1</v>
      </c>
      <c r="F5608" t="s">
        <v>1020</v>
      </c>
      <c r="G5608" t="s">
        <v>32</v>
      </c>
      <c r="H5608" t="s">
        <v>33</v>
      </c>
      <c r="I5608" t="s">
        <v>59</v>
      </c>
      <c r="AB5608" t="s">
        <v>86</v>
      </c>
      <c r="AC5608" t="s">
        <v>41</v>
      </c>
    </row>
    <row r="5609" spans="1:30" x14ac:dyDescent="0.35">
      <c r="A5609" s="7">
        <v>42955</v>
      </c>
      <c r="B5609" t="s">
        <v>30</v>
      </c>
      <c r="C5609">
        <v>304</v>
      </c>
      <c r="D5609">
        <v>2</v>
      </c>
      <c r="E5609">
        <v>1</v>
      </c>
      <c r="F5609" t="s">
        <v>1020</v>
      </c>
      <c r="G5609" t="s">
        <v>32</v>
      </c>
      <c r="H5609" t="s">
        <v>33</v>
      </c>
      <c r="I5609" t="s">
        <v>59</v>
      </c>
      <c r="AB5609" t="s">
        <v>86</v>
      </c>
      <c r="AC5609" t="s">
        <v>41</v>
      </c>
    </row>
    <row r="5610" spans="1:30" x14ac:dyDescent="0.35">
      <c r="A5610" s="7">
        <v>42955</v>
      </c>
      <c r="B5610" t="s">
        <v>30</v>
      </c>
      <c r="C5610">
        <v>304</v>
      </c>
      <c r="D5610">
        <v>3</v>
      </c>
      <c r="E5610">
        <v>1</v>
      </c>
      <c r="F5610" t="s">
        <v>1020</v>
      </c>
      <c r="G5610" t="s">
        <v>32</v>
      </c>
      <c r="H5610" t="s">
        <v>33</v>
      </c>
      <c r="I5610" t="s">
        <v>1029</v>
      </c>
      <c r="J5610" t="s">
        <v>56</v>
      </c>
      <c r="AB5610" t="s">
        <v>86</v>
      </c>
      <c r="AC5610" t="s">
        <v>41</v>
      </c>
    </row>
    <row r="5611" spans="1:30" x14ac:dyDescent="0.35">
      <c r="A5611" s="7">
        <v>42955</v>
      </c>
      <c r="B5611" t="s">
        <v>30</v>
      </c>
      <c r="C5611">
        <v>304</v>
      </c>
      <c r="D5611">
        <v>6</v>
      </c>
      <c r="E5611">
        <v>1</v>
      </c>
      <c r="F5611" t="s">
        <v>1020</v>
      </c>
      <c r="G5611" t="s">
        <v>32</v>
      </c>
      <c r="H5611" t="s">
        <v>33</v>
      </c>
      <c r="I5611" t="s">
        <v>59</v>
      </c>
      <c r="AB5611" t="s">
        <v>86</v>
      </c>
      <c r="AC5611" t="s">
        <v>41</v>
      </c>
    </row>
    <row r="5612" spans="1:30" x14ac:dyDescent="0.35">
      <c r="A5612" s="7">
        <v>42955</v>
      </c>
      <c r="B5612" t="s">
        <v>30</v>
      </c>
      <c r="C5612">
        <v>402</v>
      </c>
      <c r="D5612">
        <v>1</v>
      </c>
      <c r="E5612">
        <v>1</v>
      </c>
      <c r="F5612" t="s">
        <v>315</v>
      </c>
      <c r="G5612" t="s">
        <v>32</v>
      </c>
      <c r="H5612" t="s">
        <v>33</v>
      </c>
      <c r="I5612" t="s">
        <v>59</v>
      </c>
      <c r="AB5612" t="s">
        <v>1099</v>
      </c>
      <c r="AC5612" t="s">
        <v>41</v>
      </c>
    </row>
    <row r="5613" spans="1:30" x14ac:dyDescent="0.35">
      <c r="A5613" s="7">
        <v>42955</v>
      </c>
      <c r="B5613" t="s">
        <v>30</v>
      </c>
      <c r="C5613">
        <v>402</v>
      </c>
      <c r="D5613">
        <v>1</v>
      </c>
      <c r="E5613">
        <v>2</v>
      </c>
      <c r="F5613" t="s">
        <v>315</v>
      </c>
      <c r="G5613" t="s">
        <v>32</v>
      </c>
      <c r="H5613" t="s">
        <v>33</v>
      </c>
      <c r="I5613" t="s">
        <v>59</v>
      </c>
      <c r="AB5613" t="s">
        <v>1099</v>
      </c>
      <c r="AC5613" t="s">
        <v>41</v>
      </c>
    </row>
    <row r="5614" spans="1:30" x14ac:dyDescent="0.35">
      <c r="A5614" s="7">
        <v>42955</v>
      </c>
      <c r="B5614" t="s">
        <v>30</v>
      </c>
      <c r="C5614">
        <v>402</v>
      </c>
      <c r="D5614">
        <v>2</v>
      </c>
      <c r="E5614">
        <v>1</v>
      </c>
      <c r="F5614" t="s">
        <v>315</v>
      </c>
      <c r="G5614" t="s">
        <v>32</v>
      </c>
      <c r="H5614" t="s">
        <v>33</v>
      </c>
      <c r="I5614" t="s">
        <v>43</v>
      </c>
      <c r="J5614" t="s">
        <v>44</v>
      </c>
      <c r="K5614" t="s">
        <v>36</v>
      </c>
      <c r="L5614" t="s">
        <v>37</v>
      </c>
      <c r="M5614">
        <v>0</v>
      </c>
      <c r="N5614">
        <v>0</v>
      </c>
      <c r="O5614">
        <v>38912</v>
      </c>
      <c r="P5614">
        <v>38913</v>
      </c>
      <c r="Q5614">
        <f>33-15</f>
        <v>18</v>
      </c>
      <c r="R5614" t="s">
        <v>64</v>
      </c>
      <c r="Z5614" t="s">
        <v>102</v>
      </c>
      <c r="AB5614" t="s">
        <v>1099</v>
      </c>
      <c r="AC5614" t="s">
        <v>41</v>
      </c>
      <c r="AD5614" t="s">
        <v>1102</v>
      </c>
    </row>
    <row r="5615" spans="1:30" x14ac:dyDescent="0.35">
      <c r="A5615" s="7">
        <v>42955</v>
      </c>
      <c r="B5615" t="s">
        <v>30</v>
      </c>
      <c r="C5615">
        <v>402</v>
      </c>
      <c r="D5615">
        <v>2</v>
      </c>
      <c r="E5615">
        <v>2</v>
      </c>
      <c r="F5615" t="s">
        <v>315</v>
      </c>
      <c r="G5615" t="s">
        <v>32</v>
      </c>
      <c r="H5615" t="s">
        <v>33</v>
      </c>
      <c r="I5615" t="s">
        <v>58</v>
      </c>
      <c r="J5615" t="s">
        <v>35</v>
      </c>
      <c r="K5615" t="s">
        <v>36</v>
      </c>
      <c r="L5615" t="s">
        <v>37</v>
      </c>
      <c r="M5615">
        <v>0</v>
      </c>
      <c r="N5615">
        <v>1</v>
      </c>
      <c r="P5615">
        <v>39426</v>
      </c>
      <c r="Q5615">
        <f>37.5-14.5</f>
        <v>23</v>
      </c>
      <c r="R5615" t="s">
        <v>38</v>
      </c>
      <c r="Z5615" t="s">
        <v>102</v>
      </c>
      <c r="AA5615" t="s">
        <v>1103</v>
      </c>
      <c r="AB5615" t="s">
        <v>1099</v>
      </c>
      <c r="AC5615" t="s">
        <v>41</v>
      </c>
      <c r="AD5615" t="s">
        <v>725</v>
      </c>
    </row>
    <row r="5616" spans="1:30" x14ac:dyDescent="0.35">
      <c r="A5616" s="7">
        <v>42955</v>
      </c>
      <c r="B5616" t="s">
        <v>30</v>
      </c>
      <c r="C5616">
        <v>402</v>
      </c>
      <c r="D5616">
        <v>3</v>
      </c>
      <c r="E5616">
        <v>1</v>
      </c>
      <c r="F5616" t="s">
        <v>315</v>
      </c>
      <c r="G5616" t="s">
        <v>32</v>
      </c>
      <c r="H5616" t="s">
        <v>33</v>
      </c>
      <c r="I5616" t="s">
        <v>58</v>
      </c>
      <c r="J5616" t="s">
        <v>44</v>
      </c>
      <c r="K5616" t="s">
        <v>36</v>
      </c>
      <c r="L5616" t="s">
        <v>45</v>
      </c>
      <c r="M5616">
        <v>0</v>
      </c>
      <c r="N5616">
        <v>0</v>
      </c>
      <c r="O5616">
        <v>15729</v>
      </c>
      <c r="Q5616">
        <f>38-13.5</f>
        <v>24.5</v>
      </c>
      <c r="R5616" t="s">
        <v>1021</v>
      </c>
      <c r="S5616" t="s">
        <v>102</v>
      </c>
      <c r="Z5616" t="s">
        <v>102</v>
      </c>
      <c r="AA5616" t="s">
        <v>1104</v>
      </c>
      <c r="AB5616" t="s">
        <v>1099</v>
      </c>
      <c r="AC5616" t="s">
        <v>41</v>
      </c>
    </row>
    <row r="5617" spans="1:29" x14ac:dyDescent="0.35">
      <c r="A5617" s="7">
        <v>42955</v>
      </c>
      <c r="B5617" t="s">
        <v>30</v>
      </c>
      <c r="C5617">
        <v>402</v>
      </c>
      <c r="D5617">
        <v>3</v>
      </c>
      <c r="E5617">
        <v>2</v>
      </c>
      <c r="F5617" t="s">
        <v>315</v>
      </c>
      <c r="G5617" t="s">
        <v>32</v>
      </c>
      <c r="H5617" t="s">
        <v>33</v>
      </c>
      <c r="I5617" t="s">
        <v>34</v>
      </c>
      <c r="J5617" t="s">
        <v>44</v>
      </c>
      <c r="K5617" t="s">
        <v>36</v>
      </c>
      <c r="L5617" t="s">
        <v>37</v>
      </c>
      <c r="M5617">
        <v>0</v>
      </c>
      <c r="N5617">
        <v>0</v>
      </c>
      <c r="O5617">
        <v>2854</v>
      </c>
      <c r="R5617" t="s">
        <v>64</v>
      </c>
      <c r="Z5617" t="s">
        <v>102</v>
      </c>
      <c r="AB5617" t="s">
        <v>1099</v>
      </c>
      <c r="AC5617" t="s">
        <v>41</v>
      </c>
    </row>
    <row r="5618" spans="1:29" x14ac:dyDescent="0.35">
      <c r="A5618" s="7">
        <v>42955</v>
      </c>
      <c r="B5618" t="s">
        <v>30</v>
      </c>
      <c r="C5618">
        <v>402</v>
      </c>
      <c r="D5618">
        <v>9</v>
      </c>
      <c r="E5618">
        <v>1</v>
      </c>
      <c r="F5618" t="s">
        <v>315</v>
      </c>
      <c r="G5618" t="s">
        <v>32</v>
      </c>
      <c r="H5618" t="s">
        <v>33</v>
      </c>
      <c r="I5618" t="s">
        <v>58</v>
      </c>
      <c r="J5618" t="s">
        <v>44</v>
      </c>
      <c r="K5618" t="s">
        <v>36</v>
      </c>
      <c r="L5618" t="s">
        <v>37</v>
      </c>
      <c r="M5618">
        <v>0</v>
      </c>
      <c r="N5618">
        <v>0</v>
      </c>
      <c r="O5618">
        <v>39796</v>
      </c>
      <c r="Q5618">
        <f>140-14.5</f>
        <v>125.5</v>
      </c>
      <c r="R5618" t="s">
        <v>38</v>
      </c>
      <c r="Z5618" t="s">
        <v>102</v>
      </c>
      <c r="AB5618" t="s">
        <v>1099</v>
      </c>
      <c r="AC5618" t="s">
        <v>41</v>
      </c>
    </row>
    <row r="5619" spans="1:29" x14ac:dyDescent="0.35">
      <c r="A5619" s="7">
        <v>42956</v>
      </c>
      <c r="B5619" t="s">
        <v>30</v>
      </c>
      <c r="C5619">
        <v>111</v>
      </c>
      <c r="D5619">
        <v>1</v>
      </c>
      <c r="E5619">
        <v>1</v>
      </c>
      <c r="F5619" t="s">
        <v>315</v>
      </c>
      <c r="G5619" t="s">
        <v>32</v>
      </c>
      <c r="H5619" t="s">
        <v>33</v>
      </c>
      <c r="I5619" t="s">
        <v>59</v>
      </c>
      <c r="AB5619" t="s">
        <v>86</v>
      </c>
      <c r="AC5619" t="s">
        <v>41</v>
      </c>
    </row>
    <row r="5620" spans="1:29" x14ac:dyDescent="0.35">
      <c r="A5620" s="7">
        <v>42956</v>
      </c>
      <c r="B5620" t="s">
        <v>30</v>
      </c>
      <c r="C5620">
        <v>111</v>
      </c>
      <c r="D5620">
        <v>1</v>
      </c>
      <c r="E5620">
        <v>2</v>
      </c>
      <c r="F5620" t="s">
        <v>315</v>
      </c>
      <c r="G5620" t="s">
        <v>32</v>
      </c>
      <c r="H5620" t="s">
        <v>33</v>
      </c>
      <c r="I5620" t="s">
        <v>34</v>
      </c>
      <c r="J5620" t="s">
        <v>92</v>
      </c>
      <c r="AB5620" t="s">
        <v>86</v>
      </c>
      <c r="AC5620" t="s">
        <v>41</v>
      </c>
    </row>
    <row r="5621" spans="1:29" x14ac:dyDescent="0.35">
      <c r="A5621" s="7">
        <v>42956</v>
      </c>
      <c r="B5621" t="s">
        <v>30</v>
      </c>
      <c r="C5621">
        <v>111</v>
      </c>
      <c r="D5621">
        <v>2</v>
      </c>
      <c r="E5621">
        <v>1</v>
      </c>
      <c r="F5621" t="s">
        <v>315</v>
      </c>
      <c r="G5621" t="s">
        <v>32</v>
      </c>
      <c r="H5621" t="s">
        <v>33</v>
      </c>
      <c r="I5621" t="s">
        <v>43</v>
      </c>
      <c r="J5621" t="s">
        <v>44</v>
      </c>
      <c r="K5621" t="s">
        <v>36</v>
      </c>
      <c r="L5621" t="s">
        <v>45</v>
      </c>
      <c r="M5621">
        <v>0</v>
      </c>
      <c r="N5621">
        <v>0</v>
      </c>
      <c r="O5621">
        <v>38901</v>
      </c>
      <c r="P5621">
        <v>38902</v>
      </c>
      <c r="Q5621">
        <f>37-16</f>
        <v>21</v>
      </c>
      <c r="R5621" t="s">
        <v>1021</v>
      </c>
      <c r="S5621" t="s">
        <v>102</v>
      </c>
      <c r="AB5621" t="s">
        <v>86</v>
      </c>
      <c r="AC5621" t="s">
        <v>41</v>
      </c>
    </row>
    <row r="5622" spans="1:29" x14ac:dyDescent="0.35">
      <c r="A5622" s="7">
        <v>42956</v>
      </c>
      <c r="B5622" t="s">
        <v>30</v>
      </c>
      <c r="C5622">
        <v>111</v>
      </c>
      <c r="D5622">
        <v>2</v>
      </c>
      <c r="E5622">
        <v>2</v>
      </c>
      <c r="F5622" t="s">
        <v>315</v>
      </c>
      <c r="G5622" t="s">
        <v>32</v>
      </c>
      <c r="H5622" t="s">
        <v>33</v>
      </c>
      <c r="I5622" t="s">
        <v>59</v>
      </c>
      <c r="AB5622" t="s">
        <v>86</v>
      </c>
      <c r="AC5622" t="s">
        <v>41</v>
      </c>
    </row>
    <row r="5623" spans="1:29" x14ac:dyDescent="0.35">
      <c r="A5623" s="7">
        <v>42956</v>
      </c>
      <c r="B5623" t="s">
        <v>30</v>
      </c>
      <c r="C5623">
        <v>111</v>
      </c>
      <c r="D5623">
        <v>3</v>
      </c>
      <c r="E5623">
        <v>1</v>
      </c>
      <c r="F5623" t="s">
        <v>315</v>
      </c>
      <c r="G5623" t="s">
        <v>32</v>
      </c>
      <c r="H5623" t="s">
        <v>33</v>
      </c>
      <c r="I5623" t="s">
        <v>59</v>
      </c>
      <c r="AB5623" t="s">
        <v>86</v>
      </c>
      <c r="AC5623" t="s">
        <v>41</v>
      </c>
    </row>
    <row r="5624" spans="1:29" x14ac:dyDescent="0.35">
      <c r="A5624" s="7">
        <v>42956</v>
      </c>
      <c r="B5624" t="s">
        <v>30</v>
      </c>
      <c r="C5624">
        <v>111</v>
      </c>
      <c r="D5624">
        <v>3</v>
      </c>
      <c r="E5624">
        <v>2</v>
      </c>
      <c r="F5624" t="s">
        <v>315</v>
      </c>
      <c r="G5624" t="s">
        <v>32</v>
      </c>
      <c r="H5624" t="s">
        <v>33</v>
      </c>
      <c r="I5624" t="s">
        <v>43</v>
      </c>
      <c r="J5624" t="s">
        <v>44</v>
      </c>
      <c r="K5624" t="s">
        <v>36</v>
      </c>
      <c r="L5624" t="s">
        <v>45</v>
      </c>
      <c r="M5624">
        <v>0</v>
      </c>
      <c r="N5624">
        <v>0</v>
      </c>
      <c r="O5624">
        <v>39309</v>
      </c>
      <c r="P5624">
        <v>39310</v>
      </c>
      <c r="Q5624">
        <f>34-14</f>
        <v>20</v>
      </c>
      <c r="R5624" t="s">
        <v>1021</v>
      </c>
      <c r="S5624" t="s">
        <v>102</v>
      </c>
      <c r="AB5624" t="s">
        <v>86</v>
      </c>
      <c r="AC5624" t="s">
        <v>41</v>
      </c>
    </row>
    <row r="5625" spans="1:29" x14ac:dyDescent="0.35">
      <c r="A5625" s="7">
        <v>42956</v>
      </c>
      <c r="B5625" t="s">
        <v>30</v>
      </c>
      <c r="C5625">
        <v>111</v>
      </c>
      <c r="D5625">
        <v>4</v>
      </c>
      <c r="E5625">
        <v>1</v>
      </c>
      <c r="F5625" t="s">
        <v>315</v>
      </c>
      <c r="G5625" t="s">
        <v>32</v>
      </c>
      <c r="H5625" t="s">
        <v>33</v>
      </c>
      <c r="I5625" t="s">
        <v>59</v>
      </c>
      <c r="AB5625" t="s">
        <v>86</v>
      </c>
      <c r="AC5625" t="s">
        <v>41</v>
      </c>
    </row>
    <row r="5626" spans="1:29" x14ac:dyDescent="0.35">
      <c r="A5626" s="7">
        <v>42956</v>
      </c>
      <c r="B5626" t="s">
        <v>30</v>
      </c>
      <c r="C5626">
        <v>111</v>
      </c>
      <c r="D5626">
        <v>4</v>
      </c>
      <c r="E5626">
        <v>2</v>
      </c>
      <c r="F5626" t="s">
        <v>315</v>
      </c>
      <c r="G5626" t="s">
        <v>32</v>
      </c>
      <c r="H5626" t="s">
        <v>33</v>
      </c>
      <c r="I5626" t="s">
        <v>59</v>
      </c>
      <c r="AB5626" t="s">
        <v>86</v>
      </c>
      <c r="AC5626" t="s">
        <v>41</v>
      </c>
    </row>
    <row r="5627" spans="1:29" x14ac:dyDescent="0.35">
      <c r="A5627" s="7">
        <v>42956</v>
      </c>
      <c r="B5627" t="s">
        <v>30</v>
      </c>
      <c r="C5627">
        <v>111</v>
      </c>
      <c r="D5627">
        <v>5</v>
      </c>
      <c r="E5627">
        <v>1</v>
      </c>
      <c r="F5627" t="s">
        <v>315</v>
      </c>
      <c r="G5627" t="s">
        <v>32</v>
      </c>
      <c r="H5627" t="s">
        <v>33</v>
      </c>
      <c r="I5627" t="s">
        <v>59</v>
      </c>
      <c r="AB5627" t="s">
        <v>86</v>
      </c>
      <c r="AC5627" t="s">
        <v>41</v>
      </c>
    </row>
    <row r="5628" spans="1:29" x14ac:dyDescent="0.35">
      <c r="A5628" s="7">
        <v>42956</v>
      </c>
      <c r="B5628" t="s">
        <v>30</v>
      </c>
      <c r="C5628">
        <v>111</v>
      </c>
      <c r="D5628">
        <v>5</v>
      </c>
      <c r="E5628">
        <v>2</v>
      </c>
      <c r="F5628" t="s">
        <v>315</v>
      </c>
      <c r="G5628" t="s">
        <v>32</v>
      </c>
      <c r="H5628" t="s">
        <v>33</v>
      </c>
      <c r="I5628" t="s">
        <v>59</v>
      </c>
      <c r="AB5628" t="s">
        <v>86</v>
      </c>
      <c r="AC5628" t="s">
        <v>41</v>
      </c>
    </row>
    <row r="5629" spans="1:29" x14ac:dyDescent="0.35">
      <c r="A5629" s="7">
        <v>42956</v>
      </c>
      <c r="B5629" t="s">
        <v>30</v>
      </c>
      <c r="C5629">
        <v>111</v>
      </c>
      <c r="D5629">
        <v>6</v>
      </c>
      <c r="E5629">
        <v>1</v>
      </c>
      <c r="F5629" t="s">
        <v>315</v>
      </c>
      <c r="G5629" t="s">
        <v>32</v>
      </c>
      <c r="H5629" t="s">
        <v>33</v>
      </c>
      <c r="I5629" t="s">
        <v>59</v>
      </c>
      <c r="AB5629" t="s">
        <v>86</v>
      </c>
      <c r="AC5629" t="s">
        <v>41</v>
      </c>
    </row>
    <row r="5630" spans="1:29" x14ac:dyDescent="0.35">
      <c r="A5630" s="7">
        <v>42956</v>
      </c>
      <c r="B5630" t="s">
        <v>30</v>
      </c>
      <c r="C5630">
        <v>111</v>
      </c>
      <c r="D5630">
        <v>6</v>
      </c>
      <c r="E5630">
        <v>2</v>
      </c>
      <c r="F5630" t="s">
        <v>315</v>
      </c>
      <c r="G5630" t="s">
        <v>32</v>
      </c>
      <c r="H5630" t="s">
        <v>33</v>
      </c>
      <c r="I5630" t="s">
        <v>59</v>
      </c>
      <c r="AB5630" t="s">
        <v>86</v>
      </c>
      <c r="AC5630" t="s">
        <v>41</v>
      </c>
    </row>
    <row r="5631" spans="1:29" x14ac:dyDescent="0.35">
      <c r="A5631" s="7">
        <v>42956</v>
      </c>
      <c r="B5631" t="s">
        <v>30</v>
      </c>
      <c r="C5631">
        <v>111</v>
      </c>
      <c r="D5631">
        <v>7</v>
      </c>
      <c r="E5631">
        <v>1</v>
      </c>
      <c r="F5631" t="s">
        <v>315</v>
      </c>
      <c r="G5631" t="s">
        <v>32</v>
      </c>
      <c r="H5631" t="s">
        <v>33</v>
      </c>
      <c r="I5631" t="s">
        <v>59</v>
      </c>
      <c r="AB5631" t="s">
        <v>86</v>
      </c>
      <c r="AC5631" t="s">
        <v>41</v>
      </c>
    </row>
    <row r="5632" spans="1:29" x14ac:dyDescent="0.35">
      <c r="A5632" s="7">
        <v>42956</v>
      </c>
      <c r="B5632" t="s">
        <v>30</v>
      </c>
      <c r="C5632">
        <v>111</v>
      </c>
      <c r="D5632">
        <v>8</v>
      </c>
      <c r="E5632">
        <v>1</v>
      </c>
      <c r="F5632" t="s">
        <v>315</v>
      </c>
      <c r="G5632" t="s">
        <v>32</v>
      </c>
      <c r="H5632" t="s">
        <v>33</v>
      </c>
      <c r="I5632" t="s">
        <v>59</v>
      </c>
      <c r="AB5632" t="s">
        <v>86</v>
      </c>
      <c r="AC5632" t="s">
        <v>41</v>
      </c>
    </row>
    <row r="5633" spans="1:29" x14ac:dyDescent="0.35">
      <c r="A5633" s="7">
        <v>42956</v>
      </c>
      <c r="B5633" t="s">
        <v>30</v>
      </c>
      <c r="C5633">
        <v>111</v>
      </c>
      <c r="D5633">
        <v>8</v>
      </c>
      <c r="E5633">
        <v>2</v>
      </c>
      <c r="F5633" t="s">
        <v>315</v>
      </c>
      <c r="G5633" t="s">
        <v>32</v>
      </c>
      <c r="H5633" t="s">
        <v>33</v>
      </c>
      <c r="I5633" t="s">
        <v>59</v>
      </c>
      <c r="AB5633" t="s">
        <v>86</v>
      </c>
      <c r="AC5633" t="s">
        <v>41</v>
      </c>
    </row>
    <row r="5634" spans="1:29" x14ac:dyDescent="0.35">
      <c r="A5634" s="7">
        <v>42956</v>
      </c>
      <c r="B5634" t="s">
        <v>30</v>
      </c>
      <c r="C5634">
        <v>111</v>
      </c>
      <c r="D5634">
        <v>9</v>
      </c>
      <c r="E5634">
        <v>1</v>
      </c>
      <c r="F5634" t="s">
        <v>315</v>
      </c>
      <c r="G5634" t="s">
        <v>32</v>
      </c>
      <c r="H5634" t="s">
        <v>33</v>
      </c>
      <c r="I5634" t="s">
        <v>59</v>
      </c>
      <c r="AB5634" t="s">
        <v>86</v>
      </c>
      <c r="AC5634" t="s">
        <v>41</v>
      </c>
    </row>
    <row r="5635" spans="1:29" x14ac:dyDescent="0.35">
      <c r="A5635" s="7">
        <v>42956</v>
      </c>
      <c r="B5635" t="s">
        <v>30</v>
      </c>
      <c r="C5635">
        <v>111</v>
      </c>
      <c r="D5635">
        <v>9</v>
      </c>
      <c r="E5635">
        <v>2</v>
      </c>
      <c r="F5635" t="s">
        <v>315</v>
      </c>
      <c r="G5635" t="s">
        <v>32</v>
      </c>
      <c r="H5635" t="s">
        <v>33</v>
      </c>
      <c r="I5635" t="s">
        <v>59</v>
      </c>
      <c r="AB5635" t="s">
        <v>86</v>
      </c>
      <c r="AC5635" t="s">
        <v>41</v>
      </c>
    </row>
    <row r="5636" spans="1:29" x14ac:dyDescent="0.35">
      <c r="A5636" s="7">
        <v>42956</v>
      </c>
      <c r="B5636" t="s">
        <v>30</v>
      </c>
      <c r="C5636">
        <v>111</v>
      </c>
      <c r="D5636">
        <v>10</v>
      </c>
      <c r="E5636">
        <v>1</v>
      </c>
      <c r="F5636" t="s">
        <v>315</v>
      </c>
      <c r="G5636" t="s">
        <v>32</v>
      </c>
      <c r="H5636" t="s">
        <v>33</v>
      </c>
      <c r="I5636" t="s">
        <v>84</v>
      </c>
      <c r="AB5636" t="s">
        <v>86</v>
      </c>
      <c r="AC5636" t="s">
        <v>41</v>
      </c>
    </row>
    <row r="5637" spans="1:29" x14ac:dyDescent="0.35">
      <c r="A5637" s="7">
        <v>42956</v>
      </c>
      <c r="B5637" t="s">
        <v>30</v>
      </c>
      <c r="C5637">
        <v>111</v>
      </c>
      <c r="D5637">
        <v>10</v>
      </c>
      <c r="E5637">
        <v>2</v>
      </c>
      <c r="F5637" t="s">
        <v>315</v>
      </c>
      <c r="G5637" t="s">
        <v>32</v>
      </c>
      <c r="H5637" t="s">
        <v>33</v>
      </c>
      <c r="I5637" t="s">
        <v>43</v>
      </c>
      <c r="J5637" t="s">
        <v>44</v>
      </c>
      <c r="K5637" t="s">
        <v>36</v>
      </c>
      <c r="M5637">
        <v>0</v>
      </c>
      <c r="N5637">
        <v>0</v>
      </c>
      <c r="O5637">
        <v>2871</v>
      </c>
      <c r="P5637">
        <v>2870</v>
      </c>
      <c r="AB5637" t="s">
        <v>86</v>
      </c>
      <c r="AC5637" t="s">
        <v>41</v>
      </c>
    </row>
    <row r="5638" spans="1:29" x14ac:dyDescent="0.35">
      <c r="A5638" s="7">
        <v>42956</v>
      </c>
      <c r="B5638" t="s">
        <v>30</v>
      </c>
      <c r="C5638">
        <v>112</v>
      </c>
      <c r="D5638">
        <v>1</v>
      </c>
      <c r="E5638">
        <v>1</v>
      </c>
      <c r="F5638" t="s">
        <v>315</v>
      </c>
      <c r="G5638" t="s">
        <v>32</v>
      </c>
      <c r="H5638" t="s">
        <v>33</v>
      </c>
      <c r="I5638" t="s">
        <v>59</v>
      </c>
      <c r="AB5638" t="s">
        <v>86</v>
      </c>
      <c r="AC5638" t="s">
        <v>41</v>
      </c>
    </row>
    <row r="5639" spans="1:29" x14ac:dyDescent="0.35">
      <c r="A5639" s="7">
        <v>42956</v>
      </c>
      <c r="B5639" t="s">
        <v>30</v>
      </c>
      <c r="C5639">
        <v>112</v>
      </c>
      <c r="D5639">
        <v>1</v>
      </c>
      <c r="E5639">
        <v>2</v>
      </c>
      <c r="F5639" t="s">
        <v>315</v>
      </c>
      <c r="G5639" t="s">
        <v>32</v>
      </c>
      <c r="H5639" t="s">
        <v>33</v>
      </c>
      <c r="I5639" t="s">
        <v>59</v>
      </c>
      <c r="AB5639" t="s">
        <v>86</v>
      </c>
      <c r="AC5639" t="s">
        <v>41</v>
      </c>
    </row>
    <row r="5640" spans="1:29" x14ac:dyDescent="0.35">
      <c r="A5640" s="7">
        <v>42956</v>
      </c>
      <c r="B5640" t="s">
        <v>30</v>
      </c>
      <c r="C5640">
        <v>112</v>
      </c>
      <c r="D5640">
        <v>2</v>
      </c>
      <c r="E5640">
        <v>1</v>
      </c>
      <c r="F5640" t="s">
        <v>315</v>
      </c>
      <c r="G5640" t="s">
        <v>32</v>
      </c>
      <c r="H5640" t="s">
        <v>33</v>
      </c>
      <c r="I5640" t="s">
        <v>59</v>
      </c>
      <c r="AB5640" t="s">
        <v>86</v>
      </c>
      <c r="AC5640" t="s">
        <v>41</v>
      </c>
    </row>
    <row r="5641" spans="1:29" x14ac:dyDescent="0.35">
      <c r="A5641" s="7">
        <v>42956</v>
      </c>
      <c r="B5641" t="s">
        <v>30</v>
      </c>
      <c r="C5641">
        <v>112</v>
      </c>
      <c r="D5641">
        <v>2</v>
      </c>
      <c r="E5641">
        <v>2</v>
      </c>
      <c r="F5641" t="s">
        <v>315</v>
      </c>
      <c r="G5641" t="s">
        <v>32</v>
      </c>
      <c r="H5641" t="s">
        <v>33</v>
      </c>
      <c r="I5641" t="s">
        <v>59</v>
      </c>
      <c r="AB5641" t="s">
        <v>86</v>
      </c>
      <c r="AC5641" t="s">
        <v>41</v>
      </c>
    </row>
    <row r="5642" spans="1:29" x14ac:dyDescent="0.35">
      <c r="A5642" s="7">
        <v>42956</v>
      </c>
      <c r="B5642" t="s">
        <v>30</v>
      </c>
      <c r="C5642">
        <v>112</v>
      </c>
      <c r="D5642">
        <v>3</v>
      </c>
      <c r="E5642">
        <v>1</v>
      </c>
      <c r="F5642" t="s">
        <v>315</v>
      </c>
      <c r="G5642" t="s">
        <v>32</v>
      </c>
      <c r="H5642" t="s">
        <v>33</v>
      </c>
      <c r="I5642" t="s">
        <v>59</v>
      </c>
      <c r="AB5642" t="s">
        <v>86</v>
      </c>
      <c r="AC5642" t="s">
        <v>41</v>
      </c>
    </row>
    <row r="5643" spans="1:29" x14ac:dyDescent="0.35">
      <c r="A5643" s="7">
        <v>42956</v>
      </c>
      <c r="B5643" t="s">
        <v>30</v>
      </c>
      <c r="C5643">
        <v>112</v>
      </c>
      <c r="D5643">
        <v>3</v>
      </c>
      <c r="E5643">
        <v>2</v>
      </c>
      <c r="F5643" t="s">
        <v>315</v>
      </c>
      <c r="G5643" t="s">
        <v>32</v>
      </c>
      <c r="H5643" t="s">
        <v>33</v>
      </c>
      <c r="I5643" t="s">
        <v>43</v>
      </c>
      <c r="J5643" t="s">
        <v>44</v>
      </c>
      <c r="K5643" t="s">
        <v>36</v>
      </c>
      <c r="L5643" t="s">
        <v>45</v>
      </c>
      <c r="M5643">
        <v>0</v>
      </c>
      <c r="N5643">
        <v>0</v>
      </c>
      <c r="O5643">
        <v>39734</v>
      </c>
      <c r="P5643">
        <v>39733</v>
      </c>
      <c r="Q5643">
        <f>32-15</f>
        <v>17</v>
      </c>
      <c r="R5643" t="s">
        <v>46</v>
      </c>
      <c r="S5643" t="s">
        <v>39</v>
      </c>
      <c r="AB5643" t="s">
        <v>86</v>
      </c>
      <c r="AC5643" t="s">
        <v>41</v>
      </c>
    </row>
    <row r="5644" spans="1:29" x14ac:dyDescent="0.35">
      <c r="A5644" s="7">
        <v>42956</v>
      </c>
      <c r="B5644" t="s">
        <v>30</v>
      </c>
      <c r="C5644">
        <v>112</v>
      </c>
      <c r="D5644">
        <v>4</v>
      </c>
      <c r="E5644">
        <v>1</v>
      </c>
      <c r="F5644" t="s">
        <v>315</v>
      </c>
      <c r="G5644" t="s">
        <v>32</v>
      </c>
      <c r="H5644" t="s">
        <v>33</v>
      </c>
      <c r="I5644" t="s">
        <v>59</v>
      </c>
      <c r="AB5644" t="s">
        <v>86</v>
      </c>
      <c r="AC5644" t="s">
        <v>41</v>
      </c>
    </row>
    <row r="5645" spans="1:29" x14ac:dyDescent="0.35">
      <c r="A5645" s="7">
        <v>42956</v>
      </c>
      <c r="B5645" t="s">
        <v>30</v>
      </c>
      <c r="C5645">
        <v>112</v>
      </c>
      <c r="D5645">
        <v>4</v>
      </c>
      <c r="E5645">
        <v>2</v>
      </c>
      <c r="F5645" t="s">
        <v>315</v>
      </c>
      <c r="G5645" t="s">
        <v>32</v>
      </c>
      <c r="H5645" t="s">
        <v>33</v>
      </c>
      <c r="I5645" t="s">
        <v>59</v>
      </c>
      <c r="AB5645" t="s">
        <v>86</v>
      </c>
      <c r="AC5645" t="s">
        <v>41</v>
      </c>
    </row>
    <row r="5646" spans="1:29" x14ac:dyDescent="0.35">
      <c r="A5646" s="7">
        <v>42956</v>
      </c>
      <c r="B5646" t="s">
        <v>30</v>
      </c>
      <c r="C5646">
        <v>112</v>
      </c>
      <c r="D5646">
        <v>5</v>
      </c>
      <c r="E5646">
        <v>1</v>
      </c>
      <c r="F5646" t="s">
        <v>315</v>
      </c>
      <c r="G5646" t="s">
        <v>32</v>
      </c>
      <c r="H5646" t="s">
        <v>33</v>
      </c>
      <c r="I5646" t="s">
        <v>59</v>
      </c>
      <c r="AB5646" t="s">
        <v>86</v>
      </c>
      <c r="AC5646" t="s">
        <v>41</v>
      </c>
    </row>
    <row r="5647" spans="1:29" x14ac:dyDescent="0.35">
      <c r="A5647" s="7">
        <v>42956</v>
      </c>
      <c r="B5647" t="s">
        <v>30</v>
      </c>
      <c r="C5647">
        <v>112</v>
      </c>
      <c r="D5647">
        <v>5</v>
      </c>
      <c r="E5647">
        <v>2</v>
      </c>
      <c r="F5647" t="s">
        <v>315</v>
      </c>
      <c r="G5647" t="s">
        <v>32</v>
      </c>
      <c r="H5647" t="s">
        <v>33</v>
      </c>
      <c r="I5647" t="s">
        <v>59</v>
      </c>
      <c r="AB5647" t="s">
        <v>86</v>
      </c>
      <c r="AC5647" t="s">
        <v>41</v>
      </c>
    </row>
    <row r="5648" spans="1:29" x14ac:dyDescent="0.35">
      <c r="A5648" s="7">
        <v>42956</v>
      </c>
      <c r="B5648" t="s">
        <v>30</v>
      </c>
      <c r="C5648">
        <v>112</v>
      </c>
      <c r="D5648">
        <v>6</v>
      </c>
      <c r="E5648">
        <v>1</v>
      </c>
      <c r="F5648" t="s">
        <v>315</v>
      </c>
      <c r="G5648" t="s">
        <v>32</v>
      </c>
      <c r="H5648" t="s">
        <v>33</v>
      </c>
      <c r="I5648" t="s">
        <v>59</v>
      </c>
      <c r="AB5648" t="s">
        <v>86</v>
      </c>
      <c r="AC5648" t="s">
        <v>41</v>
      </c>
    </row>
    <row r="5649" spans="1:30" x14ac:dyDescent="0.35">
      <c r="A5649" s="7">
        <v>42956</v>
      </c>
      <c r="B5649" t="s">
        <v>30</v>
      </c>
      <c r="C5649">
        <v>112</v>
      </c>
      <c r="D5649">
        <v>6</v>
      </c>
      <c r="E5649">
        <v>2</v>
      </c>
      <c r="F5649" t="s">
        <v>315</v>
      </c>
      <c r="G5649" t="s">
        <v>32</v>
      </c>
      <c r="H5649" t="s">
        <v>33</v>
      </c>
      <c r="I5649" t="s">
        <v>43</v>
      </c>
      <c r="J5649" t="s">
        <v>44</v>
      </c>
      <c r="K5649" t="s">
        <v>36</v>
      </c>
      <c r="L5649" t="s">
        <v>45</v>
      </c>
      <c r="M5649">
        <v>0</v>
      </c>
      <c r="N5649">
        <v>0</v>
      </c>
      <c r="O5649">
        <v>39469</v>
      </c>
      <c r="P5649">
        <v>39467</v>
      </c>
      <c r="Q5649">
        <f>34-13.5</f>
        <v>20.5</v>
      </c>
      <c r="R5649" t="s">
        <v>46</v>
      </c>
      <c r="S5649" t="s">
        <v>39</v>
      </c>
      <c r="AB5649" t="s">
        <v>86</v>
      </c>
      <c r="AC5649" t="s">
        <v>41</v>
      </c>
    </row>
    <row r="5650" spans="1:30" x14ac:dyDescent="0.35">
      <c r="A5650" s="7">
        <v>42956</v>
      </c>
      <c r="B5650" t="s">
        <v>30</v>
      </c>
      <c r="C5650">
        <v>112</v>
      </c>
      <c r="D5650">
        <v>7</v>
      </c>
      <c r="E5650">
        <v>1</v>
      </c>
      <c r="F5650" t="s">
        <v>315</v>
      </c>
      <c r="G5650" t="s">
        <v>32</v>
      </c>
      <c r="H5650" t="s">
        <v>33</v>
      </c>
      <c r="I5650" t="s">
        <v>59</v>
      </c>
      <c r="AB5650" t="s">
        <v>86</v>
      </c>
      <c r="AC5650" t="s">
        <v>41</v>
      </c>
    </row>
    <row r="5651" spans="1:30" x14ac:dyDescent="0.35">
      <c r="A5651" s="7">
        <v>42956</v>
      </c>
      <c r="B5651" t="s">
        <v>30</v>
      </c>
      <c r="C5651">
        <v>112</v>
      </c>
      <c r="D5651">
        <v>7</v>
      </c>
      <c r="E5651">
        <v>2</v>
      </c>
      <c r="F5651" t="s">
        <v>315</v>
      </c>
      <c r="G5651" t="s">
        <v>32</v>
      </c>
      <c r="H5651" t="s">
        <v>33</v>
      </c>
      <c r="I5651" t="s">
        <v>59</v>
      </c>
      <c r="AB5651" t="s">
        <v>86</v>
      </c>
      <c r="AC5651" t="s">
        <v>41</v>
      </c>
    </row>
    <row r="5652" spans="1:30" x14ac:dyDescent="0.35">
      <c r="A5652" s="7">
        <v>42956</v>
      </c>
      <c r="B5652" t="s">
        <v>30</v>
      </c>
      <c r="C5652">
        <v>112</v>
      </c>
      <c r="D5652">
        <v>8</v>
      </c>
      <c r="E5652">
        <v>1</v>
      </c>
      <c r="F5652" t="s">
        <v>315</v>
      </c>
      <c r="G5652" t="s">
        <v>32</v>
      </c>
      <c r="H5652" t="s">
        <v>33</v>
      </c>
      <c r="I5652" t="s">
        <v>59</v>
      </c>
      <c r="AB5652" t="s">
        <v>86</v>
      </c>
      <c r="AC5652" t="s">
        <v>41</v>
      </c>
    </row>
    <row r="5653" spans="1:30" x14ac:dyDescent="0.35">
      <c r="A5653" s="7">
        <v>42956</v>
      </c>
      <c r="B5653" t="s">
        <v>30</v>
      </c>
      <c r="C5653">
        <v>112</v>
      </c>
      <c r="D5653">
        <v>8</v>
      </c>
      <c r="E5653">
        <v>2</v>
      </c>
      <c r="F5653" t="s">
        <v>315</v>
      </c>
      <c r="G5653" t="s">
        <v>32</v>
      </c>
      <c r="H5653" t="s">
        <v>33</v>
      </c>
      <c r="I5653" t="s">
        <v>43</v>
      </c>
      <c r="J5653" t="s">
        <v>35</v>
      </c>
      <c r="K5653" t="s">
        <v>88</v>
      </c>
      <c r="L5653" t="s">
        <v>45</v>
      </c>
      <c r="M5653">
        <v>0</v>
      </c>
      <c r="N5653">
        <v>1</v>
      </c>
      <c r="O5653">
        <v>39431</v>
      </c>
      <c r="P5653">
        <v>39430</v>
      </c>
      <c r="Q5653">
        <f>31-15</f>
        <v>16</v>
      </c>
      <c r="R5653" t="s">
        <v>46</v>
      </c>
      <c r="S5653" t="s">
        <v>39</v>
      </c>
      <c r="AB5653" t="s">
        <v>86</v>
      </c>
      <c r="AC5653" t="s">
        <v>41</v>
      </c>
    </row>
    <row r="5654" spans="1:30" x14ac:dyDescent="0.35">
      <c r="A5654" s="7">
        <v>42956</v>
      </c>
      <c r="B5654" t="s">
        <v>30</v>
      </c>
      <c r="C5654">
        <v>112</v>
      </c>
      <c r="D5654">
        <v>9</v>
      </c>
      <c r="E5654">
        <v>1</v>
      </c>
      <c r="F5654" t="s">
        <v>315</v>
      </c>
      <c r="G5654" t="s">
        <v>32</v>
      </c>
      <c r="H5654" t="s">
        <v>33</v>
      </c>
      <c r="I5654" t="s">
        <v>59</v>
      </c>
      <c r="AB5654" t="s">
        <v>86</v>
      </c>
      <c r="AC5654" t="s">
        <v>41</v>
      </c>
    </row>
    <row r="5655" spans="1:30" x14ac:dyDescent="0.35">
      <c r="A5655" s="7">
        <v>42956</v>
      </c>
      <c r="B5655" t="s">
        <v>30</v>
      </c>
      <c r="C5655">
        <v>112</v>
      </c>
      <c r="D5655">
        <v>10</v>
      </c>
      <c r="E5655">
        <v>1</v>
      </c>
      <c r="F5655" t="s">
        <v>315</v>
      </c>
      <c r="G5655" t="s">
        <v>32</v>
      </c>
      <c r="H5655" t="s">
        <v>33</v>
      </c>
      <c r="I5655" t="s">
        <v>59</v>
      </c>
      <c r="AB5655" t="s">
        <v>86</v>
      </c>
      <c r="AC5655" t="s">
        <v>41</v>
      </c>
    </row>
    <row r="5656" spans="1:30" x14ac:dyDescent="0.35">
      <c r="A5656" s="7">
        <v>42956</v>
      </c>
      <c r="B5656" t="s">
        <v>30</v>
      </c>
      <c r="C5656">
        <v>112</v>
      </c>
      <c r="D5656">
        <v>10</v>
      </c>
      <c r="E5656">
        <v>2</v>
      </c>
      <c r="F5656" t="s">
        <v>315</v>
      </c>
      <c r="G5656" t="s">
        <v>32</v>
      </c>
      <c r="H5656" t="s">
        <v>33</v>
      </c>
      <c r="I5656" t="s">
        <v>72</v>
      </c>
      <c r="J5656" t="s">
        <v>56</v>
      </c>
      <c r="AB5656" t="s">
        <v>86</v>
      </c>
      <c r="AC5656" t="s">
        <v>41</v>
      </c>
    </row>
    <row r="5657" spans="1:30" x14ac:dyDescent="0.35">
      <c r="A5657" s="7">
        <v>42956</v>
      </c>
      <c r="B5657" t="s">
        <v>30</v>
      </c>
      <c r="C5657">
        <v>113</v>
      </c>
      <c r="D5657">
        <v>1</v>
      </c>
      <c r="E5657">
        <v>1</v>
      </c>
      <c r="F5657" t="s">
        <v>315</v>
      </c>
      <c r="G5657" t="s">
        <v>32</v>
      </c>
      <c r="H5657" t="s">
        <v>33</v>
      </c>
      <c r="I5657" t="s">
        <v>59</v>
      </c>
      <c r="AB5657" t="s">
        <v>86</v>
      </c>
      <c r="AC5657" t="s">
        <v>41</v>
      </c>
    </row>
    <row r="5658" spans="1:30" x14ac:dyDescent="0.35">
      <c r="A5658" s="7">
        <v>42956</v>
      </c>
      <c r="B5658" t="s">
        <v>30</v>
      </c>
      <c r="C5658">
        <v>113</v>
      </c>
      <c r="D5658">
        <v>5</v>
      </c>
      <c r="E5658">
        <v>1</v>
      </c>
      <c r="F5658" t="s">
        <v>315</v>
      </c>
      <c r="G5658" t="s">
        <v>32</v>
      </c>
      <c r="H5658" t="s">
        <v>33</v>
      </c>
      <c r="I5658" t="s">
        <v>43</v>
      </c>
      <c r="J5658" t="s">
        <v>35</v>
      </c>
      <c r="K5658" t="s">
        <v>88</v>
      </c>
      <c r="L5658" t="s">
        <v>45</v>
      </c>
      <c r="M5658">
        <v>0</v>
      </c>
      <c r="N5658">
        <v>1</v>
      </c>
      <c r="P5658">
        <v>39434</v>
      </c>
      <c r="Q5658">
        <f>31-15.5</f>
        <v>15.5</v>
      </c>
      <c r="R5658" t="s">
        <v>46</v>
      </c>
      <c r="S5658" t="s">
        <v>39</v>
      </c>
      <c r="AB5658" t="s">
        <v>86</v>
      </c>
      <c r="AC5658" t="s">
        <v>41</v>
      </c>
      <c r="AD5658" t="s">
        <v>1105</v>
      </c>
    </row>
    <row r="5659" spans="1:30" x14ac:dyDescent="0.35">
      <c r="A5659" s="7">
        <v>42956</v>
      </c>
      <c r="B5659" t="s">
        <v>30</v>
      </c>
      <c r="C5659">
        <v>113</v>
      </c>
      <c r="D5659">
        <v>6</v>
      </c>
      <c r="E5659">
        <v>1</v>
      </c>
      <c r="F5659" t="s">
        <v>315</v>
      </c>
      <c r="G5659" t="s">
        <v>32</v>
      </c>
      <c r="H5659" t="s">
        <v>33</v>
      </c>
      <c r="I5659" t="s">
        <v>72</v>
      </c>
      <c r="J5659" t="s">
        <v>66</v>
      </c>
      <c r="AB5659" t="s">
        <v>86</v>
      </c>
      <c r="AC5659" t="s">
        <v>41</v>
      </c>
    </row>
    <row r="5660" spans="1:30" x14ac:dyDescent="0.35">
      <c r="A5660" s="7">
        <v>42956</v>
      </c>
      <c r="B5660" t="s">
        <v>30</v>
      </c>
      <c r="C5660">
        <v>113</v>
      </c>
      <c r="D5660">
        <v>8</v>
      </c>
      <c r="E5660">
        <v>1</v>
      </c>
      <c r="F5660" t="s">
        <v>315</v>
      </c>
      <c r="G5660" t="s">
        <v>32</v>
      </c>
      <c r="H5660" t="s">
        <v>33</v>
      </c>
      <c r="I5660" t="s">
        <v>59</v>
      </c>
      <c r="AB5660" t="s">
        <v>86</v>
      </c>
      <c r="AC5660" t="s">
        <v>41</v>
      </c>
    </row>
    <row r="5661" spans="1:30" x14ac:dyDescent="0.35">
      <c r="A5661" s="7">
        <v>42956</v>
      </c>
      <c r="B5661" t="s">
        <v>30</v>
      </c>
      <c r="C5661">
        <v>113</v>
      </c>
      <c r="D5661">
        <v>9</v>
      </c>
      <c r="E5661">
        <v>1</v>
      </c>
      <c r="F5661" t="s">
        <v>315</v>
      </c>
      <c r="G5661" t="s">
        <v>32</v>
      </c>
      <c r="H5661" t="s">
        <v>33</v>
      </c>
      <c r="I5661" t="s">
        <v>72</v>
      </c>
      <c r="J5661" t="s">
        <v>56</v>
      </c>
      <c r="AB5661" t="s">
        <v>86</v>
      </c>
      <c r="AC5661" t="s">
        <v>41</v>
      </c>
    </row>
    <row r="5662" spans="1:30" x14ac:dyDescent="0.35">
      <c r="A5662" s="7">
        <v>42956</v>
      </c>
      <c r="B5662" t="s">
        <v>30</v>
      </c>
      <c r="C5662">
        <v>113</v>
      </c>
      <c r="D5662">
        <v>10</v>
      </c>
      <c r="E5662">
        <v>1</v>
      </c>
      <c r="F5662" t="s">
        <v>315</v>
      </c>
      <c r="G5662" t="s">
        <v>32</v>
      </c>
      <c r="H5662" t="s">
        <v>33</v>
      </c>
      <c r="I5662" t="s">
        <v>59</v>
      </c>
      <c r="AB5662" t="s">
        <v>86</v>
      </c>
      <c r="AC5662" t="s">
        <v>41</v>
      </c>
    </row>
    <row r="5663" spans="1:30" x14ac:dyDescent="0.35">
      <c r="A5663" s="7">
        <v>42956</v>
      </c>
      <c r="B5663" t="s">
        <v>30</v>
      </c>
      <c r="C5663">
        <v>113</v>
      </c>
      <c r="D5663">
        <v>10</v>
      </c>
      <c r="E5663">
        <v>2</v>
      </c>
      <c r="F5663" t="s">
        <v>315</v>
      </c>
      <c r="G5663" t="s">
        <v>32</v>
      </c>
      <c r="H5663" t="s">
        <v>33</v>
      </c>
      <c r="I5663" t="s">
        <v>59</v>
      </c>
      <c r="AB5663" t="s">
        <v>86</v>
      </c>
      <c r="AC5663" t="s">
        <v>41</v>
      </c>
    </row>
    <row r="5664" spans="1:30" x14ac:dyDescent="0.35">
      <c r="A5664" s="7">
        <v>42956</v>
      </c>
      <c r="B5664" t="s">
        <v>30</v>
      </c>
      <c r="C5664">
        <v>201</v>
      </c>
      <c r="D5664">
        <v>2</v>
      </c>
      <c r="E5664">
        <v>1</v>
      </c>
      <c r="F5664" t="s">
        <v>1020</v>
      </c>
      <c r="G5664" t="s">
        <v>32</v>
      </c>
      <c r="H5664" t="s">
        <v>33</v>
      </c>
      <c r="I5664" t="s">
        <v>59</v>
      </c>
      <c r="AB5664" t="s">
        <v>86</v>
      </c>
      <c r="AC5664" t="s">
        <v>41</v>
      </c>
    </row>
    <row r="5665" spans="1:29" x14ac:dyDescent="0.35">
      <c r="A5665" s="7">
        <v>42956</v>
      </c>
      <c r="B5665" t="s">
        <v>30</v>
      </c>
      <c r="C5665">
        <v>201</v>
      </c>
      <c r="D5665">
        <v>2</v>
      </c>
      <c r="E5665">
        <v>2</v>
      </c>
      <c r="F5665" t="s">
        <v>1020</v>
      </c>
      <c r="G5665" t="s">
        <v>32</v>
      </c>
      <c r="H5665" t="s">
        <v>33</v>
      </c>
      <c r="I5665" t="s">
        <v>59</v>
      </c>
      <c r="AB5665" t="s">
        <v>86</v>
      </c>
      <c r="AC5665" t="s">
        <v>41</v>
      </c>
    </row>
    <row r="5666" spans="1:29" x14ac:dyDescent="0.35">
      <c r="A5666" s="7">
        <v>42956</v>
      </c>
      <c r="B5666" t="s">
        <v>30</v>
      </c>
      <c r="C5666">
        <v>201</v>
      </c>
      <c r="D5666">
        <v>3</v>
      </c>
      <c r="E5666">
        <v>1</v>
      </c>
      <c r="F5666" t="s">
        <v>1020</v>
      </c>
      <c r="G5666" t="s">
        <v>32</v>
      </c>
      <c r="H5666" t="s">
        <v>33</v>
      </c>
      <c r="I5666" t="s">
        <v>43</v>
      </c>
      <c r="J5666" t="s">
        <v>35</v>
      </c>
      <c r="K5666" t="s">
        <v>36</v>
      </c>
      <c r="L5666" t="s">
        <v>37</v>
      </c>
      <c r="M5666">
        <v>0</v>
      </c>
      <c r="N5666">
        <v>1</v>
      </c>
      <c r="O5666">
        <v>39412</v>
      </c>
      <c r="P5666">
        <v>39411</v>
      </c>
      <c r="Q5666">
        <f>37.5-16</f>
        <v>21.5</v>
      </c>
      <c r="R5666" t="s">
        <v>38</v>
      </c>
      <c r="AB5666" t="s">
        <v>86</v>
      </c>
      <c r="AC5666" t="s">
        <v>41</v>
      </c>
    </row>
    <row r="5667" spans="1:29" x14ac:dyDescent="0.35">
      <c r="A5667" s="7">
        <v>42956</v>
      </c>
      <c r="B5667" t="s">
        <v>30</v>
      </c>
      <c r="C5667">
        <v>201</v>
      </c>
      <c r="D5667">
        <v>3</v>
      </c>
      <c r="E5667">
        <v>2</v>
      </c>
      <c r="F5667" t="s">
        <v>1020</v>
      </c>
      <c r="G5667" t="s">
        <v>32</v>
      </c>
      <c r="H5667" t="s">
        <v>33</v>
      </c>
      <c r="I5667" t="s">
        <v>59</v>
      </c>
      <c r="AB5667" t="s">
        <v>86</v>
      </c>
      <c r="AC5667" t="s">
        <v>41</v>
      </c>
    </row>
    <row r="5668" spans="1:29" x14ac:dyDescent="0.35">
      <c r="A5668" s="7">
        <v>42956</v>
      </c>
      <c r="B5668" t="s">
        <v>30</v>
      </c>
      <c r="C5668">
        <v>201</v>
      </c>
      <c r="D5668">
        <v>5</v>
      </c>
      <c r="E5668">
        <v>1</v>
      </c>
      <c r="F5668" t="s">
        <v>1020</v>
      </c>
      <c r="G5668" t="s">
        <v>32</v>
      </c>
      <c r="H5668" t="s">
        <v>33</v>
      </c>
      <c r="I5668" t="s">
        <v>59</v>
      </c>
      <c r="AB5668" t="s">
        <v>86</v>
      </c>
      <c r="AC5668" t="s">
        <v>41</v>
      </c>
    </row>
    <row r="5669" spans="1:29" x14ac:dyDescent="0.35">
      <c r="A5669" s="7">
        <v>42956</v>
      </c>
      <c r="B5669" t="s">
        <v>30</v>
      </c>
      <c r="C5669">
        <v>201</v>
      </c>
      <c r="D5669">
        <v>6</v>
      </c>
      <c r="E5669">
        <v>1</v>
      </c>
      <c r="F5669" t="s">
        <v>1020</v>
      </c>
      <c r="G5669" t="s">
        <v>32</v>
      </c>
      <c r="H5669" t="s">
        <v>33</v>
      </c>
      <c r="I5669" t="s">
        <v>58</v>
      </c>
      <c r="J5669" t="s">
        <v>35</v>
      </c>
      <c r="K5669" t="s">
        <v>88</v>
      </c>
      <c r="L5669" t="s">
        <v>45</v>
      </c>
      <c r="M5669">
        <v>0</v>
      </c>
      <c r="N5669">
        <v>1</v>
      </c>
      <c r="O5669">
        <v>39413</v>
      </c>
      <c r="Q5669">
        <f>30-13.5</f>
        <v>16.5</v>
      </c>
      <c r="R5669" t="s">
        <v>46</v>
      </c>
      <c r="S5669" t="s">
        <v>39</v>
      </c>
      <c r="Z5669" t="s">
        <v>102</v>
      </c>
      <c r="AB5669" t="s">
        <v>86</v>
      </c>
      <c r="AC5669" t="s">
        <v>41</v>
      </c>
    </row>
    <row r="5670" spans="1:29" x14ac:dyDescent="0.35">
      <c r="A5670" s="7">
        <v>42956</v>
      </c>
      <c r="B5670" t="s">
        <v>30</v>
      </c>
      <c r="C5670">
        <v>201</v>
      </c>
      <c r="D5670">
        <v>7</v>
      </c>
      <c r="E5670">
        <v>1</v>
      </c>
      <c r="F5670" t="s">
        <v>1020</v>
      </c>
      <c r="G5670" t="s">
        <v>32</v>
      </c>
      <c r="H5670" t="s">
        <v>33</v>
      </c>
      <c r="I5670" t="s">
        <v>59</v>
      </c>
      <c r="AB5670" t="s">
        <v>86</v>
      </c>
      <c r="AC5670" t="s">
        <v>41</v>
      </c>
    </row>
    <row r="5671" spans="1:29" x14ac:dyDescent="0.35">
      <c r="A5671" s="7">
        <v>42956</v>
      </c>
      <c r="B5671" t="s">
        <v>30</v>
      </c>
      <c r="C5671">
        <v>201</v>
      </c>
      <c r="D5671">
        <v>8</v>
      </c>
      <c r="E5671">
        <v>1</v>
      </c>
      <c r="F5671" t="s">
        <v>1020</v>
      </c>
      <c r="G5671" t="s">
        <v>32</v>
      </c>
      <c r="H5671" t="s">
        <v>33</v>
      </c>
      <c r="I5671" t="s">
        <v>59</v>
      </c>
      <c r="AB5671" t="s">
        <v>86</v>
      </c>
      <c r="AC5671" t="s">
        <v>41</v>
      </c>
    </row>
    <row r="5672" spans="1:29" x14ac:dyDescent="0.35">
      <c r="A5672" s="7">
        <v>42956</v>
      </c>
      <c r="B5672" t="s">
        <v>30</v>
      </c>
      <c r="C5672">
        <v>201</v>
      </c>
      <c r="D5672">
        <v>8</v>
      </c>
      <c r="E5672">
        <v>2</v>
      </c>
      <c r="F5672" t="s">
        <v>1020</v>
      </c>
      <c r="G5672" t="s">
        <v>32</v>
      </c>
      <c r="H5672" t="s">
        <v>33</v>
      </c>
      <c r="I5672" t="s">
        <v>59</v>
      </c>
      <c r="AB5672" t="s">
        <v>86</v>
      </c>
      <c r="AC5672" t="s">
        <v>41</v>
      </c>
    </row>
    <row r="5673" spans="1:29" x14ac:dyDescent="0.35">
      <c r="A5673" s="7">
        <v>42956</v>
      </c>
      <c r="B5673" t="s">
        <v>30</v>
      </c>
      <c r="C5673">
        <v>202</v>
      </c>
      <c r="D5673">
        <v>1</v>
      </c>
      <c r="E5673">
        <v>1</v>
      </c>
      <c r="F5673" t="s">
        <v>1020</v>
      </c>
      <c r="G5673" t="s">
        <v>32</v>
      </c>
      <c r="H5673" t="s">
        <v>33</v>
      </c>
      <c r="I5673" t="s">
        <v>59</v>
      </c>
      <c r="AB5673" t="s">
        <v>86</v>
      </c>
      <c r="AC5673" t="s">
        <v>41</v>
      </c>
    </row>
    <row r="5674" spans="1:29" x14ac:dyDescent="0.35">
      <c r="A5674" s="7">
        <v>42956</v>
      </c>
      <c r="B5674" t="s">
        <v>30</v>
      </c>
      <c r="C5674">
        <v>202</v>
      </c>
      <c r="D5674">
        <v>1</v>
      </c>
      <c r="E5674">
        <v>2</v>
      </c>
      <c r="F5674" t="s">
        <v>1020</v>
      </c>
      <c r="G5674" t="s">
        <v>32</v>
      </c>
      <c r="H5674" t="s">
        <v>33</v>
      </c>
      <c r="I5674" t="s">
        <v>59</v>
      </c>
      <c r="AB5674" t="s">
        <v>86</v>
      </c>
      <c r="AC5674" t="s">
        <v>41</v>
      </c>
    </row>
    <row r="5675" spans="1:29" x14ac:dyDescent="0.35">
      <c r="A5675" s="7">
        <v>42956</v>
      </c>
      <c r="B5675" t="s">
        <v>30</v>
      </c>
      <c r="C5675">
        <v>202</v>
      </c>
      <c r="D5675">
        <v>2</v>
      </c>
      <c r="E5675">
        <v>1</v>
      </c>
      <c r="F5675" t="s">
        <v>1020</v>
      </c>
      <c r="G5675" t="s">
        <v>32</v>
      </c>
      <c r="H5675" t="s">
        <v>33</v>
      </c>
      <c r="I5675" t="s">
        <v>59</v>
      </c>
      <c r="AB5675" t="s">
        <v>86</v>
      </c>
      <c r="AC5675" t="s">
        <v>41</v>
      </c>
    </row>
    <row r="5676" spans="1:29" x14ac:dyDescent="0.35">
      <c r="A5676" s="7">
        <v>42956</v>
      </c>
      <c r="B5676" t="s">
        <v>30</v>
      </c>
      <c r="C5676">
        <v>202</v>
      </c>
      <c r="D5676">
        <v>2</v>
      </c>
      <c r="E5676">
        <v>2</v>
      </c>
      <c r="F5676" t="s">
        <v>1020</v>
      </c>
      <c r="G5676" t="s">
        <v>32</v>
      </c>
      <c r="H5676" t="s">
        <v>33</v>
      </c>
      <c r="I5676" t="s">
        <v>59</v>
      </c>
      <c r="AB5676" t="s">
        <v>86</v>
      </c>
      <c r="AC5676" t="s">
        <v>41</v>
      </c>
    </row>
    <row r="5677" spans="1:29" x14ac:dyDescent="0.35">
      <c r="A5677" s="7">
        <v>42956</v>
      </c>
      <c r="B5677" t="s">
        <v>30</v>
      </c>
      <c r="C5677">
        <v>202</v>
      </c>
      <c r="D5677">
        <v>3</v>
      </c>
      <c r="E5677">
        <v>1</v>
      </c>
      <c r="F5677" t="s">
        <v>1020</v>
      </c>
      <c r="G5677" t="s">
        <v>32</v>
      </c>
      <c r="H5677" t="s">
        <v>33</v>
      </c>
      <c r="I5677" t="s">
        <v>59</v>
      </c>
      <c r="AB5677" t="s">
        <v>86</v>
      </c>
      <c r="AC5677" t="s">
        <v>41</v>
      </c>
    </row>
    <row r="5678" spans="1:29" x14ac:dyDescent="0.35">
      <c r="A5678" s="7">
        <v>42956</v>
      </c>
      <c r="B5678" t="s">
        <v>30</v>
      </c>
      <c r="C5678">
        <v>202</v>
      </c>
      <c r="D5678">
        <v>3</v>
      </c>
      <c r="E5678">
        <v>2</v>
      </c>
      <c r="F5678" t="s">
        <v>1020</v>
      </c>
      <c r="G5678" t="s">
        <v>32</v>
      </c>
      <c r="H5678" t="s">
        <v>33</v>
      </c>
      <c r="I5678" t="s">
        <v>59</v>
      </c>
      <c r="AB5678" t="s">
        <v>86</v>
      </c>
      <c r="AC5678" t="s">
        <v>41</v>
      </c>
    </row>
    <row r="5679" spans="1:29" x14ac:dyDescent="0.35">
      <c r="A5679" s="7">
        <v>42956</v>
      </c>
      <c r="B5679" t="s">
        <v>30</v>
      </c>
      <c r="C5679">
        <v>202</v>
      </c>
      <c r="D5679">
        <v>4</v>
      </c>
      <c r="E5679">
        <v>1</v>
      </c>
      <c r="F5679" t="s">
        <v>1020</v>
      </c>
      <c r="G5679" t="s">
        <v>32</v>
      </c>
      <c r="H5679" t="s">
        <v>33</v>
      </c>
      <c r="I5679" t="s">
        <v>59</v>
      </c>
      <c r="AB5679" t="s">
        <v>86</v>
      </c>
      <c r="AC5679" t="s">
        <v>41</v>
      </c>
    </row>
    <row r="5680" spans="1:29" x14ac:dyDescent="0.35">
      <c r="A5680" s="7">
        <v>42956</v>
      </c>
      <c r="B5680" t="s">
        <v>30</v>
      </c>
      <c r="C5680">
        <v>202</v>
      </c>
      <c r="D5680">
        <v>5</v>
      </c>
      <c r="E5680">
        <v>1</v>
      </c>
      <c r="F5680" t="s">
        <v>1020</v>
      </c>
      <c r="G5680" t="s">
        <v>32</v>
      </c>
      <c r="H5680" t="s">
        <v>33</v>
      </c>
      <c r="I5680" t="s">
        <v>59</v>
      </c>
      <c r="AB5680" t="s">
        <v>86</v>
      </c>
      <c r="AC5680" t="s">
        <v>41</v>
      </c>
    </row>
    <row r="5681" spans="1:30" x14ac:dyDescent="0.35">
      <c r="A5681" s="7">
        <v>42956</v>
      </c>
      <c r="B5681" t="s">
        <v>30</v>
      </c>
      <c r="C5681">
        <v>202</v>
      </c>
      <c r="D5681">
        <v>6</v>
      </c>
      <c r="E5681">
        <v>1</v>
      </c>
      <c r="F5681" t="s">
        <v>1020</v>
      </c>
      <c r="G5681" t="s">
        <v>32</v>
      </c>
      <c r="H5681" t="s">
        <v>33</v>
      </c>
      <c r="I5681" t="s">
        <v>59</v>
      </c>
      <c r="AB5681" t="s">
        <v>86</v>
      </c>
      <c r="AC5681" t="s">
        <v>41</v>
      </c>
    </row>
    <row r="5682" spans="1:30" x14ac:dyDescent="0.35">
      <c r="A5682" s="7">
        <v>42956</v>
      </c>
      <c r="B5682" t="s">
        <v>30</v>
      </c>
      <c r="C5682">
        <v>304</v>
      </c>
      <c r="D5682">
        <v>1</v>
      </c>
      <c r="E5682">
        <v>1</v>
      </c>
      <c r="F5682" t="s">
        <v>1020</v>
      </c>
      <c r="G5682" t="s">
        <v>32</v>
      </c>
      <c r="H5682" t="s">
        <v>33</v>
      </c>
      <c r="I5682" t="s">
        <v>72</v>
      </c>
      <c r="J5682" t="s">
        <v>56</v>
      </c>
      <c r="AB5682" t="s">
        <v>86</v>
      </c>
      <c r="AC5682" t="s">
        <v>41</v>
      </c>
    </row>
    <row r="5683" spans="1:30" x14ac:dyDescent="0.35">
      <c r="A5683" s="7">
        <v>42956</v>
      </c>
      <c r="B5683" t="s">
        <v>30</v>
      </c>
      <c r="C5683">
        <v>304</v>
      </c>
      <c r="D5683">
        <v>3</v>
      </c>
      <c r="E5683">
        <v>1</v>
      </c>
      <c r="F5683" t="s">
        <v>1020</v>
      </c>
      <c r="G5683" t="s">
        <v>32</v>
      </c>
      <c r="H5683" t="s">
        <v>33</v>
      </c>
      <c r="I5683" t="s">
        <v>59</v>
      </c>
      <c r="AB5683" t="s">
        <v>86</v>
      </c>
      <c r="AC5683" t="s">
        <v>41</v>
      </c>
    </row>
    <row r="5684" spans="1:30" x14ac:dyDescent="0.35">
      <c r="A5684" s="7">
        <v>42956</v>
      </c>
      <c r="B5684" t="s">
        <v>30</v>
      </c>
      <c r="C5684">
        <v>304</v>
      </c>
      <c r="D5684">
        <v>6</v>
      </c>
      <c r="E5684">
        <v>1</v>
      </c>
      <c r="F5684" t="s">
        <v>1020</v>
      </c>
      <c r="G5684" t="s">
        <v>32</v>
      </c>
      <c r="H5684" t="s">
        <v>33</v>
      </c>
      <c r="I5684" t="s">
        <v>72</v>
      </c>
      <c r="J5684" t="s">
        <v>56</v>
      </c>
      <c r="AB5684" t="s">
        <v>86</v>
      </c>
      <c r="AC5684" t="s">
        <v>41</v>
      </c>
    </row>
    <row r="5685" spans="1:30" x14ac:dyDescent="0.35">
      <c r="A5685" s="7">
        <v>42956</v>
      </c>
      <c r="B5685" t="s">
        <v>30</v>
      </c>
      <c r="C5685">
        <v>304</v>
      </c>
      <c r="D5685">
        <v>7</v>
      </c>
      <c r="E5685">
        <v>1</v>
      </c>
      <c r="F5685" t="s">
        <v>1020</v>
      </c>
      <c r="G5685" t="s">
        <v>32</v>
      </c>
      <c r="H5685" t="s">
        <v>33</v>
      </c>
      <c r="I5685" t="s">
        <v>59</v>
      </c>
      <c r="AB5685" t="s">
        <v>86</v>
      </c>
      <c r="AC5685" t="s">
        <v>41</v>
      </c>
    </row>
    <row r="5686" spans="1:30" x14ac:dyDescent="0.35">
      <c r="A5686" s="7">
        <v>42956</v>
      </c>
      <c r="B5686" t="s">
        <v>30</v>
      </c>
      <c r="C5686">
        <v>304</v>
      </c>
      <c r="D5686">
        <v>9</v>
      </c>
      <c r="E5686">
        <v>1</v>
      </c>
      <c r="F5686" t="s">
        <v>1020</v>
      </c>
      <c r="G5686" t="s">
        <v>32</v>
      </c>
      <c r="H5686" t="s">
        <v>33</v>
      </c>
      <c r="I5686" t="s">
        <v>72</v>
      </c>
      <c r="J5686" t="s">
        <v>66</v>
      </c>
      <c r="AB5686" t="s">
        <v>86</v>
      </c>
      <c r="AC5686" t="s">
        <v>41</v>
      </c>
    </row>
    <row r="5687" spans="1:30" x14ac:dyDescent="0.35">
      <c r="A5687" s="7">
        <v>42956</v>
      </c>
      <c r="B5687" t="s">
        <v>30</v>
      </c>
      <c r="C5687">
        <v>402</v>
      </c>
      <c r="D5687">
        <v>1</v>
      </c>
      <c r="E5687">
        <v>1</v>
      </c>
      <c r="F5687" t="s">
        <v>315</v>
      </c>
      <c r="G5687" t="s">
        <v>32</v>
      </c>
      <c r="H5687" t="s">
        <v>33</v>
      </c>
      <c r="I5687" t="s">
        <v>58</v>
      </c>
      <c r="J5687" t="s">
        <v>44</v>
      </c>
      <c r="K5687" t="s">
        <v>36</v>
      </c>
      <c r="L5687" t="s">
        <v>37</v>
      </c>
      <c r="M5687">
        <v>0</v>
      </c>
      <c r="N5687">
        <v>0</v>
      </c>
      <c r="P5687">
        <v>39426</v>
      </c>
      <c r="R5687" t="s">
        <v>38</v>
      </c>
      <c r="Z5687" t="s">
        <v>102</v>
      </c>
      <c r="AB5687" t="s">
        <v>86</v>
      </c>
      <c r="AC5687" t="s">
        <v>41</v>
      </c>
      <c r="AD5687" t="s">
        <v>1106</v>
      </c>
    </row>
    <row r="5688" spans="1:30" x14ac:dyDescent="0.35">
      <c r="A5688" s="7">
        <v>42956</v>
      </c>
      <c r="B5688" t="s">
        <v>30</v>
      </c>
      <c r="C5688">
        <v>402</v>
      </c>
      <c r="D5688">
        <v>1</v>
      </c>
      <c r="E5688">
        <v>2</v>
      </c>
      <c r="F5688" t="s">
        <v>315</v>
      </c>
      <c r="G5688" t="s">
        <v>32</v>
      </c>
      <c r="H5688" t="s">
        <v>33</v>
      </c>
      <c r="I5688" t="s">
        <v>94</v>
      </c>
      <c r="J5688" t="s">
        <v>35</v>
      </c>
      <c r="K5688" t="s">
        <v>36</v>
      </c>
      <c r="L5688" t="s">
        <v>37</v>
      </c>
      <c r="M5688">
        <v>0</v>
      </c>
      <c r="N5688">
        <v>1</v>
      </c>
      <c r="O5688">
        <v>39427</v>
      </c>
      <c r="Q5688">
        <f>38-16.5</f>
        <v>21.5</v>
      </c>
      <c r="R5688" t="s">
        <v>38</v>
      </c>
      <c r="Z5688" t="s">
        <v>102</v>
      </c>
      <c r="AB5688" t="s">
        <v>86</v>
      </c>
      <c r="AC5688" t="s">
        <v>41</v>
      </c>
    </row>
    <row r="5689" spans="1:30" x14ac:dyDescent="0.35">
      <c r="A5689" s="7">
        <v>42956</v>
      </c>
      <c r="B5689" t="s">
        <v>30</v>
      </c>
      <c r="C5689">
        <v>402</v>
      </c>
      <c r="D5689">
        <v>2</v>
      </c>
      <c r="E5689">
        <v>1</v>
      </c>
      <c r="F5689" t="s">
        <v>315</v>
      </c>
      <c r="G5689" t="s">
        <v>32</v>
      </c>
      <c r="H5689" t="s">
        <v>33</v>
      </c>
      <c r="I5689" t="s">
        <v>58</v>
      </c>
      <c r="J5689" t="s">
        <v>44</v>
      </c>
      <c r="K5689" t="s">
        <v>36</v>
      </c>
      <c r="L5689" t="s">
        <v>45</v>
      </c>
      <c r="M5689">
        <v>0</v>
      </c>
      <c r="N5689">
        <v>0</v>
      </c>
      <c r="O5689">
        <v>15729</v>
      </c>
      <c r="Q5689">
        <f>37.5-14</f>
        <v>23.5</v>
      </c>
      <c r="R5689" t="s">
        <v>1021</v>
      </c>
      <c r="S5689" t="s">
        <v>102</v>
      </c>
      <c r="Z5689" t="s">
        <v>102</v>
      </c>
      <c r="AB5689" t="s">
        <v>86</v>
      </c>
      <c r="AC5689" t="s">
        <v>41</v>
      </c>
    </row>
    <row r="5690" spans="1:30" x14ac:dyDescent="0.35">
      <c r="A5690" s="7">
        <v>42956</v>
      </c>
      <c r="B5690" t="s">
        <v>30</v>
      </c>
      <c r="C5690">
        <v>402</v>
      </c>
      <c r="D5690">
        <v>3</v>
      </c>
      <c r="E5690">
        <v>1</v>
      </c>
      <c r="F5690" t="s">
        <v>315</v>
      </c>
      <c r="G5690" t="s">
        <v>32</v>
      </c>
      <c r="H5690" t="s">
        <v>33</v>
      </c>
      <c r="I5690" t="s">
        <v>59</v>
      </c>
      <c r="AB5690" t="s">
        <v>86</v>
      </c>
      <c r="AC5690" t="s">
        <v>41</v>
      </c>
    </row>
    <row r="5691" spans="1:30" x14ac:dyDescent="0.35">
      <c r="A5691" s="7">
        <v>42956</v>
      </c>
      <c r="B5691" t="s">
        <v>30</v>
      </c>
      <c r="C5691">
        <v>402</v>
      </c>
      <c r="D5691">
        <v>4</v>
      </c>
      <c r="E5691">
        <v>1</v>
      </c>
      <c r="F5691" t="s">
        <v>315</v>
      </c>
      <c r="G5691" t="s">
        <v>32</v>
      </c>
      <c r="H5691" t="s">
        <v>33</v>
      </c>
      <c r="I5691" t="s">
        <v>59</v>
      </c>
      <c r="AB5691" t="s">
        <v>86</v>
      </c>
      <c r="AC5691" t="s">
        <v>41</v>
      </c>
    </row>
    <row r="5692" spans="1:30" x14ac:dyDescent="0.35">
      <c r="A5692" s="7">
        <v>42956</v>
      </c>
      <c r="B5692" t="s">
        <v>30</v>
      </c>
      <c r="C5692">
        <v>402</v>
      </c>
      <c r="D5692">
        <v>7</v>
      </c>
      <c r="E5692">
        <v>1</v>
      </c>
      <c r="F5692" t="s">
        <v>315</v>
      </c>
      <c r="G5692" t="s">
        <v>32</v>
      </c>
      <c r="H5692" t="s">
        <v>33</v>
      </c>
      <c r="I5692" t="s">
        <v>43</v>
      </c>
      <c r="J5692" t="s">
        <v>44</v>
      </c>
      <c r="K5692" t="s">
        <v>36</v>
      </c>
      <c r="L5692" t="s">
        <v>37</v>
      </c>
      <c r="M5692">
        <v>0</v>
      </c>
      <c r="N5692">
        <v>0</v>
      </c>
      <c r="O5692">
        <v>39456</v>
      </c>
      <c r="P5692">
        <v>39455</v>
      </c>
      <c r="Q5692">
        <f>39-15</f>
        <v>24</v>
      </c>
      <c r="R5692" t="s">
        <v>38</v>
      </c>
      <c r="Z5692" t="s">
        <v>102</v>
      </c>
      <c r="AB5692" t="s">
        <v>86</v>
      </c>
      <c r="AC5692" t="s">
        <v>41</v>
      </c>
    </row>
    <row r="5693" spans="1:30" x14ac:dyDescent="0.35">
      <c r="A5693" s="7">
        <v>42956</v>
      </c>
      <c r="B5693" t="s">
        <v>30</v>
      </c>
      <c r="C5693">
        <v>402</v>
      </c>
      <c r="D5693">
        <v>8</v>
      </c>
      <c r="E5693">
        <v>1</v>
      </c>
      <c r="F5693" t="s">
        <v>315</v>
      </c>
      <c r="G5693" t="s">
        <v>32</v>
      </c>
      <c r="H5693" t="s">
        <v>33</v>
      </c>
      <c r="I5693" t="s">
        <v>59</v>
      </c>
      <c r="AB5693" t="s">
        <v>86</v>
      </c>
      <c r="AC5693" t="s">
        <v>41</v>
      </c>
    </row>
    <row r="5694" spans="1:30" x14ac:dyDescent="0.35">
      <c r="A5694" s="7">
        <v>42956</v>
      </c>
      <c r="B5694" t="s">
        <v>30</v>
      </c>
      <c r="C5694">
        <v>402</v>
      </c>
      <c r="D5694">
        <v>9</v>
      </c>
      <c r="E5694">
        <v>1</v>
      </c>
      <c r="F5694" t="s">
        <v>315</v>
      </c>
      <c r="G5694" t="s">
        <v>32</v>
      </c>
      <c r="H5694" t="s">
        <v>33</v>
      </c>
      <c r="I5694" t="s">
        <v>43</v>
      </c>
      <c r="J5694" t="s">
        <v>44</v>
      </c>
      <c r="K5694" t="s">
        <v>36</v>
      </c>
      <c r="L5694" t="s">
        <v>37</v>
      </c>
      <c r="M5694">
        <v>0</v>
      </c>
      <c r="N5694">
        <v>0</v>
      </c>
      <c r="O5694">
        <v>38912</v>
      </c>
      <c r="P5694">
        <v>38913</v>
      </c>
      <c r="Q5694">
        <f>31.5-14</f>
        <v>17.5</v>
      </c>
      <c r="R5694" t="s">
        <v>38</v>
      </c>
      <c r="Z5694" t="s">
        <v>102</v>
      </c>
      <c r="AB5694" t="s">
        <v>86</v>
      </c>
      <c r="AC5694" t="s">
        <v>41</v>
      </c>
    </row>
    <row r="5695" spans="1:30" x14ac:dyDescent="0.35">
      <c r="A5695" s="7">
        <v>42957</v>
      </c>
      <c r="B5695" t="s">
        <v>30</v>
      </c>
      <c r="C5695">
        <v>111</v>
      </c>
      <c r="D5695">
        <v>1</v>
      </c>
      <c r="E5695">
        <v>1</v>
      </c>
      <c r="F5695" t="s">
        <v>315</v>
      </c>
      <c r="G5695" t="s">
        <v>32</v>
      </c>
      <c r="H5695" t="s">
        <v>33</v>
      </c>
      <c r="I5695" t="s">
        <v>59</v>
      </c>
      <c r="AB5695" t="s">
        <v>86</v>
      </c>
      <c r="AC5695" t="s">
        <v>41</v>
      </c>
    </row>
    <row r="5696" spans="1:30" x14ac:dyDescent="0.35">
      <c r="A5696" s="7">
        <v>42957</v>
      </c>
      <c r="B5696" t="s">
        <v>30</v>
      </c>
      <c r="C5696">
        <v>111</v>
      </c>
      <c r="D5696">
        <v>3</v>
      </c>
      <c r="E5696">
        <v>1</v>
      </c>
      <c r="F5696" t="s">
        <v>315</v>
      </c>
      <c r="G5696" t="s">
        <v>32</v>
      </c>
      <c r="H5696" t="s">
        <v>33</v>
      </c>
      <c r="I5696" t="s">
        <v>43</v>
      </c>
      <c r="J5696" t="s">
        <v>35</v>
      </c>
      <c r="K5696" t="s">
        <v>36</v>
      </c>
      <c r="L5696" t="s">
        <v>37</v>
      </c>
      <c r="M5696">
        <v>0</v>
      </c>
      <c r="N5696">
        <v>1</v>
      </c>
      <c r="O5696">
        <v>39900</v>
      </c>
      <c r="P5696">
        <v>39899</v>
      </c>
      <c r="Q5696">
        <f>35-15</f>
        <v>20</v>
      </c>
      <c r="R5696" t="s">
        <v>38</v>
      </c>
      <c r="Z5696" t="s">
        <v>102</v>
      </c>
      <c r="AB5696" t="s">
        <v>86</v>
      </c>
      <c r="AC5696" t="s">
        <v>41</v>
      </c>
    </row>
    <row r="5697" spans="1:30" x14ac:dyDescent="0.35">
      <c r="A5697" s="7">
        <v>42957</v>
      </c>
      <c r="B5697" t="s">
        <v>30</v>
      </c>
      <c r="C5697">
        <v>111</v>
      </c>
      <c r="D5697">
        <v>3</v>
      </c>
      <c r="E5697">
        <v>2</v>
      </c>
      <c r="F5697" t="s">
        <v>315</v>
      </c>
      <c r="G5697" t="s">
        <v>32</v>
      </c>
      <c r="H5697" t="s">
        <v>33</v>
      </c>
      <c r="I5697" t="s">
        <v>43</v>
      </c>
      <c r="J5697" t="s">
        <v>44</v>
      </c>
      <c r="K5697" t="s">
        <v>36</v>
      </c>
      <c r="L5697" t="s">
        <v>45</v>
      </c>
      <c r="M5697">
        <v>0</v>
      </c>
      <c r="N5697">
        <v>1</v>
      </c>
      <c r="O5697">
        <v>38901</v>
      </c>
      <c r="P5697">
        <v>38902</v>
      </c>
      <c r="Q5697">
        <f>33-14.5</f>
        <v>18.5</v>
      </c>
      <c r="R5697" t="s">
        <v>1021</v>
      </c>
      <c r="S5697" t="s">
        <v>102</v>
      </c>
      <c r="AB5697" t="s">
        <v>86</v>
      </c>
      <c r="AC5697" t="s">
        <v>41</v>
      </c>
    </row>
    <row r="5698" spans="1:30" x14ac:dyDescent="0.35">
      <c r="A5698" s="7">
        <v>42957</v>
      </c>
      <c r="B5698" t="s">
        <v>30</v>
      </c>
      <c r="C5698">
        <v>111</v>
      </c>
      <c r="D5698">
        <v>4</v>
      </c>
      <c r="E5698">
        <v>1</v>
      </c>
      <c r="F5698" t="s">
        <v>315</v>
      </c>
      <c r="G5698" t="s">
        <v>32</v>
      </c>
      <c r="H5698" t="s">
        <v>33</v>
      </c>
      <c r="I5698" t="s">
        <v>43</v>
      </c>
      <c r="J5698" t="s">
        <v>44</v>
      </c>
      <c r="K5698" t="s">
        <v>36</v>
      </c>
      <c r="L5698" t="s">
        <v>45</v>
      </c>
      <c r="M5698">
        <v>0</v>
      </c>
      <c r="N5698">
        <v>0</v>
      </c>
      <c r="O5698">
        <v>39309</v>
      </c>
      <c r="P5698">
        <v>39310</v>
      </c>
      <c r="Q5698">
        <f>33-14</f>
        <v>19</v>
      </c>
      <c r="R5698" t="s">
        <v>46</v>
      </c>
      <c r="S5698" t="s">
        <v>39</v>
      </c>
      <c r="AB5698" t="s">
        <v>86</v>
      </c>
      <c r="AC5698" t="s">
        <v>41</v>
      </c>
    </row>
    <row r="5699" spans="1:30" x14ac:dyDescent="0.35">
      <c r="A5699" s="7">
        <v>42957</v>
      </c>
      <c r="B5699" t="s">
        <v>30</v>
      </c>
      <c r="C5699">
        <v>111</v>
      </c>
      <c r="D5699">
        <v>5</v>
      </c>
      <c r="E5699">
        <v>1</v>
      </c>
      <c r="F5699" t="s">
        <v>315</v>
      </c>
      <c r="G5699" t="s">
        <v>32</v>
      </c>
      <c r="H5699" t="s">
        <v>33</v>
      </c>
      <c r="I5699" t="s">
        <v>59</v>
      </c>
      <c r="AB5699" t="s">
        <v>86</v>
      </c>
      <c r="AC5699" t="s">
        <v>41</v>
      </c>
    </row>
    <row r="5700" spans="1:30" x14ac:dyDescent="0.35">
      <c r="A5700" s="7">
        <v>42957</v>
      </c>
      <c r="B5700" t="s">
        <v>30</v>
      </c>
      <c r="C5700">
        <v>111</v>
      </c>
      <c r="D5700">
        <v>5</v>
      </c>
      <c r="E5700">
        <v>2</v>
      </c>
      <c r="F5700" t="s">
        <v>315</v>
      </c>
      <c r="G5700" t="s">
        <v>32</v>
      </c>
      <c r="H5700" t="s">
        <v>33</v>
      </c>
      <c r="I5700" t="s">
        <v>43</v>
      </c>
      <c r="J5700" t="s">
        <v>44</v>
      </c>
      <c r="K5700" t="s">
        <v>36</v>
      </c>
      <c r="L5700" t="s">
        <v>45</v>
      </c>
      <c r="M5700">
        <v>0</v>
      </c>
      <c r="N5700">
        <v>0</v>
      </c>
      <c r="O5700">
        <v>39301</v>
      </c>
      <c r="P5700">
        <v>39302</v>
      </c>
      <c r="Q5700">
        <f>33-14</f>
        <v>19</v>
      </c>
      <c r="R5700" t="s">
        <v>46</v>
      </c>
      <c r="S5700" t="s">
        <v>39</v>
      </c>
      <c r="AB5700" t="s">
        <v>86</v>
      </c>
      <c r="AC5700" t="s">
        <v>41</v>
      </c>
    </row>
    <row r="5701" spans="1:30" x14ac:dyDescent="0.35">
      <c r="A5701" s="7">
        <v>42957</v>
      </c>
      <c r="B5701" t="s">
        <v>30</v>
      </c>
      <c r="C5701">
        <v>111</v>
      </c>
      <c r="D5701">
        <v>6</v>
      </c>
      <c r="E5701">
        <v>1</v>
      </c>
      <c r="F5701" t="s">
        <v>315</v>
      </c>
      <c r="G5701" t="s">
        <v>32</v>
      </c>
      <c r="H5701" t="s">
        <v>33</v>
      </c>
      <c r="I5701" t="s">
        <v>59</v>
      </c>
      <c r="AB5701" t="s">
        <v>86</v>
      </c>
      <c r="AC5701" t="s">
        <v>41</v>
      </c>
    </row>
    <row r="5702" spans="1:30" x14ac:dyDescent="0.35">
      <c r="A5702" s="7">
        <v>42957</v>
      </c>
      <c r="B5702" t="s">
        <v>30</v>
      </c>
      <c r="C5702">
        <v>111</v>
      </c>
      <c r="D5702">
        <v>6</v>
      </c>
      <c r="E5702">
        <v>2</v>
      </c>
      <c r="F5702" t="s">
        <v>315</v>
      </c>
      <c r="G5702" t="s">
        <v>32</v>
      </c>
      <c r="H5702" t="s">
        <v>33</v>
      </c>
      <c r="I5702" t="s">
        <v>59</v>
      </c>
      <c r="AB5702" t="s">
        <v>86</v>
      </c>
      <c r="AC5702" t="s">
        <v>41</v>
      </c>
    </row>
    <row r="5703" spans="1:30" x14ac:dyDescent="0.35">
      <c r="A5703" s="7">
        <v>42957</v>
      </c>
      <c r="B5703" t="s">
        <v>30</v>
      </c>
      <c r="C5703">
        <v>111</v>
      </c>
      <c r="D5703">
        <v>7</v>
      </c>
      <c r="E5703">
        <v>1</v>
      </c>
      <c r="F5703" t="s">
        <v>315</v>
      </c>
      <c r="G5703" t="s">
        <v>32</v>
      </c>
      <c r="H5703" t="s">
        <v>33</v>
      </c>
      <c r="I5703" t="s">
        <v>43</v>
      </c>
      <c r="J5703" t="s">
        <v>35</v>
      </c>
      <c r="K5703" t="s">
        <v>36</v>
      </c>
      <c r="L5703" t="s">
        <v>45</v>
      </c>
      <c r="M5703">
        <v>0</v>
      </c>
      <c r="N5703">
        <v>1</v>
      </c>
      <c r="O5703">
        <v>39898</v>
      </c>
      <c r="P5703">
        <v>39897</v>
      </c>
      <c r="Q5703">
        <f>39-14.5</f>
        <v>24.5</v>
      </c>
      <c r="R5703" t="s">
        <v>77</v>
      </c>
      <c r="S5703" t="s">
        <v>39</v>
      </c>
      <c r="AB5703" t="s">
        <v>86</v>
      </c>
      <c r="AC5703" t="s">
        <v>41</v>
      </c>
    </row>
    <row r="5704" spans="1:30" x14ac:dyDescent="0.35">
      <c r="A5704" s="7">
        <v>42957</v>
      </c>
      <c r="B5704" t="s">
        <v>30</v>
      </c>
      <c r="C5704">
        <v>111</v>
      </c>
      <c r="D5704">
        <v>8</v>
      </c>
      <c r="E5704">
        <v>1</v>
      </c>
      <c r="F5704" t="s">
        <v>315</v>
      </c>
      <c r="G5704" t="s">
        <v>32</v>
      </c>
      <c r="H5704" t="s">
        <v>33</v>
      </c>
      <c r="I5704" t="s">
        <v>43</v>
      </c>
      <c r="J5704" t="s">
        <v>44</v>
      </c>
      <c r="K5704" t="s">
        <v>36</v>
      </c>
      <c r="L5704" t="s">
        <v>37</v>
      </c>
      <c r="M5704">
        <v>0</v>
      </c>
      <c r="N5704">
        <v>0</v>
      </c>
      <c r="O5704">
        <v>39466</v>
      </c>
      <c r="P5704">
        <v>39465</v>
      </c>
      <c r="Q5704">
        <f>37-14</f>
        <v>23</v>
      </c>
      <c r="R5704" t="s">
        <v>38</v>
      </c>
      <c r="Z5704" t="s">
        <v>102</v>
      </c>
      <c r="AB5704" t="s">
        <v>86</v>
      </c>
      <c r="AC5704" t="s">
        <v>41</v>
      </c>
    </row>
    <row r="5705" spans="1:30" x14ac:dyDescent="0.35">
      <c r="A5705" s="7">
        <v>42957</v>
      </c>
      <c r="B5705" t="s">
        <v>30</v>
      </c>
      <c r="C5705">
        <v>111</v>
      </c>
      <c r="D5705">
        <v>9</v>
      </c>
      <c r="E5705">
        <v>1</v>
      </c>
      <c r="F5705" t="s">
        <v>315</v>
      </c>
      <c r="G5705" t="s">
        <v>32</v>
      </c>
      <c r="H5705" t="s">
        <v>33</v>
      </c>
      <c r="I5705" t="s">
        <v>59</v>
      </c>
      <c r="AB5705" t="s">
        <v>86</v>
      </c>
      <c r="AC5705" t="s">
        <v>41</v>
      </c>
    </row>
    <row r="5706" spans="1:30" x14ac:dyDescent="0.35">
      <c r="A5706" s="7">
        <v>42957</v>
      </c>
      <c r="B5706" t="s">
        <v>30</v>
      </c>
      <c r="C5706">
        <v>111</v>
      </c>
      <c r="D5706">
        <v>9</v>
      </c>
      <c r="E5706">
        <v>2</v>
      </c>
      <c r="F5706" t="s">
        <v>315</v>
      </c>
      <c r="G5706" t="s">
        <v>32</v>
      </c>
      <c r="H5706" t="s">
        <v>33</v>
      </c>
      <c r="I5706" t="s">
        <v>59</v>
      </c>
      <c r="AB5706" t="s">
        <v>86</v>
      </c>
      <c r="AC5706" t="s">
        <v>41</v>
      </c>
    </row>
    <row r="5707" spans="1:30" x14ac:dyDescent="0.35">
      <c r="A5707" s="7">
        <v>42957</v>
      </c>
      <c r="B5707" t="s">
        <v>30</v>
      </c>
      <c r="C5707">
        <v>111</v>
      </c>
      <c r="D5707">
        <v>10</v>
      </c>
      <c r="E5707">
        <v>1</v>
      </c>
      <c r="F5707" t="s">
        <v>315</v>
      </c>
      <c r="G5707" t="s">
        <v>32</v>
      </c>
      <c r="H5707" t="s">
        <v>33</v>
      </c>
      <c r="I5707" t="s">
        <v>59</v>
      </c>
      <c r="AB5707" t="s">
        <v>86</v>
      </c>
      <c r="AC5707" t="s">
        <v>41</v>
      </c>
    </row>
    <row r="5708" spans="1:30" x14ac:dyDescent="0.35">
      <c r="A5708" s="7">
        <v>42957</v>
      </c>
      <c r="B5708" t="s">
        <v>30</v>
      </c>
      <c r="C5708">
        <v>111</v>
      </c>
      <c r="D5708">
        <v>10</v>
      </c>
      <c r="E5708">
        <v>2</v>
      </c>
      <c r="F5708" t="s">
        <v>315</v>
      </c>
      <c r="G5708" t="s">
        <v>32</v>
      </c>
      <c r="H5708" t="s">
        <v>33</v>
      </c>
      <c r="I5708" t="s">
        <v>43</v>
      </c>
      <c r="J5708" t="s">
        <v>44</v>
      </c>
      <c r="K5708" t="s">
        <v>36</v>
      </c>
      <c r="L5708" t="s">
        <v>37</v>
      </c>
      <c r="M5708">
        <v>0</v>
      </c>
      <c r="N5708">
        <v>0</v>
      </c>
      <c r="O5708">
        <v>2871</v>
      </c>
      <c r="P5708">
        <v>2870</v>
      </c>
      <c r="Q5708">
        <f>36.5-15</f>
        <v>21.5</v>
      </c>
      <c r="R5708" t="s">
        <v>38</v>
      </c>
      <c r="AB5708" t="s">
        <v>86</v>
      </c>
      <c r="AC5708" t="s">
        <v>41</v>
      </c>
      <c r="AD5708" t="s">
        <v>1106</v>
      </c>
    </row>
    <row r="5709" spans="1:30" x14ac:dyDescent="0.35">
      <c r="A5709" s="7">
        <v>42957</v>
      </c>
      <c r="B5709" t="s">
        <v>30</v>
      </c>
      <c r="C5709">
        <v>112</v>
      </c>
      <c r="D5709">
        <v>2</v>
      </c>
      <c r="E5709">
        <v>1</v>
      </c>
      <c r="F5709" t="s">
        <v>315</v>
      </c>
      <c r="G5709" t="s">
        <v>32</v>
      </c>
      <c r="H5709" t="s">
        <v>33</v>
      </c>
      <c r="I5709" t="s">
        <v>84</v>
      </c>
      <c r="AB5709" t="s">
        <v>86</v>
      </c>
      <c r="AC5709" t="s">
        <v>41</v>
      </c>
    </row>
    <row r="5710" spans="1:30" x14ac:dyDescent="0.35">
      <c r="A5710" s="7">
        <v>42957</v>
      </c>
      <c r="B5710" t="s">
        <v>30</v>
      </c>
      <c r="C5710">
        <v>112</v>
      </c>
      <c r="D5710">
        <v>3</v>
      </c>
      <c r="E5710">
        <v>1</v>
      </c>
      <c r="F5710" t="s">
        <v>315</v>
      </c>
      <c r="G5710" t="s">
        <v>32</v>
      </c>
      <c r="H5710" t="s">
        <v>33</v>
      </c>
      <c r="I5710" t="s">
        <v>59</v>
      </c>
      <c r="AB5710" t="s">
        <v>86</v>
      </c>
      <c r="AC5710" t="s">
        <v>41</v>
      </c>
    </row>
    <row r="5711" spans="1:30" x14ac:dyDescent="0.35">
      <c r="A5711" s="7">
        <v>42957</v>
      </c>
      <c r="B5711" t="s">
        <v>30</v>
      </c>
      <c r="C5711">
        <v>112</v>
      </c>
      <c r="D5711">
        <v>4</v>
      </c>
      <c r="E5711">
        <v>1</v>
      </c>
      <c r="F5711" t="s">
        <v>315</v>
      </c>
      <c r="G5711" t="s">
        <v>32</v>
      </c>
      <c r="H5711" t="s">
        <v>33</v>
      </c>
      <c r="I5711" t="s">
        <v>84</v>
      </c>
      <c r="AB5711" t="s">
        <v>86</v>
      </c>
      <c r="AC5711" t="s">
        <v>41</v>
      </c>
    </row>
    <row r="5712" spans="1:30" x14ac:dyDescent="0.35">
      <c r="A5712" s="7">
        <v>42957</v>
      </c>
      <c r="B5712" t="s">
        <v>30</v>
      </c>
      <c r="C5712">
        <v>112</v>
      </c>
      <c r="D5712">
        <v>7</v>
      </c>
      <c r="E5712">
        <v>1</v>
      </c>
      <c r="F5712" t="s">
        <v>315</v>
      </c>
      <c r="G5712" t="s">
        <v>32</v>
      </c>
      <c r="H5712" t="s">
        <v>33</v>
      </c>
      <c r="I5712" t="s">
        <v>59</v>
      </c>
      <c r="AB5712" t="s">
        <v>86</v>
      </c>
      <c r="AC5712" t="s">
        <v>41</v>
      </c>
    </row>
    <row r="5713" spans="1:30" x14ac:dyDescent="0.35">
      <c r="A5713" s="7">
        <v>42957</v>
      </c>
      <c r="B5713" t="s">
        <v>30</v>
      </c>
      <c r="C5713">
        <v>112</v>
      </c>
      <c r="D5713">
        <v>8</v>
      </c>
      <c r="E5713">
        <v>1</v>
      </c>
      <c r="F5713" t="s">
        <v>315</v>
      </c>
      <c r="G5713" t="s">
        <v>32</v>
      </c>
      <c r="H5713" t="s">
        <v>33</v>
      </c>
      <c r="I5713" t="s">
        <v>59</v>
      </c>
      <c r="AB5713" t="s">
        <v>86</v>
      </c>
      <c r="AC5713" t="s">
        <v>41</v>
      </c>
    </row>
    <row r="5714" spans="1:30" x14ac:dyDescent="0.35">
      <c r="A5714" s="7">
        <v>42957</v>
      </c>
      <c r="B5714" t="s">
        <v>30</v>
      </c>
      <c r="C5714">
        <v>112</v>
      </c>
      <c r="D5714">
        <v>10</v>
      </c>
      <c r="E5714">
        <v>1</v>
      </c>
      <c r="F5714" t="s">
        <v>315</v>
      </c>
      <c r="G5714" t="s">
        <v>32</v>
      </c>
      <c r="H5714" t="s">
        <v>33</v>
      </c>
      <c r="I5714" t="s">
        <v>59</v>
      </c>
      <c r="AB5714" t="s">
        <v>86</v>
      </c>
      <c r="AC5714" t="s">
        <v>41</v>
      </c>
    </row>
    <row r="5715" spans="1:30" x14ac:dyDescent="0.35">
      <c r="A5715" s="7">
        <v>42957</v>
      </c>
      <c r="B5715" t="s">
        <v>30</v>
      </c>
      <c r="C5715">
        <v>113</v>
      </c>
      <c r="D5715">
        <v>2</v>
      </c>
      <c r="E5715">
        <v>1</v>
      </c>
      <c r="F5715" t="s">
        <v>315</v>
      </c>
      <c r="G5715" t="s">
        <v>32</v>
      </c>
      <c r="H5715" t="s">
        <v>33</v>
      </c>
      <c r="I5715" t="s">
        <v>59</v>
      </c>
      <c r="AB5715" t="s">
        <v>86</v>
      </c>
      <c r="AC5715" t="s">
        <v>41</v>
      </c>
    </row>
    <row r="5716" spans="1:30" x14ac:dyDescent="0.35">
      <c r="A5716" s="7">
        <v>42957</v>
      </c>
      <c r="B5716" t="s">
        <v>30</v>
      </c>
      <c r="C5716">
        <v>113</v>
      </c>
      <c r="D5716">
        <v>5</v>
      </c>
      <c r="E5716">
        <v>1</v>
      </c>
      <c r="F5716" t="s">
        <v>315</v>
      </c>
      <c r="G5716" t="s">
        <v>32</v>
      </c>
      <c r="H5716" t="s">
        <v>33</v>
      </c>
      <c r="I5716" t="s">
        <v>59</v>
      </c>
      <c r="AB5716" t="s">
        <v>86</v>
      </c>
      <c r="AC5716" t="s">
        <v>41</v>
      </c>
    </row>
    <row r="5717" spans="1:30" x14ac:dyDescent="0.35">
      <c r="A5717" s="7">
        <v>42957</v>
      </c>
      <c r="B5717" t="s">
        <v>30</v>
      </c>
      <c r="C5717">
        <v>113</v>
      </c>
      <c r="D5717">
        <v>7</v>
      </c>
      <c r="E5717">
        <v>1</v>
      </c>
      <c r="F5717" t="s">
        <v>315</v>
      </c>
      <c r="G5717" t="s">
        <v>32</v>
      </c>
      <c r="H5717" t="s">
        <v>33</v>
      </c>
      <c r="I5717" t="s">
        <v>59</v>
      </c>
      <c r="AB5717" t="s">
        <v>86</v>
      </c>
      <c r="AC5717" t="s">
        <v>41</v>
      </c>
    </row>
    <row r="5718" spans="1:30" x14ac:dyDescent="0.35">
      <c r="A5718" s="7">
        <v>42957</v>
      </c>
      <c r="B5718" t="s">
        <v>30</v>
      </c>
      <c r="C5718">
        <v>113</v>
      </c>
      <c r="D5718">
        <v>8</v>
      </c>
      <c r="E5718">
        <v>1</v>
      </c>
      <c r="F5718" t="s">
        <v>315</v>
      </c>
      <c r="G5718" t="s">
        <v>32</v>
      </c>
      <c r="H5718" t="s">
        <v>33</v>
      </c>
      <c r="I5718" t="s">
        <v>59</v>
      </c>
      <c r="AB5718" t="s">
        <v>86</v>
      </c>
      <c r="AC5718" t="s">
        <v>41</v>
      </c>
    </row>
    <row r="5719" spans="1:30" x14ac:dyDescent="0.35">
      <c r="A5719" s="7">
        <v>42957</v>
      </c>
      <c r="B5719" t="s">
        <v>30</v>
      </c>
      <c r="C5719">
        <v>113</v>
      </c>
      <c r="D5719">
        <v>9</v>
      </c>
      <c r="E5719">
        <v>1</v>
      </c>
      <c r="F5719" t="s">
        <v>315</v>
      </c>
      <c r="G5719" t="s">
        <v>32</v>
      </c>
      <c r="H5719" t="s">
        <v>33</v>
      </c>
      <c r="I5719" t="s">
        <v>59</v>
      </c>
      <c r="AB5719" t="s">
        <v>86</v>
      </c>
      <c r="AC5719" t="s">
        <v>41</v>
      </c>
    </row>
    <row r="5720" spans="1:30" x14ac:dyDescent="0.35">
      <c r="A5720" s="7">
        <v>42957</v>
      </c>
      <c r="B5720" t="s">
        <v>30</v>
      </c>
      <c r="C5720">
        <v>113</v>
      </c>
      <c r="D5720">
        <v>9</v>
      </c>
      <c r="E5720">
        <v>2</v>
      </c>
      <c r="F5720" t="s">
        <v>315</v>
      </c>
      <c r="G5720" t="s">
        <v>32</v>
      </c>
      <c r="H5720" t="s">
        <v>33</v>
      </c>
      <c r="I5720" t="s">
        <v>34</v>
      </c>
      <c r="J5720" t="s">
        <v>92</v>
      </c>
      <c r="AB5720" t="s">
        <v>86</v>
      </c>
      <c r="AC5720" t="s">
        <v>41</v>
      </c>
    </row>
    <row r="5721" spans="1:30" x14ac:dyDescent="0.35">
      <c r="A5721" s="7">
        <v>42957</v>
      </c>
      <c r="B5721" t="s">
        <v>30</v>
      </c>
      <c r="C5721">
        <v>113</v>
      </c>
      <c r="D5721">
        <v>10</v>
      </c>
      <c r="E5721">
        <v>1</v>
      </c>
      <c r="F5721" t="s">
        <v>315</v>
      </c>
      <c r="G5721" t="s">
        <v>32</v>
      </c>
      <c r="H5721" t="s">
        <v>33</v>
      </c>
      <c r="I5721" t="s">
        <v>59</v>
      </c>
      <c r="AB5721" t="s">
        <v>86</v>
      </c>
      <c r="AC5721" t="s">
        <v>41</v>
      </c>
    </row>
    <row r="5722" spans="1:30" x14ac:dyDescent="0.35">
      <c r="A5722" s="7">
        <v>42957</v>
      </c>
      <c r="B5722" t="s">
        <v>30</v>
      </c>
      <c r="C5722">
        <v>113</v>
      </c>
      <c r="D5722">
        <v>10</v>
      </c>
      <c r="E5722">
        <v>2</v>
      </c>
      <c r="F5722" t="s">
        <v>315</v>
      </c>
      <c r="G5722" t="s">
        <v>32</v>
      </c>
      <c r="H5722" t="s">
        <v>33</v>
      </c>
      <c r="I5722" t="s">
        <v>59</v>
      </c>
      <c r="AB5722" t="s">
        <v>86</v>
      </c>
      <c r="AC5722" t="s">
        <v>41</v>
      </c>
    </row>
    <row r="5723" spans="1:30" x14ac:dyDescent="0.35">
      <c r="A5723" s="7">
        <v>42957</v>
      </c>
      <c r="B5723" t="s">
        <v>30</v>
      </c>
      <c r="C5723">
        <v>201</v>
      </c>
      <c r="D5723">
        <v>1</v>
      </c>
      <c r="E5723">
        <v>1</v>
      </c>
      <c r="F5723" t="s">
        <v>1020</v>
      </c>
      <c r="G5723" t="s">
        <v>32</v>
      </c>
      <c r="H5723" t="s">
        <v>33</v>
      </c>
      <c r="I5723" t="s">
        <v>59</v>
      </c>
      <c r="AB5723" t="s">
        <v>86</v>
      </c>
      <c r="AC5723" t="s">
        <v>87</v>
      </c>
    </row>
    <row r="5724" spans="1:30" x14ac:dyDescent="0.35">
      <c r="A5724" s="7">
        <v>42957</v>
      </c>
      <c r="B5724" t="s">
        <v>30</v>
      </c>
      <c r="C5724">
        <v>201</v>
      </c>
      <c r="D5724">
        <v>1</v>
      </c>
      <c r="E5724">
        <v>2</v>
      </c>
      <c r="F5724" t="s">
        <v>1020</v>
      </c>
      <c r="G5724" t="s">
        <v>32</v>
      </c>
      <c r="H5724" t="s">
        <v>33</v>
      </c>
      <c r="I5724" t="s">
        <v>59</v>
      </c>
      <c r="AB5724" t="s">
        <v>86</v>
      </c>
      <c r="AC5724" t="s">
        <v>87</v>
      </c>
    </row>
    <row r="5725" spans="1:30" x14ac:dyDescent="0.35">
      <c r="A5725" s="7">
        <v>42957</v>
      </c>
      <c r="B5725" t="s">
        <v>30</v>
      </c>
      <c r="C5725">
        <v>201</v>
      </c>
      <c r="D5725">
        <v>2</v>
      </c>
      <c r="E5725">
        <v>1</v>
      </c>
      <c r="F5725" t="s">
        <v>1020</v>
      </c>
      <c r="G5725" t="s">
        <v>32</v>
      </c>
      <c r="H5725" t="s">
        <v>33</v>
      </c>
      <c r="I5725" t="s">
        <v>84</v>
      </c>
      <c r="AB5725" t="s">
        <v>86</v>
      </c>
      <c r="AC5725" t="s">
        <v>87</v>
      </c>
    </row>
    <row r="5726" spans="1:30" x14ac:dyDescent="0.35">
      <c r="A5726" s="7">
        <v>42957</v>
      </c>
      <c r="B5726" t="s">
        <v>30</v>
      </c>
      <c r="C5726">
        <v>201</v>
      </c>
      <c r="D5726">
        <v>5</v>
      </c>
      <c r="E5726">
        <v>1</v>
      </c>
      <c r="F5726" t="s">
        <v>1020</v>
      </c>
      <c r="G5726" t="s">
        <v>32</v>
      </c>
      <c r="H5726" t="s">
        <v>33</v>
      </c>
      <c r="I5726" t="s">
        <v>72</v>
      </c>
      <c r="J5726" t="s">
        <v>56</v>
      </c>
      <c r="AB5726" t="s">
        <v>86</v>
      </c>
      <c r="AC5726" t="s">
        <v>87</v>
      </c>
      <c r="AD5726" t="s">
        <v>1107</v>
      </c>
    </row>
    <row r="5727" spans="1:30" x14ac:dyDescent="0.35">
      <c r="A5727" s="7">
        <v>42957</v>
      </c>
      <c r="B5727" t="s">
        <v>30</v>
      </c>
      <c r="C5727">
        <v>201</v>
      </c>
      <c r="D5727">
        <v>5</v>
      </c>
      <c r="E5727">
        <v>2</v>
      </c>
      <c r="F5727" t="s">
        <v>1020</v>
      </c>
      <c r="G5727" t="s">
        <v>32</v>
      </c>
      <c r="H5727" t="s">
        <v>33</v>
      </c>
      <c r="I5727" t="s">
        <v>59</v>
      </c>
      <c r="AB5727" t="s">
        <v>86</v>
      </c>
      <c r="AC5727" t="s">
        <v>87</v>
      </c>
    </row>
    <row r="5728" spans="1:30" x14ac:dyDescent="0.35">
      <c r="A5728" s="7">
        <v>42957</v>
      </c>
      <c r="B5728" t="s">
        <v>30</v>
      </c>
      <c r="C5728">
        <v>201</v>
      </c>
      <c r="D5728">
        <v>7</v>
      </c>
      <c r="E5728">
        <v>1</v>
      </c>
      <c r="F5728" t="s">
        <v>1020</v>
      </c>
      <c r="G5728" t="s">
        <v>32</v>
      </c>
      <c r="H5728" t="s">
        <v>33</v>
      </c>
      <c r="I5728" t="s">
        <v>43</v>
      </c>
      <c r="J5728" t="s">
        <v>35</v>
      </c>
      <c r="K5728" t="s">
        <v>36</v>
      </c>
      <c r="L5728" t="s">
        <v>37</v>
      </c>
      <c r="M5728">
        <v>0</v>
      </c>
      <c r="N5728">
        <v>1</v>
      </c>
      <c r="O5728">
        <v>39515</v>
      </c>
      <c r="P5728">
        <v>39514</v>
      </c>
      <c r="Q5728">
        <f>30-14</f>
        <v>16</v>
      </c>
      <c r="R5728" t="s">
        <v>64</v>
      </c>
      <c r="AB5728" t="s">
        <v>86</v>
      </c>
      <c r="AC5728" t="s">
        <v>87</v>
      </c>
    </row>
    <row r="5729" spans="1:30" x14ac:dyDescent="0.35">
      <c r="A5729" s="7">
        <v>42957</v>
      </c>
      <c r="B5729" t="s">
        <v>30</v>
      </c>
      <c r="C5729">
        <v>201</v>
      </c>
      <c r="D5729">
        <v>7</v>
      </c>
      <c r="E5729">
        <v>2</v>
      </c>
      <c r="F5729" t="s">
        <v>1020</v>
      </c>
      <c r="G5729" t="s">
        <v>32</v>
      </c>
      <c r="H5729" t="s">
        <v>33</v>
      </c>
      <c r="I5729" t="s">
        <v>59</v>
      </c>
      <c r="AB5729" t="s">
        <v>86</v>
      </c>
      <c r="AC5729" t="s">
        <v>87</v>
      </c>
    </row>
    <row r="5730" spans="1:30" x14ac:dyDescent="0.35">
      <c r="A5730" s="7">
        <v>42957</v>
      </c>
      <c r="B5730" t="s">
        <v>30</v>
      </c>
      <c r="C5730">
        <v>201</v>
      </c>
      <c r="D5730">
        <v>8</v>
      </c>
      <c r="E5730">
        <v>1</v>
      </c>
      <c r="F5730" t="s">
        <v>1020</v>
      </c>
      <c r="G5730" t="s">
        <v>32</v>
      </c>
      <c r="H5730" t="s">
        <v>33</v>
      </c>
      <c r="I5730" t="s">
        <v>59</v>
      </c>
      <c r="AB5730" t="s">
        <v>86</v>
      </c>
      <c r="AC5730" t="s">
        <v>87</v>
      </c>
    </row>
    <row r="5731" spans="1:30" x14ac:dyDescent="0.35">
      <c r="A5731" s="7">
        <v>42957</v>
      </c>
      <c r="B5731" t="s">
        <v>30</v>
      </c>
      <c r="C5731">
        <v>201</v>
      </c>
      <c r="D5731">
        <v>10</v>
      </c>
      <c r="E5731">
        <v>1</v>
      </c>
      <c r="F5731" t="s">
        <v>1020</v>
      </c>
      <c r="G5731" t="s">
        <v>32</v>
      </c>
      <c r="H5731" t="s">
        <v>33</v>
      </c>
      <c r="I5731" t="s">
        <v>59</v>
      </c>
      <c r="AB5731" t="s">
        <v>86</v>
      </c>
      <c r="AC5731" t="s">
        <v>87</v>
      </c>
    </row>
    <row r="5732" spans="1:30" x14ac:dyDescent="0.35">
      <c r="A5732" s="7">
        <v>42957</v>
      </c>
      <c r="B5732" t="s">
        <v>30</v>
      </c>
      <c r="C5732">
        <v>202</v>
      </c>
      <c r="D5732">
        <v>3</v>
      </c>
      <c r="E5732">
        <v>1</v>
      </c>
      <c r="F5732" t="s">
        <v>1020</v>
      </c>
      <c r="G5732" t="s">
        <v>32</v>
      </c>
      <c r="H5732" t="s">
        <v>33</v>
      </c>
      <c r="I5732" t="s">
        <v>59</v>
      </c>
      <c r="AB5732" t="s">
        <v>86</v>
      </c>
      <c r="AC5732" t="s">
        <v>87</v>
      </c>
    </row>
    <row r="5733" spans="1:30" x14ac:dyDescent="0.35">
      <c r="A5733" s="7">
        <v>42957</v>
      </c>
      <c r="B5733" t="s">
        <v>30</v>
      </c>
      <c r="C5733">
        <v>202</v>
      </c>
      <c r="D5733">
        <v>4</v>
      </c>
      <c r="E5733">
        <v>1</v>
      </c>
      <c r="F5733" t="s">
        <v>1020</v>
      </c>
      <c r="G5733" t="s">
        <v>32</v>
      </c>
      <c r="H5733" t="s">
        <v>33</v>
      </c>
      <c r="I5733" t="s">
        <v>59</v>
      </c>
      <c r="AB5733" t="s">
        <v>86</v>
      </c>
      <c r="AC5733" t="s">
        <v>87</v>
      </c>
    </row>
    <row r="5734" spans="1:30" x14ac:dyDescent="0.35">
      <c r="A5734" s="7">
        <v>42957</v>
      </c>
      <c r="B5734" t="s">
        <v>30</v>
      </c>
      <c r="C5734">
        <v>202</v>
      </c>
      <c r="D5734">
        <v>5</v>
      </c>
      <c r="E5734">
        <v>1</v>
      </c>
      <c r="F5734" t="s">
        <v>1020</v>
      </c>
      <c r="G5734" t="s">
        <v>32</v>
      </c>
      <c r="H5734" t="s">
        <v>33</v>
      </c>
      <c r="I5734" t="s">
        <v>59</v>
      </c>
      <c r="AB5734" t="s">
        <v>86</v>
      </c>
      <c r="AC5734" t="s">
        <v>87</v>
      </c>
    </row>
    <row r="5735" spans="1:30" x14ac:dyDescent="0.35">
      <c r="A5735" s="7">
        <v>42957</v>
      </c>
      <c r="B5735" t="s">
        <v>30</v>
      </c>
      <c r="C5735">
        <v>202</v>
      </c>
      <c r="D5735">
        <v>5</v>
      </c>
      <c r="E5735">
        <v>2</v>
      </c>
      <c r="F5735" t="s">
        <v>1020</v>
      </c>
      <c r="G5735" t="s">
        <v>32</v>
      </c>
      <c r="H5735" t="s">
        <v>33</v>
      </c>
      <c r="I5735" t="s">
        <v>59</v>
      </c>
      <c r="AB5735" t="s">
        <v>86</v>
      </c>
      <c r="AC5735" t="s">
        <v>87</v>
      </c>
    </row>
    <row r="5736" spans="1:30" x14ac:dyDescent="0.35">
      <c r="A5736" s="7">
        <v>42957</v>
      </c>
      <c r="B5736" t="s">
        <v>30</v>
      </c>
      <c r="C5736">
        <v>202</v>
      </c>
      <c r="D5736">
        <v>6</v>
      </c>
      <c r="E5736">
        <v>1</v>
      </c>
      <c r="F5736" t="s">
        <v>1020</v>
      </c>
      <c r="G5736" t="s">
        <v>32</v>
      </c>
      <c r="H5736" t="s">
        <v>33</v>
      </c>
      <c r="I5736" t="s">
        <v>59</v>
      </c>
      <c r="AB5736" t="s">
        <v>86</v>
      </c>
      <c r="AC5736" t="s">
        <v>87</v>
      </c>
    </row>
    <row r="5737" spans="1:30" x14ac:dyDescent="0.35">
      <c r="A5737" s="7">
        <v>42957</v>
      </c>
      <c r="B5737" t="s">
        <v>30</v>
      </c>
      <c r="C5737">
        <v>202</v>
      </c>
      <c r="D5737">
        <v>7</v>
      </c>
      <c r="E5737">
        <v>1</v>
      </c>
      <c r="F5737" t="s">
        <v>1020</v>
      </c>
      <c r="G5737" t="s">
        <v>32</v>
      </c>
      <c r="H5737" t="s">
        <v>33</v>
      </c>
      <c r="I5737" t="s">
        <v>43</v>
      </c>
      <c r="J5737" t="s">
        <v>35</v>
      </c>
      <c r="K5737" t="s">
        <v>36</v>
      </c>
      <c r="L5737" t="s">
        <v>37</v>
      </c>
      <c r="M5737">
        <v>0</v>
      </c>
      <c r="N5737">
        <v>1</v>
      </c>
      <c r="O5737">
        <v>39417</v>
      </c>
      <c r="P5737">
        <v>39416</v>
      </c>
      <c r="Q5737">
        <f>31-13</f>
        <v>18</v>
      </c>
      <c r="R5737" t="s">
        <v>64</v>
      </c>
      <c r="AB5737" t="s">
        <v>86</v>
      </c>
      <c r="AC5737" t="s">
        <v>87</v>
      </c>
    </row>
    <row r="5738" spans="1:30" x14ac:dyDescent="0.35">
      <c r="A5738" s="7">
        <v>42957</v>
      </c>
      <c r="B5738" t="s">
        <v>30</v>
      </c>
      <c r="C5738">
        <v>304</v>
      </c>
      <c r="D5738">
        <v>1</v>
      </c>
      <c r="E5738">
        <v>1</v>
      </c>
      <c r="F5738" t="s">
        <v>1020</v>
      </c>
      <c r="G5738" t="s">
        <v>32</v>
      </c>
      <c r="H5738" t="s">
        <v>33</v>
      </c>
      <c r="I5738" t="s">
        <v>58</v>
      </c>
      <c r="J5738" t="s">
        <v>35</v>
      </c>
      <c r="K5738" t="s">
        <v>36</v>
      </c>
      <c r="L5738" t="s">
        <v>45</v>
      </c>
      <c r="M5738">
        <v>0</v>
      </c>
      <c r="N5738">
        <v>1</v>
      </c>
      <c r="O5738">
        <v>39410</v>
      </c>
      <c r="Q5738">
        <f>44-14</f>
        <v>30</v>
      </c>
      <c r="R5738" t="s">
        <v>1021</v>
      </c>
      <c r="S5738" t="s">
        <v>102</v>
      </c>
      <c r="Z5738" t="s">
        <v>102</v>
      </c>
      <c r="AB5738" t="s">
        <v>86</v>
      </c>
      <c r="AC5738" t="s">
        <v>87</v>
      </c>
      <c r="AD5738" t="s">
        <v>1108</v>
      </c>
    </row>
    <row r="5739" spans="1:30" x14ac:dyDescent="0.35">
      <c r="A5739" s="7">
        <v>42957</v>
      </c>
      <c r="B5739" t="s">
        <v>30</v>
      </c>
      <c r="C5739">
        <v>304</v>
      </c>
      <c r="D5739">
        <v>2</v>
      </c>
      <c r="E5739">
        <v>1</v>
      </c>
      <c r="F5739" t="s">
        <v>1020</v>
      </c>
      <c r="G5739" t="s">
        <v>32</v>
      </c>
      <c r="H5739" t="s">
        <v>33</v>
      </c>
      <c r="I5739" t="s">
        <v>59</v>
      </c>
      <c r="AB5739" t="s">
        <v>86</v>
      </c>
      <c r="AC5739" t="s">
        <v>87</v>
      </c>
    </row>
    <row r="5740" spans="1:30" x14ac:dyDescent="0.35">
      <c r="A5740" s="7">
        <v>42957</v>
      </c>
      <c r="B5740" t="s">
        <v>30</v>
      </c>
      <c r="C5740">
        <v>304</v>
      </c>
      <c r="D5740">
        <v>3</v>
      </c>
      <c r="E5740">
        <v>1</v>
      </c>
      <c r="F5740" t="s">
        <v>1020</v>
      </c>
      <c r="G5740" t="s">
        <v>32</v>
      </c>
      <c r="H5740" t="s">
        <v>33</v>
      </c>
      <c r="I5740" t="s">
        <v>59</v>
      </c>
      <c r="AB5740" t="s">
        <v>86</v>
      </c>
      <c r="AC5740" t="s">
        <v>87</v>
      </c>
    </row>
    <row r="5741" spans="1:30" x14ac:dyDescent="0.35">
      <c r="A5741" s="7">
        <v>42957</v>
      </c>
      <c r="B5741" t="s">
        <v>30</v>
      </c>
      <c r="C5741">
        <v>402</v>
      </c>
      <c r="D5741">
        <v>1</v>
      </c>
      <c r="E5741">
        <v>1</v>
      </c>
      <c r="F5741" t="s">
        <v>315</v>
      </c>
      <c r="G5741" t="s">
        <v>32</v>
      </c>
      <c r="H5741" t="s">
        <v>33</v>
      </c>
      <c r="I5741" t="s">
        <v>59</v>
      </c>
      <c r="AB5741" t="s">
        <v>86</v>
      </c>
      <c r="AC5741" t="s">
        <v>41</v>
      </c>
    </row>
    <row r="5742" spans="1:30" x14ac:dyDescent="0.35">
      <c r="A5742" s="7">
        <v>42957</v>
      </c>
      <c r="B5742" t="s">
        <v>30</v>
      </c>
      <c r="C5742">
        <v>402</v>
      </c>
      <c r="D5742">
        <v>1</v>
      </c>
      <c r="E5742">
        <v>2</v>
      </c>
      <c r="F5742" t="s">
        <v>315</v>
      </c>
      <c r="G5742" t="s">
        <v>32</v>
      </c>
      <c r="H5742" t="s">
        <v>33</v>
      </c>
      <c r="I5742" t="s">
        <v>59</v>
      </c>
      <c r="AB5742" t="s">
        <v>86</v>
      </c>
      <c r="AC5742" t="s">
        <v>41</v>
      </c>
    </row>
    <row r="5743" spans="1:30" x14ac:dyDescent="0.35">
      <c r="A5743" s="7">
        <v>42957</v>
      </c>
      <c r="B5743" t="s">
        <v>30</v>
      </c>
      <c r="C5743">
        <v>402</v>
      </c>
      <c r="D5743">
        <v>2</v>
      </c>
      <c r="E5743">
        <v>1</v>
      </c>
      <c r="F5743" t="s">
        <v>315</v>
      </c>
      <c r="G5743" t="s">
        <v>32</v>
      </c>
      <c r="H5743" t="s">
        <v>33</v>
      </c>
      <c r="I5743" t="s">
        <v>59</v>
      </c>
      <c r="AB5743" t="s">
        <v>86</v>
      </c>
      <c r="AC5743" t="s">
        <v>41</v>
      </c>
    </row>
    <row r="5744" spans="1:30" x14ac:dyDescent="0.35">
      <c r="A5744" s="7">
        <v>42957</v>
      </c>
      <c r="B5744" t="s">
        <v>30</v>
      </c>
      <c r="C5744">
        <v>402</v>
      </c>
      <c r="D5744">
        <v>2</v>
      </c>
      <c r="E5744">
        <v>2</v>
      </c>
      <c r="F5744" t="s">
        <v>315</v>
      </c>
      <c r="G5744" t="s">
        <v>32</v>
      </c>
      <c r="H5744" t="s">
        <v>33</v>
      </c>
      <c r="I5744" t="s">
        <v>43</v>
      </c>
      <c r="J5744" t="s">
        <v>44</v>
      </c>
      <c r="K5744" t="s">
        <v>36</v>
      </c>
      <c r="L5744" t="s">
        <v>37</v>
      </c>
      <c r="M5744">
        <v>0</v>
      </c>
      <c r="N5744">
        <v>0</v>
      </c>
      <c r="O5744">
        <v>38912</v>
      </c>
      <c r="P5744">
        <v>38913</v>
      </c>
      <c r="Q5744">
        <f>36.5-16.5</f>
        <v>20</v>
      </c>
      <c r="R5744" t="s">
        <v>38</v>
      </c>
      <c r="Z5744" t="s">
        <v>102</v>
      </c>
      <c r="AB5744" t="s">
        <v>86</v>
      </c>
      <c r="AC5744" t="s">
        <v>41</v>
      </c>
    </row>
    <row r="5745" spans="1:30" x14ac:dyDescent="0.35">
      <c r="A5745" s="7">
        <v>42957</v>
      </c>
      <c r="B5745" t="s">
        <v>30</v>
      </c>
      <c r="C5745">
        <v>402</v>
      </c>
      <c r="D5745">
        <v>3</v>
      </c>
      <c r="E5745">
        <v>1</v>
      </c>
      <c r="F5745" t="s">
        <v>315</v>
      </c>
      <c r="G5745" t="s">
        <v>32</v>
      </c>
      <c r="H5745" t="s">
        <v>33</v>
      </c>
      <c r="I5745" t="s">
        <v>94</v>
      </c>
      <c r="J5745" t="s">
        <v>44</v>
      </c>
      <c r="K5745" t="s">
        <v>36</v>
      </c>
      <c r="L5745" t="s">
        <v>37</v>
      </c>
      <c r="M5745">
        <v>0</v>
      </c>
      <c r="N5745">
        <v>0</v>
      </c>
      <c r="O5745">
        <v>39427</v>
      </c>
      <c r="Q5745">
        <f>35.5-13.5</f>
        <v>22</v>
      </c>
      <c r="R5745" t="s">
        <v>38</v>
      </c>
      <c r="Z5745" t="s">
        <v>102</v>
      </c>
      <c r="AB5745" t="s">
        <v>86</v>
      </c>
      <c r="AC5745" t="s">
        <v>41</v>
      </c>
    </row>
    <row r="5746" spans="1:30" x14ac:dyDescent="0.35">
      <c r="A5746" s="7">
        <v>42957</v>
      </c>
      <c r="B5746" t="s">
        <v>30</v>
      </c>
      <c r="C5746">
        <v>402</v>
      </c>
      <c r="D5746">
        <v>3</v>
      </c>
      <c r="E5746">
        <v>2</v>
      </c>
      <c r="F5746" t="s">
        <v>315</v>
      </c>
      <c r="G5746" t="s">
        <v>32</v>
      </c>
      <c r="H5746" t="s">
        <v>33</v>
      </c>
      <c r="I5746" t="s">
        <v>34</v>
      </c>
      <c r="J5746" t="s">
        <v>92</v>
      </c>
      <c r="AB5746" t="s">
        <v>86</v>
      </c>
      <c r="AC5746" t="s">
        <v>41</v>
      </c>
    </row>
    <row r="5747" spans="1:30" x14ac:dyDescent="0.35">
      <c r="A5747" s="7">
        <v>42957</v>
      </c>
      <c r="B5747" t="s">
        <v>30</v>
      </c>
      <c r="C5747">
        <v>402</v>
      </c>
      <c r="D5747">
        <v>4</v>
      </c>
      <c r="E5747">
        <v>1</v>
      </c>
      <c r="F5747" t="s">
        <v>315</v>
      </c>
      <c r="G5747" t="s">
        <v>32</v>
      </c>
      <c r="H5747" t="s">
        <v>33</v>
      </c>
      <c r="I5747" t="s">
        <v>43</v>
      </c>
      <c r="J5747" t="s">
        <v>44</v>
      </c>
      <c r="K5747" t="s">
        <v>36</v>
      </c>
      <c r="L5747" t="s">
        <v>45</v>
      </c>
      <c r="M5747">
        <v>0</v>
      </c>
      <c r="N5747">
        <v>0</v>
      </c>
      <c r="O5747">
        <v>39454</v>
      </c>
      <c r="P5747">
        <v>39453</v>
      </c>
      <c r="Q5747">
        <f>37-14</f>
        <v>23</v>
      </c>
      <c r="R5747" t="s">
        <v>1021</v>
      </c>
      <c r="S5747" t="s">
        <v>102</v>
      </c>
      <c r="Z5747" t="s">
        <v>102</v>
      </c>
      <c r="AB5747" t="s">
        <v>86</v>
      </c>
      <c r="AC5747" t="s">
        <v>41</v>
      </c>
      <c r="AD5747" t="s">
        <v>1109</v>
      </c>
    </row>
    <row r="5748" spans="1:30" x14ac:dyDescent="0.35">
      <c r="A5748" s="7">
        <v>42957</v>
      </c>
      <c r="B5748" t="s">
        <v>30</v>
      </c>
      <c r="C5748">
        <v>402</v>
      </c>
      <c r="D5748">
        <v>4</v>
      </c>
      <c r="E5748">
        <v>2</v>
      </c>
      <c r="F5748" t="s">
        <v>315</v>
      </c>
      <c r="G5748" t="s">
        <v>32</v>
      </c>
      <c r="H5748" t="s">
        <v>33</v>
      </c>
      <c r="I5748" t="s">
        <v>58</v>
      </c>
      <c r="J5748" t="s">
        <v>44</v>
      </c>
      <c r="K5748" t="s">
        <v>36</v>
      </c>
      <c r="L5748" t="s">
        <v>45</v>
      </c>
      <c r="M5748">
        <v>0</v>
      </c>
      <c r="N5748">
        <v>0</v>
      </c>
      <c r="O5748">
        <v>15729</v>
      </c>
      <c r="Q5748">
        <f>36-13</f>
        <v>23</v>
      </c>
      <c r="R5748" t="s">
        <v>1021</v>
      </c>
      <c r="S5748" t="s">
        <v>102</v>
      </c>
      <c r="Z5748" t="s">
        <v>102</v>
      </c>
      <c r="AB5748" t="s">
        <v>86</v>
      </c>
      <c r="AC5748" t="s">
        <v>41</v>
      </c>
    </row>
    <row r="5749" spans="1:30" x14ac:dyDescent="0.35">
      <c r="A5749" s="7">
        <v>42957</v>
      </c>
      <c r="B5749" t="s">
        <v>30</v>
      </c>
      <c r="C5749">
        <v>402</v>
      </c>
      <c r="D5749">
        <v>5</v>
      </c>
      <c r="E5749">
        <v>1</v>
      </c>
      <c r="F5749" t="s">
        <v>315</v>
      </c>
      <c r="G5749" t="s">
        <v>32</v>
      </c>
      <c r="H5749" t="s">
        <v>33</v>
      </c>
      <c r="I5749" t="s">
        <v>59</v>
      </c>
      <c r="AB5749" t="s">
        <v>86</v>
      </c>
      <c r="AC5749" t="s">
        <v>41</v>
      </c>
    </row>
    <row r="5750" spans="1:30" x14ac:dyDescent="0.35">
      <c r="A5750" s="7">
        <v>42957</v>
      </c>
      <c r="B5750" t="s">
        <v>30</v>
      </c>
      <c r="C5750">
        <v>402</v>
      </c>
      <c r="D5750">
        <v>7</v>
      </c>
      <c r="E5750">
        <v>1</v>
      </c>
      <c r="F5750" t="s">
        <v>315</v>
      </c>
      <c r="G5750" t="s">
        <v>32</v>
      </c>
      <c r="H5750" t="s">
        <v>33</v>
      </c>
      <c r="I5750" t="s">
        <v>59</v>
      </c>
      <c r="AB5750" t="s">
        <v>86</v>
      </c>
      <c r="AC5750" t="s">
        <v>41</v>
      </c>
    </row>
    <row r="5751" spans="1:30" x14ac:dyDescent="0.35">
      <c r="A5751" s="7">
        <v>42957</v>
      </c>
      <c r="B5751" t="s">
        <v>30</v>
      </c>
      <c r="C5751">
        <v>402</v>
      </c>
      <c r="D5751">
        <v>8</v>
      </c>
      <c r="E5751">
        <v>1</v>
      </c>
      <c r="F5751" t="s">
        <v>315</v>
      </c>
      <c r="G5751" t="s">
        <v>32</v>
      </c>
      <c r="H5751" t="s">
        <v>33</v>
      </c>
      <c r="I5751" t="s">
        <v>59</v>
      </c>
      <c r="AB5751" t="s">
        <v>86</v>
      </c>
      <c r="AC5751" t="s">
        <v>41</v>
      </c>
    </row>
    <row r="5752" spans="1:30" x14ac:dyDescent="0.35">
      <c r="A5752" s="7">
        <v>42957</v>
      </c>
      <c r="B5752" t="s">
        <v>30</v>
      </c>
      <c r="C5752">
        <v>402</v>
      </c>
      <c r="D5752">
        <v>8</v>
      </c>
      <c r="E5752">
        <v>2</v>
      </c>
      <c r="F5752" t="s">
        <v>315</v>
      </c>
      <c r="G5752" t="s">
        <v>32</v>
      </c>
      <c r="H5752" t="s">
        <v>33</v>
      </c>
      <c r="I5752" t="s">
        <v>59</v>
      </c>
      <c r="AB5752" t="s">
        <v>86</v>
      </c>
      <c r="AC5752" t="s">
        <v>41</v>
      </c>
    </row>
    <row r="5753" spans="1:30" x14ac:dyDescent="0.35">
      <c r="A5753" s="7">
        <v>42957</v>
      </c>
      <c r="B5753" t="s">
        <v>30</v>
      </c>
      <c r="C5753">
        <v>402</v>
      </c>
      <c r="D5753">
        <v>9</v>
      </c>
      <c r="E5753">
        <v>1</v>
      </c>
      <c r="F5753" t="s">
        <v>315</v>
      </c>
      <c r="G5753" t="s">
        <v>32</v>
      </c>
      <c r="H5753" t="s">
        <v>33</v>
      </c>
      <c r="I5753" t="s">
        <v>43</v>
      </c>
      <c r="J5753" t="s">
        <v>44</v>
      </c>
      <c r="K5753" t="s">
        <v>36</v>
      </c>
      <c r="L5753" t="s">
        <v>37</v>
      </c>
      <c r="M5753">
        <v>0</v>
      </c>
      <c r="N5753">
        <v>0</v>
      </c>
      <c r="O5753">
        <v>39456</v>
      </c>
      <c r="P5753">
        <v>39455</v>
      </c>
      <c r="Q5753">
        <f>35.5-13</f>
        <v>22.5</v>
      </c>
      <c r="R5753" t="s">
        <v>38</v>
      </c>
      <c r="Z5753" t="s">
        <v>102</v>
      </c>
      <c r="AB5753" t="s">
        <v>86</v>
      </c>
      <c r="AC5753" t="s">
        <v>41</v>
      </c>
    </row>
    <row r="5754" spans="1:30" x14ac:dyDescent="0.35">
      <c r="A5754" s="7">
        <v>42957</v>
      </c>
      <c r="B5754" t="s">
        <v>30</v>
      </c>
      <c r="C5754">
        <v>402</v>
      </c>
      <c r="D5754">
        <v>10</v>
      </c>
      <c r="E5754">
        <v>1</v>
      </c>
      <c r="F5754" t="s">
        <v>315</v>
      </c>
      <c r="G5754" t="s">
        <v>32</v>
      </c>
      <c r="H5754" t="s">
        <v>33</v>
      </c>
      <c r="I5754" t="s">
        <v>59</v>
      </c>
      <c r="AB5754" t="s">
        <v>86</v>
      </c>
      <c r="AC5754" t="s">
        <v>41</v>
      </c>
    </row>
    <row r="5755" spans="1:30" x14ac:dyDescent="0.35">
      <c r="A5755" s="7">
        <v>42957</v>
      </c>
      <c r="B5755" t="s">
        <v>30</v>
      </c>
      <c r="C5755">
        <v>402</v>
      </c>
      <c r="D5755">
        <v>10</v>
      </c>
      <c r="E5755">
        <v>2</v>
      </c>
      <c r="F5755" t="s">
        <v>315</v>
      </c>
      <c r="G5755" t="s">
        <v>32</v>
      </c>
      <c r="H5755" t="s">
        <v>33</v>
      </c>
      <c r="I5755" t="s">
        <v>59</v>
      </c>
      <c r="AB5755" t="s">
        <v>86</v>
      </c>
      <c r="AC5755" t="s">
        <v>41</v>
      </c>
    </row>
    <row r="5756" spans="1:30" x14ac:dyDescent="0.35">
      <c r="A5756" s="7">
        <v>42961</v>
      </c>
      <c r="B5756" t="s">
        <v>30</v>
      </c>
      <c r="C5756">
        <v>303</v>
      </c>
      <c r="D5756">
        <v>1</v>
      </c>
      <c r="E5756">
        <v>1</v>
      </c>
      <c r="F5756" t="s">
        <v>1020</v>
      </c>
      <c r="G5756" t="s">
        <v>32</v>
      </c>
      <c r="H5756" t="s">
        <v>33</v>
      </c>
      <c r="I5756" t="s">
        <v>59</v>
      </c>
      <c r="AB5756" t="s">
        <v>86</v>
      </c>
      <c r="AC5756" t="s">
        <v>87</v>
      </c>
    </row>
    <row r="5757" spans="1:30" x14ac:dyDescent="0.35">
      <c r="A5757" s="7">
        <v>42961</v>
      </c>
      <c r="B5757" t="s">
        <v>30</v>
      </c>
      <c r="C5757">
        <v>303</v>
      </c>
      <c r="D5757">
        <v>1</v>
      </c>
      <c r="E5757">
        <v>2</v>
      </c>
      <c r="F5757" t="s">
        <v>1020</v>
      </c>
      <c r="G5757" t="s">
        <v>32</v>
      </c>
      <c r="H5757" t="s">
        <v>33</v>
      </c>
      <c r="I5757" t="s">
        <v>72</v>
      </c>
      <c r="J5757" t="s">
        <v>56</v>
      </c>
      <c r="AB5757" t="s">
        <v>86</v>
      </c>
      <c r="AC5757" t="s">
        <v>87</v>
      </c>
    </row>
    <row r="5758" spans="1:30" x14ac:dyDescent="0.35">
      <c r="A5758" s="7">
        <v>42961</v>
      </c>
      <c r="B5758" t="s">
        <v>30</v>
      </c>
      <c r="C5758">
        <v>303</v>
      </c>
      <c r="D5758">
        <v>2</v>
      </c>
      <c r="E5758">
        <v>1</v>
      </c>
      <c r="F5758" t="s">
        <v>1020</v>
      </c>
      <c r="G5758" t="s">
        <v>32</v>
      </c>
      <c r="H5758" t="s">
        <v>33</v>
      </c>
      <c r="I5758" t="s">
        <v>59</v>
      </c>
      <c r="AB5758" t="s">
        <v>86</v>
      </c>
      <c r="AC5758" t="s">
        <v>87</v>
      </c>
    </row>
    <row r="5759" spans="1:30" x14ac:dyDescent="0.35">
      <c r="A5759" s="7">
        <v>42961</v>
      </c>
      <c r="B5759" t="s">
        <v>30</v>
      </c>
      <c r="C5759">
        <v>303</v>
      </c>
      <c r="D5759">
        <v>3</v>
      </c>
      <c r="E5759">
        <v>1</v>
      </c>
      <c r="F5759" t="s">
        <v>1020</v>
      </c>
      <c r="G5759" t="s">
        <v>32</v>
      </c>
      <c r="H5759" t="s">
        <v>33</v>
      </c>
      <c r="I5759" t="s">
        <v>59</v>
      </c>
      <c r="AB5759" t="s">
        <v>86</v>
      </c>
      <c r="AC5759" t="s">
        <v>87</v>
      </c>
    </row>
    <row r="5760" spans="1:30" x14ac:dyDescent="0.35">
      <c r="A5760" s="7">
        <v>42961</v>
      </c>
      <c r="B5760" t="s">
        <v>30</v>
      </c>
      <c r="C5760">
        <v>303</v>
      </c>
      <c r="D5760">
        <v>3</v>
      </c>
      <c r="E5760">
        <v>2</v>
      </c>
      <c r="F5760" t="s">
        <v>1020</v>
      </c>
      <c r="G5760" t="s">
        <v>32</v>
      </c>
      <c r="H5760" t="s">
        <v>33</v>
      </c>
      <c r="I5760" t="s">
        <v>59</v>
      </c>
      <c r="AB5760" t="s">
        <v>86</v>
      </c>
      <c r="AC5760" t="s">
        <v>87</v>
      </c>
    </row>
    <row r="5761" spans="1:30" x14ac:dyDescent="0.35">
      <c r="A5761" s="7">
        <v>42961</v>
      </c>
      <c r="B5761" t="s">
        <v>30</v>
      </c>
      <c r="C5761">
        <v>303</v>
      </c>
      <c r="D5761">
        <v>4</v>
      </c>
      <c r="E5761">
        <v>1</v>
      </c>
      <c r="F5761" t="s">
        <v>1020</v>
      </c>
      <c r="G5761" t="s">
        <v>32</v>
      </c>
      <c r="H5761" t="s">
        <v>33</v>
      </c>
      <c r="I5761" t="s">
        <v>43</v>
      </c>
      <c r="J5761" t="s">
        <v>44</v>
      </c>
      <c r="K5761" t="s">
        <v>88</v>
      </c>
      <c r="L5761" t="s">
        <v>45</v>
      </c>
      <c r="M5761">
        <v>0</v>
      </c>
      <c r="N5761">
        <v>0</v>
      </c>
      <c r="O5761">
        <v>39450</v>
      </c>
      <c r="P5761">
        <v>39449</v>
      </c>
      <c r="Q5761">
        <f>31-14</f>
        <v>17</v>
      </c>
      <c r="R5761" t="s">
        <v>46</v>
      </c>
      <c r="S5761" t="s">
        <v>39</v>
      </c>
      <c r="AB5761" t="s">
        <v>86</v>
      </c>
      <c r="AC5761" t="s">
        <v>87</v>
      </c>
    </row>
    <row r="5762" spans="1:30" x14ac:dyDescent="0.35">
      <c r="A5762" s="7">
        <v>42961</v>
      </c>
      <c r="B5762" t="s">
        <v>30</v>
      </c>
      <c r="C5762">
        <v>303</v>
      </c>
      <c r="D5762">
        <v>7</v>
      </c>
      <c r="E5762">
        <v>1</v>
      </c>
      <c r="F5762" t="s">
        <v>1020</v>
      </c>
      <c r="G5762" t="s">
        <v>32</v>
      </c>
      <c r="H5762" t="s">
        <v>33</v>
      </c>
      <c r="I5762" t="s">
        <v>59</v>
      </c>
      <c r="AB5762" t="s">
        <v>86</v>
      </c>
      <c r="AC5762" t="s">
        <v>87</v>
      </c>
    </row>
    <row r="5763" spans="1:30" x14ac:dyDescent="0.35">
      <c r="A5763" s="7">
        <v>42961</v>
      </c>
      <c r="B5763" t="s">
        <v>30</v>
      </c>
      <c r="C5763">
        <v>303</v>
      </c>
      <c r="D5763">
        <v>7</v>
      </c>
      <c r="E5763">
        <v>2</v>
      </c>
      <c r="F5763" t="s">
        <v>1020</v>
      </c>
      <c r="G5763" t="s">
        <v>32</v>
      </c>
      <c r="H5763" t="s">
        <v>33</v>
      </c>
      <c r="I5763" t="s">
        <v>59</v>
      </c>
      <c r="AB5763" t="s">
        <v>86</v>
      </c>
      <c r="AC5763" t="s">
        <v>87</v>
      </c>
    </row>
    <row r="5764" spans="1:30" x14ac:dyDescent="0.35">
      <c r="A5764" s="7">
        <v>42961</v>
      </c>
      <c r="B5764" t="s">
        <v>30</v>
      </c>
      <c r="C5764">
        <v>303</v>
      </c>
      <c r="D5764">
        <v>9</v>
      </c>
      <c r="E5764">
        <v>1</v>
      </c>
      <c r="F5764" t="s">
        <v>1020</v>
      </c>
      <c r="G5764" t="s">
        <v>32</v>
      </c>
      <c r="H5764" t="s">
        <v>33</v>
      </c>
      <c r="I5764" t="s">
        <v>43</v>
      </c>
      <c r="J5764" t="s">
        <v>44</v>
      </c>
      <c r="K5764" t="s">
        <v>88</v>
      </c>
      <c r="L5764" t="s">
        <v>37</v>
      </c>
      <c r="M5764">
        <v>0</v>
      </c>
      <c r="N5764">
        <v>0</v>
      </c>
      <c r="O5764">
        <v>39494</v>
      </c>
      <c r="P5764">
        <v>39493</v>
      </c>
      <c r="Q5764">
        <f>31-14</f>
        <v>17</v>
      </c>
      <c r="R5764" t="s">
        <v>64</v>
      </c>
      <c r="AB5764" t="s">
        <v>86</v>
      </c>
      <c r="AC5764" t="s">
        <v>87</v>
      </c>
    </row>
    <row r="5765" spans="1:30" x14ac:dyDescent="0.35">
      <c r="A5765" s="7">
        <v>42961</v>
      </c>
      <c r="B5765" t="s">
        <v>30</v>
      </c>
      <c r="C5765">
        <v>303</v>
      </c>
      <c r="D5765">
        <v>10</v>
      </c>
      <c r="E5765">
        <v>1</v>
      </c>
      <c r="F5765" t="s">
        <v>1020</v>
      </c>
      <c r="G5765" t="s">
        <v>32</v>
      </c>
      <c r="H5765" t="s">
        <v>33</v>
      </c>
      <c r="I5765" t="s">
        <v>58</v>
      </c>
      <c r="J5765" t="s">
        <v>35</v>
      </c>
      <c r="K5765" t="s">
        <v>36</v>
      </c>
      <c r="L5765" t="s">
        <v>45</v>
      </c>
      <c r="M5765">
        <v>0</v>
      </c>
      <c r="N5765">
        <v>1</v>
      </c>
      <c r="O5765">
        <v>39418</v>
      </c>
      <c r="Q5765">
        <f>46-14</f>
        <v>32</v>
      </c>
      <c r="R5765" t="s">
        <v>77</v>
      </c>
      <c r="S5765" t="s">
        <v>39</v>
      </c>
      <c r="AB5765" t="s">
        <v>86</v>
      </c>
      <c r="AC5765" t="s">
        <v>87</v>
      </c>
    </row>
    <row r="5766" spans="1:30" x14ac:dyDescent="0.35">
      <c r="A5766" s="7">
        <v>42961</v>
      </c>
      <c r="B5766" t="s">
        <v>30</v>
      </c>
      <c r="C5766">
        <v>303</v>
      </c>
      <c r="D5766">
        <v>10</v>
      </c>
      <c r="E5766">
        <v>2</v>
      </c>
      <c r="F5766" t="s">
        <v>1020</v>
      </c>
      <c r="G5766" t="s">
        <v>32</v>
      </c>
      <c r="H5766" t="s">
        <v>33</v>
      </c>
      <c r="I5766" t="s">
        <v>1029</v>
      </c>
      <c r="J5766" t="s">
        <v>66</v>
      </c>
      <c r="AB5766" t="s">
        <v>86</v>
      </c>
      <c r="AC5766" t="s">
        <v>87</v>
      </c>
    </row>
    <row r="5767" spans="1:30" x14ac:dyDescent="0.35">
      <c r="A5767" s="7">
        <v>42961</v>
      </c>
      <c r="B5767" t="s">
        <v>30</v>
      </c>
      <c r="C5767">
        <v>401</v>
      </c>
      <c r="D5767">
        <v>1</v>
      </c>
      <c r="E5767">
        <v>1</v>
      </c>
      <c r="F5767" t="s">
        <v>1020</v>
      </c>
      <c r="G5767" t="s">
        <v>32</v>
      </c>
      <c r="H5767" t="s">
        <v>33</v>
      </c>
      <c r="I5767" t="s">
        <v>84</v>
      </c>
      <c r="AB5767" t="s">
        <v>86</v>
      </c>
      <c r="AC5767" t="s">
        <v>87</v>
      </c>
    </row>
    <row r="5768" spans="1:30" x14ac:dyDescent="0.35">
      <c r="A5768" s="7">
        <v>42961</v>
      </c>
      <c r="B5768" t="s">
        <v>30</v>
      </c>
      <c r="C5768">
        <v>401</v>
      </c>
      <c r="D5768">
        <v>1</v>
      </c>
      <c r="E5768">
        <v>2</v>
      </c>
      <c r="F5768" t="s">
        <v>1020</v>
      </c>
      <c r="G5768" t="s">
        <v>32</v>
      </c>
      <c r="H5768" t="s">
        <v>33</v>
      </c>
      <c r="I5768" t="s">
        <v>84</v>
      </c>
      <c r="AB5768" t="s">
        <v>86</v>
      </c>
      <c r="AC5768" t="s">
        <v>87</v>
      </c>
      <c r="AD5768" t="s">
        <v>1110</v>
      </c>
    </row>
    <row r="5769" spans="1:30" x14ac:dyDescent="0.35">
      <c r="A5769" s="7">
        <v>42961</v>
      </c>
      <c r="B5769" t="s">
        <v>30</v>
      </c>
      <c r="C5769">
        <v>401</v>
      </c>
      <c r="D5769">
        <v>2</v>
      </c>
      <c r="E5769">
        <v>1</v>
      </c>
      <c r="F5769" t="s">
        <v>1020</v>
      </c>
      <c r="G5769" t="s">
        <v>32</v>
      </c>
      <c r="H5769" t="s">
        <v>33</v>
      </c>
      <c r="I5769" t="s">
        <v>84</v>
      </c>
      <c r="AB5769" t="s">
        <v>86</v>
      </c>
      <c r="AC5769" t="s">
        <v>87</v>
      </c>
    </row>
    <row r="5770" spans="1:30" x14ac:dyDescent="0.35">
      <c r="A5770" s="7">
        <v>42961</v>
      </c>
      <c r="B5770" t="s">
        <v>30</v>
      </c>
      <c r="C5770">
        <v>401</v>
      </c>
      <c r="D5770">
        <v>2</v>
      </c>
      <c r="E5770">
        <v>2</v>
      </c>
      <c r="F5770" t="s">
        <v>1020</v>
      </c>
      <c r="G5770" t="s">
        <v>32</v>
      </c>
      <c r="H5770" t="s">
        <v>33</v>
      </c>
      <c r="I5770" t="s">
        <v>84</v>
      </c>
      <c r="AB5770" t="s">
        <v>86</v>
      </c>
      <c r="AC5770" t="s">
        <v>87</v>
      </c>
    </row>
    <row r="5771" spans="1:30" x14ac:dyDescent="0.35">
      <c r="A5771" s="7">
        <v>42961</v>
      </c>
      <c r="B5771" t="s">
        <v>30</v>
      </c>
      <c r="C5771">
        <v>401</v>
      </c>
      <c r="D5771">
        <v>3</v>
      </c>
      <c r="E5771">
        <v>1</v>
      </c>
      <c r="F5771" t="s">
        <v>1020</v>
      </c>
      <c r="G5771" t="s">
        <v>32</v>
      </c>
      <c r="H5771" t="s">
        <v>33</v>
      </c>
      <c r="I5771" t="s">
        <v>84</v>
      </c>
      <c r="AB5771" t="s">
        <v>86</v>
      </c>
      <c r="AC5771" t="s">
        <v>87</v>
      </c>
    </row>
    <row r="5772" spans="1:30" x14ac:dyDescent="0.35">
      <c r="A5772" s="7">
        <v>42961</v>
      </c>
      <c r="B5772" t="s">
        <v>30</v>
      </c>
      <c r="C5772">
        <v>401</v>
      </c>
      <c r="D5772">
        <v>3</v>
      </c>
      <c r="E5772">
        <v>2</v>
      </c>
      <c r="F5772" t="s">
        <v>1020</v>
      </c>
      <c r="G5772" t="s">
        <v>32</v>
      </c>
      <c r="H5772" t="s">
        <v>33</v>
      </c>
      <c r="I5772" t="s">
        <v>84</v>
      </c>
      <c r="AB5772" t="s">
        <v>86</v>
      </c>
      <c r="AC5772" t="s">
        <v>87</v>
      </c>
    </row>
    <row r="5773" spans="1:30" x14ac:dyDescent="0.35">
      <c r="A5773" s="7">
        <v>42961</v>
      </c>
      <c r="B5773" t="s">
        <v>30</v>
      </c>
      <c r="C5773">
        <v>401</v>
      </c>
      <c r="D5773">
        <v>4</v>
      </c>
      <c r="E5773">
        <v>1</v>
      </c>
      <c r="F5773" t="s">
        <v>1020</v>
      </c>
      <c r="G5773" t="s">
        <v>32</v>
      </c>
      <c r="H5773" t="s">
        <v>33</v>
      </c>
      <c r="I5773" t="s">
        <v>84</v>
      </c>
      <c r="AB5773" t="s">
        <v>86</v>
      </c>
      <c r="AC5773" t="s">
        <v>87</v>
      </c>
    </row>
    <row r="5774" spans="1:30" x14ac:dyDescent="0.35">
      <c r="A5774" s="7">
        <v>42961</v>
      </c>
      <c r="B5774" t="s">
        <v>30</v>
      </c>
      <c r="C5774">
        <v>401</v>
      </c>
      <c r="D5774">
        <v>4</v>
      </c>
      <c r="E5774">
        <v>2</v>
      </c>
      <c r="F5774" t="s">
        <v>1020</v>
      </c>
      <c r="G5774" t="s">
        <v>32</v>
      </c>
      <c r="H5774" t="s">
        <v>33</v>
      </c>
      <c r="I5774" t="s">
        <v>84</v>
      </c>
      <c r="AB5774" t="s">
        <v>86</v>
      </c>
      <c r="AC5774" t="s">
        <v>87</v>
      </c>
    </row>
    <row r="5775" spans="1:30" x14ac:dyDescent="0.35">
      <c r="A5775" s="7">
        <v>42961</v>
      </c>
      <c r="B5775" t="s">
        <v>30</v>
      </c>
      <c r="C5775">
        <v>401</v>
      </c>
      <c r="D5775">
        <v>5</v>
      </c>
      <c r="E5775">
        <v>1</v>
      </c>
      <c r="F5775" t="s">
        <v>1020</v>
      </c>
      <c r="G5775" t="s">
        <v>32</v>
      </c>
      <c r="H5775" t="s">
        <v>33</v>
      </c>
      <c r="I5775" t="s">
        <v>84</v>
      </c>
      <c r="AB5775" t="s">
        <v>86</v>
      </c>
      <c r="AC5775" t="s">
        <v>87</v>
      </c>
    </row>
    <row r="5776" spans="1:30" x14ac:dyDescent="0.35">
      <c r="A5776" s="7">
        <v>42961</v>
      </c>
      <c r="B5776" t="s">
        <v>30</v>
      </c>
      <c r="C5776">
        <v>401</v>
      </c>
      <c r="D5776">
        <v>5</v>
      </c>
      <c r="E5776">
        <v>2</v>
      </c>
      <c r="F5776" t="s">
        <v>1020</v>
      </c>
      <c r="G5776" t="s">
        <v>32</v>
      </c>
      <c r="H5776" t="s">
        <v>33</v>
      </c>
      <c r="I5776" t="s">
        <v>59</v>
      </c>
      <c r="AB5776" t="s">
        <v>86</v>
      </c>
      <c r="AC5776" t="s">
        <v>87</v>
      </c>
    </row>
    <row r="5777" spans="1:29" x14ac:dyDescent="0.35">
      <c r="A5777" s="7">
        <v>42961</v>
      </c>
      <c r="B5777" t="s">
        <v>30</v>
      </c>
      <c r="C5777">
        <v>401</v>
      </c>
      <c r="D5777">
        <v>7</v>
      </c>
      <c r="E5777">
        <v>1</v>
      </c>
      <c r="F5777" t="s">
        <v>1020</v>
      </c>
      <c r="G5777" t="s">
        <v>32</v>
      </c>
      <c r="H5777" t="s">
        <v>33</v>
      </c>
      <c r="I5777" t="s">
        <v>84</v>
      </c>
      <c r="AB5777" t="s">
        <v>86</v>
      </c>
      <c r="AC5777" t="s">
        <v>87</v>
      </c>
    </row>
    <row r="5778" spans="1:29" x14ac:dyDescent="0.35">
      <c r="A5778" s="7">
        <v>42961</v>
      </c>
      <c r="B5778" t="s">
        <v>30</v>
      </c>
      <c r="C5778">
        <v>401</v>
      </c>
      <c r="D5778">
        <v>7</v>
      </c>
      <c r="E5778">
        <v>2</v>
      </c>
      <c r="F5778" t="s">
        <v>1020</v>
      </c>
      <c r="G5778" t="s">
        <v>32</v>
      </c>
      <c r="H5778" t="s">
        <v>33</v>
      </c>
      <c r="I5778" t="s">
        <v>59</v>
      </c>
      <c r="AB5778" t="s">
        <v>86</v>
      </c>
      <c r="AC5778" t="s">
        <v>87</v>
      </c>
    </row>
    <row r="5779" spans="1:29" x14ac:dyDescent="0.35">
      <c r="A5779" s="7">
        <v>42961</v>
      </c>
      <c r="B5779" t="s">
        <v>30</v>
      </c>
      <c r="C5779">
        <v>401</v>
      </c>
      <c r="D5779">
        <v>8</v>
      </c>
      <c r="E5779">
        <v>1</v>
      </c>
      <c r="F5779" t="s">
        <v>1020</v>
      </c>
      <c r="G5779" t="s">
        <v>32</v>
      </c>
      <c r="H5779" t="s">
        <v>33</v>
      </c>
      <c r="I5779" t="s">
        <v>59</v>
      </c>
      <c r="AB5779" t="s">
        <v>86</v>
      </c>
      <c r="AC5779" t="s">
        <v>87</v>
      </c>
    </row>
    <row r="5780" spans="1:29" x14ac:dyDescent="0.35">
      <c r="A5780" s="7">
        <v>42961</v>
      </c>
      <c r="B5780" t="s">
        <v>30</v>
      </c>
      <c r="C5780">
        <v>401</v>
      </c>
      <c r="D5780">
        <v>8</v>
      </c>
      <c r="E5780">
        <v>2</v>
      </c>
      <c r="F5780" t="s">
        <v>1020</v>
      </c>
      <c r="G5780" t="s">
        <v>32</v>
      </c>
      <c r="H5780" t="s">
        <v>33</v>
      </c>
      <c r="I5780" t="s">
        <v>84</v>
      </c>
      <c r="AB5780" t="s">
        <v>86</v>
      </c>
      <c r="AC5780" t="s">
        <v>87</v>
      </c>
    </row>
    <row r="5781" spans="1:29" x14ac:dyDescent="0.35">
      <c r="A5781" s="7">
        <v>42961</v>
      </c>
      <c r="B5781" t="s">
        <v>30</v>
      </c>
      <c r="C5781">
        <v>401</v>
      </c>
      <c r="D5781">
        <v>9</v>
      </c>
      <c r="E5781">
        <v>1</v>
      </c>
      <c r="F5781" t="s">
        <v>1020</v>
      </c>
      <c r="G5781" t="s">
        <v>32</v>
      </c>
      <c r="H5781" t="s">
        <v>33</v>
      </c>
      <c r="I5781" t="s">
        <v>84</v>
      </c>
      <c r="AB5781" t="s">
        <v>86</v>
      </c>
      <c r="AC5781" t="s">
        <v>87</v>
      </c>
    </row>
    <row r="5782" spans="1:29" x14ac:dyDescent="0.35">
      <c r="A5782" s="7">
        <v>42961</v>
      </c>
      <c r="B5782" t="s">
        <v>30</v>
      </c>
      <c r="C5782">
        <v>401</v>
      </c>
      <c r="D5782">
        <v>9</v>
      </c>
      <c r="E5782">
        <v>2</v>
      </c>
      <c r="F5782" t="s">
        <v>1020</v>
      </c>
      <c r="G5782" t="s">
        <v>32</v>
      </c>
      <c r="H5782" t="s">
        <v>33</v>
      </c>
      <c r="I5782" t="s">
        <v>59</v>
      </c>
      <c r="AB5782" t="s">
        <v>86</v>
      </c>
      <c r="AC5782" t="s">
        <v>87</v>
      </c>
    </row>
    <row r="5783" spans="1:29" x14ac:dyDescent="0.35">
      <c r="A5783" s="7">
        <v>42961</v>
      </c>
      <c r="B5783" t="s">
        <v>30</v>
      </c>
      <c r="C5783">
        <v>401</v>
      </c>
      <c r="D5783">
        <v>10</v>
      </c>
      <c r="E5783">
        <v>1</v>
      </c>
      <c r="F5783" t="s">
        <v>1020</v>
      </c>
      <c r="G5783" t="s">
        <v>32</v>
      </c>
      <c r="H5783" t="s">
        <v>33</v>
      </c>
      <c r="I5783" t="s">
        <v>84</v>
      </c>
      <c r="AB5783" t="s">
        <v>86</v>
      </c>
      <c r="AC5783" t="s">
        <v>87</v>
      </c>
    </row>
    <row r="5784" spans="1:29" x14ac:dyDescent="0.35">
      <c r="A5784" s="7">
        <v>42961</v>
      </c>
      <c r="B5784" t="s">
        <v>30</v>
      </c>
      <c r="C5784">
        <v>401</v>
      </c>
      <c r="D5784">
        <v>10</v>
      </c>
      <c r="E5784">
        <v>2</v>
      </c>
      <c r="F5784" t="s">
        <v>1020</v>
      </c>
      <c r="G5784" t="s">
        <v>32</v>
      </c>
      <c r="H5784" t="s">
        <v>33</v>
      </c>
      <c r="I5784" t="s">
        <v>84</v>
      </c>
      <c r="AB5784" t="s">
        <v>86</v>
      </c>
      <c r="AC5784" t="s">
        <v>87</v>
      </c>
    </row>
    <row r="5785" spans="1:29" x14ac:dyDescent="0.35">
      <c r="A5785" s="7">
        <v>42961</v>
      </c>
      <c r="B5785" t="s">
        <v>30</v>
      </c>
      <c r="C5785">
        <v>501</v>
      </c>
      <c r="D5785">
        <v>1</v>
      </c>
      <c r="E5785">
        <v>1</v>
      </c>
      <c r="F5785" t="s">
        <v>1020</v>
      </c>
      <c r="G5785" t="s">
        <v>32</v>
      </c>
      <c r="H5785" t="s">
        <v>33</v>
      </c>
      <c r="I5785" t="s">
        <v>59</v>
      </c>
      <c r="AB5785" t="s">
        <v>86</v>
      </c>
      <c r="AC5785" t="s">
        <v>87</v>
      </c>
    </row>
    <row r="5786" spans="1:29" x14ac:dyDescent="0.35">
      <c r="A5786" s="7">
        <v>42961</v>
      </c>
      <c r="B5786" t="s">
        <v>30</v>
      </c>
      <c r="C5786">
        <v>501</v>
      </c>
      <c r="D5786">
        <v>1</v>
      </c>
      <c r="E5786">
        <v>2</v>
      </c>
      <c r="F5786" t="s">
        <v>1020</v>
      </c>
      <c r="G5786" t="s">
        <v>32</v>
      </c>
      <c r="H5786" t="s">
        <v>33</v>
      </c>
      <c r="I5786" t="s">
        <v>34</v>
      </c>
      <c r="J5786" t="s">
        <v>92</v>
      </c>
      <c r="K5786" t="s">
        <v>36</v>
      </c>
      <c r="L5786" t="s">
        <v>45</v>
      </c>
      <c r="R5786" t="s">
        <v>46</v>
      </c>
      <c r="S5786" t="s">
        <v>39</v>
      </c>
      <c r="AB5786" t="s">
        <v>86</v>
      </c>
      <c r="AC5786" t="s">
        <v>87</v>
      </c>
    </row>
    <row r="5787" spans="1:29" x14ac:dyDescent="0.35">
      <c r="A5787" s="7">
        <v>42961</v>
      </c>
      <c r="B5787" t="s">
        <v>30</v>
      </c>
      <c r="C5787">
        <v>501</v>
      </c>
      <c r="D5787">
        <v>2</v>
      </c>
      <c r="E5787">
        <v>1</v>
      </c>
      <c r="F5787" t="s">
        <v>1020</v>
      </c>
      <c r="G5787" t="s">
        <v>32</v>
      </c>
      <c r="H5787" t="s">
        <v>33</v>
      </c>
      <c r="I5787" t="s">
        <v>59</v>
      </c>
      <c r="AB5787" t="s">
        <v>86</v>
      </c>
      <c r="AC5787" t="s">
        <v>87</v>
      </c>
    </row>
    <row r="5788" spans="1:29" x14ac:dyDescent="0.35">
      <c r="A5788" s="7">
        <v>42961</v>
      </c>
      <c r="B5788" t="s">
        <v>30</v>
      </c>
      <c r="C5788">
        <v>501</v>
      </c>
      <c r="D5788">
        <v>2</v>
      </c>
      <c r="E5788">
        <v>2</v>
      </c>
      <c r="F5788" t="s">
        <v>1020</v>
      </c>
      <c r="G5788" t="s">
        <v>32</v>
      </c>
      <c r="H5788" t="s">
        <v>33</v>
      </c>
      <c r="I5788" t="s">
        <v>72</v>
      </c>
      <c r="J5788" t="s">
        <v>56</v>
      </c>
      <c r="AB5788" t="s">
        <v>86</v>
      </c>
      <c r="AC5788" t="s">
        <v>87</v>
      </c>
    </row>
    <row r="5789" spans="1:29" x14ac:dyDescent="0.35">
      <c r="A5789" s="7">
        <v>42961</v>
      </c>
      <c r="B5789" t="s">
        <v>30</v>
      </c>
      <c r="C5789">
        <v>501</v>
      </c>
      <c r="D5789">
        <v>3</v>
      </c>
      <c r="E5789">
        <v>1</v>
      </c>
      <c r="F5789" t="s">
        <v>1020</v>
      </c>
      <c r="G5789" t="s">
        <v>32</v>
      </c>
      <c r="H5789" t="s">
        <v>33</v>
      </c>
      <c r="I5789" t="s">
        <v>59</v>
      </c>
      <c r="AB5789" t="s">
        <v>86</v>
      </c>
      <c r="AC5789" t="s">
        <v>87</v>
      </c>
    </row>
    <row r="5790" spans="1:29" x14ac:dyDescent="0.35">
      <c r="A5790" s="7">
        <v>42961</v>
      </c>
      <c r="B5790" t="s">
        <v>30</v>
      </c>
      <c r="C5790">
        <v>501</v>
      </c>
      <c r="D5790">
        <v>3</v>
      </c>
      <c r="E5790">
        <v>2</v>
      </c>
      <c r="F5790" t="s">
        <v>1020</v>
      </c>
      <c r="G5790" t="s">
        <v>32</v>
      </c>
      <c r="H5790" t="s">
        <v>33</v>
      </c>
      <c r="I5790" t="s">
        <v>59</v>
      </c>
      <c r="AB5790" t="s">
        <v>86</v>
      </c>
      <c r="AC5790" t="s">
        <v>87</v>
      </c>
    </row>
    <row r="5791" spans="1:29" x14ac:dyDescent="0.35">
      <c r="A5791" s="7">
        <v>42961</v>
      </c>
      <c r="B5791" t="s">
        <v>30</v>
      </c>
      <c r="C5791">
        <v>501</v>
      </c>
      <c r="D5791">
        <v>5</v>
      </c>
      <c r="E5791">
        <v>1</v>
      </c>
      <c r="F5791" t="s">
        <v>1020</v>
      </c>
      <c r="G5791" t="s">
        <v>32</v>
      </c>
      <c r="H5791" t="s">
        <v>33</v>
      </c>
      <c r="I5791" t="s">
        <v>59</v>
      </c>
      <c r="AB5791" t="s">
        <v>86</v>
      </c>
      <c r="AC5791" t="s">
        <v>87</v>
      </c>
    </row>
    <row r="5792" spans="1:29" x14ac:dyDescent="0.35">
      <c r="A5792" s="7">
        <v>42961</v>
      </c>
      <c r="B5792" t="s">
        <v>30</v>
      </c>
      <c r="C5792">
        <v>501</v>
      </c>
      <c r="D5792">
        <v>6</v>
      </c>
      <c r="E5792">
        <v>1</v>
      </c>
      <c r="F5792" t="s">
        <v>1020</v>
      </c>
      <c r="G5792" t="s">
        <v>32</v>
      </c>
      <c r="H5792" t="s">
        <v>33</v>
      </c>
      <c r="I5792" t="s">
        <v>59</v>
      </c>
      <c r="AB5792" t="s">
        <v>86</v>
      </c>
      <c r="AC5792" t="s">
        <v>87</v>
      </c>
    </row>
    <row r="5793" spans="1:29" x14ac:dyDescent="0.35">
      <c r="A5793" s="7">
        <v>42961</v>
      </c>
      <c r="B5793" t="s">
        <v>30</v>
      </c>
      <c r="C5793">
        <v>501</v>
      </c>
      <c r="D5793">
        <v>6</v>
      </c>
      <c r="E5793">
        <v>2</v>
      </c>
      <c r="F5793" t="s">
        <v>1020</v>
      </c>
      <c r="G5793" t="s">
        <v>32</v>
      </c>
      <c r="H5793" t="s">
        <v>33</v>
      </c>
      <c r="I5793" t="s">
        <v>59</v>
      </c>
      <c r="AB5793" t="s">
        <v>86</v>
      </c>
      <c r="AC5793" t="s">
        <v>87</v>
      </c>
    </row>
    <row r="5794" spans="1:29" x14ac:dyDescent="0.35">
      <c r="A5794" s="7">
        <v>42961</v>
      </c>
      <c r="B5794" t="s">
        <v>30</v>
      </c>
      <c r="C5794">
        <v>501</v>
      </c>
      <c r="D5794">
        <v>7</v>
      </c>
      <c r="E5794">
        <v>1</v>
      </c>
      <c r="F5794" t="s">
        <v>1020</v>
      </c>
      <c r="G5794" t="s">
        <v>32</v>
      </c>
      <c r="H5794" t="s">
        <v>33</v>
      </c>
      <c r="I5794" t="s">
        <v>59</v>
      </c>
      <c r="AB5794" t="s">
        <v>86</v>
      </c>
      <c r="AC5794" t="s">
        <v>87</v>
      </c>
    </row>
    <row r="5795" spans="1:29" x14ac:dyDescent="0.35">
      <c r="A5795" s="7">
        <v>42961</v>
      </c>
      <c r="B5795" t="s">
        <v>30</v>
      </c>
      <c r="C5795">
        <v>501</v>
      </c>
      <c r="D5795">
        <v>7</v>
      </c>
      <c r="E5795">
        <v>2</v>
      </c>
      <c r="F5795" t="s">
        <v>1020</v>
      </c>
      <c r="G5795" t="s">
        <v>32</v>
      </c>
      <c r="H5795" t="s">
        <v>33</v>
      </c>
      <c r="I5795" t="s">
        <v>59</v>
      </c>
      <c r="AB5795" t="s">
        <v>86</v>
      </c>
      <c r="AC5795" t="s">
        <v>87</v>
      </c>
    </row>
    <row r="5796" spans="1:29" x14ac:dyDescent="0.35">
      <c r="A5796" s="7">
        <v>42961</v>
      </c>
      <c r="B5796" t="s">
        <v>30</v>
      </c>
      <c r="C5796">
        <v>501</v>
      </c>
      <c r="D5796">
        <v>8</v>
      </c>
      <c r="E5796">
        <v>1</v>
      </c>
      <c r="F5796" t="s">
        <v>1020</v>
      </c>
      <c r="G5796" t="s">
        <v>32</v>
      </c>
      <c r="H5796" t="s">
        <v>33</v>
      </c>
      <c r="I5796" t="s">
        <v>1029</v>
      </c>
      <c r="J5796" t="s">
        <v>66</v>
      </c>
      <c r="AB5796" t="s">
        <v>86</v>
      </c>
      <c r="AC5796" t="s">
        <v>87</v>
      </c>
    </row>
    <row r="5797" spans="1:29" x14ac:dyDescent="0.35">
      <c r="A5797" s="7">
        <v>42961</v>
      </c>
      <c r="B5797" t="s">
        <v>30</v>
      </c>
      <c r="C5797">
        <v>501</v>
      </c>
      <c r="D5797">
        <v>9</v>
      </c>
      <c r="E5797">
        <v>1</v>
      </c>
      <c r="F5797" t="s">
        <v>1020</v>
      </c>
      <c r="G5797" t="s">
        <v>32</v>
      </c>
      <c r="H5797" t="s">
        <v>33</v>
      </c>
      <c r="I5797" t="s">
        <v>72</v>
      </c>
      <c r="J5797" t="s">
        <v>56</v>
      </c>
      <c r="AB5797" t="s">
        <v>86</v>
      </c>
      <c r="AC5797" t="s">
        <v>87</v>
      </c>
    </row>
    <row r="5798" spans="1:29" x14ac:dyDescent="0.35">
      <c r="A5798" s="7">
        <v>42961</v>
      </c>
      <c r="B5798" t="s">
        <v>30</v>
      </c>
      <c r="C5798">
        <v>501</v>
      </c>
      <c r="D5798">
        <v>10</v>
      </c>
      <c r="E5798">
        <v>1</v>
      </c>
      <c r="F5798" t="s">
        <v>1020</v>
      </c>
      <c r="G5798" t="s">
        <v>32</v>
      </c>
      <c r="H5798" t="s">
        <v>33</v>
      </c>
      <c r="I5798" t="s">
        <v>59</v>
      </c>
      <c r="AB5798" t="s">
        <v>86</v>
      </c>
      <c r="AC5798" t="s">
        <v>87</v>
      </c>
    </row>
    <row r="5799" spans="1:29" x14ac:dyDescent="0.35">
      <c r="A5799" s="7">
        <v>42961</v>
      </c>
      <c r="B5799" t="s">
        <v>30</v>
      </c>
      <c r="C5799">
        <v>501</v>
      </c>
      <c r="D5799">
        <v>10</v>
      </c>
      <c r="E5799">
        <v>2</v>
      </c>
      <c r="F5799" t="s">
        <v>1020</v>
      </c>
      <c r="G5799" t="s">
        <v>32</v>
      </c>
      <c r="H5799" t="s">
        <v>33</v>
      </c>
      <c r="I5799" t="s">
        <v>59</v>
      </c>
      <c r="AB5799" t="s">
        <v>86</v>
      </c>
      <c r="AC5799" t="s">
        <v>87</v>
      </c>
    </row>
    <row r="5800" spans="1:29" x14ac:dyDescent="0.35">
      <c r="A5800" s="7">
        <v>42961</v>
      </c>
      <c r="B5800" t="s">
        <v>30</v>
      </c>
      <c r="C5800">
        <v>503</v>
      </c>
      <c r="D5800">
        <v>1</v>
      </c>
      <c r="E5800">
        <v>1</v>
      </c>
      <c r="F5800" t="s">
        <v>1020</v>
      </c>
      <c r="G5800" t="s">
        <v>32</v>
      </c>
      <c r="H5800" t="s">
        <v>33</v>
      </c>
      <c r="I5800" t="s">
        <v>43</v>
      </c>
      <c r="J5800" t="s">
        <v>44</v>
      </c>
      <c r="K5800" t="s">
        <v>36</v>
      </c>
      <c r="L5800" t="s">
        <v>45</v>
      </c>
      <c r="M5800">
        <v>0</v>
      </c>
      <c r="N5800">
        <v>0</v>
      </c>
      <c r="O5800">
        <v>39314</v>
      </c>
      <c r="P5800">
        <v>39315</v>
      </c>
      <c r="Q5800">
        <f>34-14</f>
        <v>20</v>
      </c>
      <c r="R5800" t="s">
        <v>1021</v>
      </c>
      <c r="S5800" t="s">
        <v>102</v>
      </c>
      <c r="AB5800" t="s">
        <v>86</v>
      </c>
      <c r="AC5800" t="s">
        <v>87</v>
      </c>
    </row>
    <row r="5801" spans="1:29" x14ac:dyDescent="0.35">
      <c r="A5801" s="7">
        <v>42961</v>
      </c>
      <c r="B5801" t="s">
        <v>30</v>
      </c>
      <c r="C5801">
        <v>503</v>
      </c>
      <c r="D5801">
        <v>2</v>
      </c>
      <c r="E5801">
        <v>1</v>
      </c>
      <c r="F5801" t="s">
        <v>1020</v>
      </c>
      <c r="G5801" t="s">
        <v>32</v>
      </c>
      <c r="H5801" t="s">
        <v>33</v>
      </c>
      <c r="I5801" t="s">
        <v>59</v>
      </c>
      <c r="AB5801" t="s">
        <v>86</v>
      </c>
      <c r="AC5801" t="s">
        <v>87</v>
      </c>
    </row>
    <row r="5802" spans="1:29" x14ac:dyDescent="0.35">
      <c r="A5802" s="7">
        <v>42961</v>
      </c>
      <c r="B5802" t="s">
        <v>30</v>
      </c>
      <c r="C5802">
        <v>503</v>
      </c>
      <c r="D5802">
        <v>2</v>
      </c>
      <c r="E5802">
        <v>2</v>
      </c>
      <c r="F5802" t="s">
        <v>1020</v>
      </c>
      <c r="G5802" t="s">
        <v>32</v>
      </c>
      <c r="H5802" t="s">
        <v>33</v>
      </c>
      <c r="I5802" t="s">
        <v>72</v>
      </c>
      <c r="J5802" t="s">
        <v>56</v>
      </c>
      <c r="AB5802" t="s">
        <v>86</v>
      </c>
      <c r="AC5802" t="s">
        <v>87</v>
      </c>
    </row>
    <row r="5803" spans="1:29" x14ac:dyDescent="0.35">
      <c r="A5803" s="7">
        <v>42961</v>
      </c>
      <c r="B5803" t="s">
        <v>30</v>
      </c>
      <c r="C5803">
        <v>503</v>
      </c>
      <c r="D5803">
        <v>4</v>
      </c>
      <c r="E5803">
        <v>1</v>
      </c>
      <c r="F5803" t="s">
        <v>1020</v>
      </c>
      <c r="G5803" t="s">
        <v>32</v>
      </c>
      <c r="H5803" t="s">
        <v>33</v>
      </c>
      <c r="I5803" t="s">
        <v>94</v>
      </c>
      <c r="J5803" t="s">
        <v>44</v>
      </c>
      <c r="K5803" t="s">
        <v>36</v>
      </c>
      <c r="L5803" t="s">
        <v>45</v>
      </c>
      <c r="M5803">
        <v>0</v>
      </c>
      <c r="N5803">
        <v>0</v>
      </c>
      <c r="O5803">
        <v>39320</v>
      </c>
      <c r="Q5803">
        <f>35-14</f>
        <v>21</v>
      </c>
      <c r="R5803" t="s">
        <v>79</v>
      </c>
      <c r="S5803" t="s">
        <v>39</v>
      </c>
      <c r="AB5803" t="s">
        <v>86</v>
      </c>
      <c r="AC5803" t="s">
        <v>87</v>
      </c>
    </row>
    <row r="5804" spans="1:29" x14ac:dyDescent="0.35">
      <c r="A5804" s="7">
        <v>42961</v>
      </c>
      <c r="B5804" t="s">
        <v>30</v>
      </c>
      <c r="C5804">
        <v>503</v>
      </c>
      <c r="D5804">
        <v>5</v>
      </c>
      <c r="E5804">
        <v>1</v>
      </c>
      <c r="F5804" t="s">
        <v>1020</v>
      </c>
      <c r="G5804" t="s">
        <v>32</v>
      </c>
      <c r="H5804" t="s">
        <v>33</v>
      </c>
      <c r="I5804" t="s">
        <v>1029</v>
      </c>
      <c r="J5804" t="s">
        <v>66</v>
      </c>
      <c r="AB5804" t="s">
        <v>86</v>
      </c>
      <c r="AC5804" t="s">
        <v>87</v>
      </c>
    </row>
    <row r="5805" spans="1:29" x14ac:dyDescent="0.35">
      <c r="A5805" s="7">
        <v>42961</v>
      </c>
      <c r="B5805" t="s">
        <v>30</v>
      </c>
      <c r="C5805">
        <v>503</v>
      </c>
      <c r="D5805">
        <v>6</v>
      </c>
      <c r="E5805">
        <v>1</v>
      </c>
      <c r="F5805" t="s">
        <v>1020</v>
      </c>
      <c r="G5805" t="s">
        <v>32</v>
      </c>
      <c r="H5805" t="s">
        <v>33</v>
      </c>
      <c r="I5805" t="s">
        <v>59</v>
      </c>
      <c r="AB5805" t="s">
        <v>86</v>
      </c>
      <c r="AC5805" t="s">
        <v>87</v>
      </c>
    </row>
    <row r="5806" spans="1:29" x14ac:dyDescent="0.35">
      <c r="A5806" s="7">
        <v>42961</v>
      </c>
      <c r="B5806" t="s">
        <v>30</v>
      </c>
      <c r="C5806">
        <v>503</v>
      </c>
      <c r="D5806">
        <v>6</v>
      </c>
      <c r="E5806">
        <v>2</v>
      </c>
      <c r="F5806" t="s">
        <v>1020</v>
      </c>
      <c r="G5806" t="s">
        <v>32</v>
      </c>
      <c r="H5806" t="s">
        <v>33</v>
      </c>
      <c r="I5806" t="s">
        <v>59</v>
      </c>
      <c r="AB5806" t="s">
        <v>86</v>
      </c>
      <c r="AC5806" t="s">
        <v>87</v>
      </c>
    </row>
    <row r="5807" spans="1:29" x14ac:dyDescent="0.35">
      <c r="A5807" s="7">
        <v>42961</v>
      </c>
      <c r="B5807" t="s">
        <v>30</v>
      </c>
      <c r="C5807">
        <v>503</v>
      </c>
      <c r="D5807">
        <v>7</v>
      </c>
      <c r="E5807">
        <v>1</v>
      </c>
      <c r="F5807" t="s">
        <v>1020</v>
      </c>
      <c r="G5807" t="s">
        <v>32</v>
      </c>
      <c r="H5807" t="s">
        <v>33</v>
      </c>
      <c r="I5807" t="s">
        <v>59</v>
      </c>
      <c r="AB5807" t="s">
        <v>86</v>
      </c>
      <c r="AC5807" t="s">
        <v>87</v>
      </c>
    </row>
    <row r="5808" spans="1:29" x14ac:dyDescent="0.35">
      <c r="A5808" s="7">
        <v>42961</v>
      </c>
      <c r="B5808" t="s">
        <v>30</v>
      </c>
      <c r="C5808">
        <v>503</v>
      </c>
      <c r="D5808">
        <v>7</v>
      </c>
      <c r="E5808">
        <v>2</v>
      </c>
      <c r="F5808" t="s">
        <v>1020</v>
      </c>
      <c r="G5808" t="s">
        <v>32</v>
      </c>
      <c r="H5808" t="s">
        <v>33</v>
      </c>
      <c r="I5808" t="s">
        <v>72</v>
      </c>
      <c r="J5808" t="s">
        <v>56</v>
      </c>
      <c r="AB5808" t="s">
        <v>86</v>
      </c>
      <c r="AC5808" t="s">
        <v>87</v>
      </c>
    </row>
    <row r="5809" spans="1:30" x14ac:dyDescent="0.35">
      <c r="A5809" s="7">
        <v>42961</v>
      </c>
      <c r="B5809" t="s">
        <v>30</v>
      </c>
      <c r="C5809">
        <v>503</v>
      </c>
      <c r="D5809">
        <v>8</v>
      </c>
      <c r="E5809">
        <v>1</v>
      </c>
      <c r="F5809" t="s">
        <v>1020</v>
      </c>
      <c r="G5809" t="s">
        <v>32</v>
      </c>
      <c r="H5809" t="s">
        <v>33</v>
      </c>
      <c r="I5809" t="s">
        <v>59</v>
      </c>
      <c r="AB5809" t="s">
        <v>86</v>
      </c>
      <c r="AC5809" t="s">
        <v>87</v>
      </c>
    </row>
    <row r="5810" spans="1:30" x14ac:dyDescent="0.35">
      <c r="A5810" s="7">
        <v>42961</v>
      </c>
      <c r="B5810" t="s">
        <v>30</v>
      </c>
      <c r="C5810">
        <v>503</v>
      </c>
      <c r="D5810">
        <v>8</v>
      </c>
      <c r="E5810">
        <v>2</v>
      </c>
      <c r="F5810" t="s">
        <v>1020</v>
      </c>
      <c r="G5810" t="s">
        <v>32</v>
      </c>
      <c r="H5810" t="s">
        <v>33</v>
      </c>
      <c r="I5810" t="s">
        <v>59</v>
      </c>
      <c r="AB5810" t="s">
        <v>86</v>
      </c>
      <c r="AC5810" t="s">
        <v>87</v>
      </c>
    </row>
    <row r="5811" spans="1:30" x14ac:dyDescent="0.35">
      <c r="A5811" s="7">
        <v>42961</v>
      </c>
      <c r="B5811" t="s">
        <v>30</v>
      </c>
      <c r="C5811">
        <v>701</v>
      </c>
      <c r="D5811">
        <v>1</v>
      </c>
      <c r="E5811">
        <v>1</v>
      </c>
      <c r="F5811" t="s">
        <v>315</v>
      </c>
      <c r="G5811" t="s">
        <v>32</v>
      </c>
      <c r="H5811" t="s">
        <v>33</v>
      </c>
      <c r="I5811" t="s">
        <v>59</v>
      </c>
      <c r="AB5811" t="s">
        <v>60</v>
      </c>
      <c r="AC5811" t="s">
        <v>41</v>
      </c>
    </row>
    <row r="5812" spans="1:30" x14ac:dyDescent="0.35">
      <c r="A5812" s="7">
        <v>42961</v>
      </c>
      <c r="B5812" t="s">
        <v>30</v>
      </c>
      <c r="C5812">
        <v>701</v>
      </c>
      <c r="D5812">
        <v>1</v>
      </c>
      <c r="E5812">
        <v>2</v>
      </c>
      <c r="F5812" t="s">
        <v>315</v>
      </c>
      <c r="G5812" t="s">
        <v>32</v>
      </c>
      <c r="H5812" t="s">
        <v>33</v>
      </c>
      <c r="I5812" t="s">
        <v>59</v>
      </c>
      <c r="AB5812" t="s">
        <v>60</v>
      </c>
      <c r="AC5812" t="s">
        <v>41</v>
      </c>
    </row>
    <row r="5813" spans="1:30" x14ac:dyDescent="0.35">
      <c r="A5813" s="7">
        <v>42961</v>
      </c>
      <c r="B5813" t="s">
        <v>30</v>
      </c>
      <c r="C5813">
        <v>701</v>
      </c>
      <c r="D5813">
        <v>2</v>
      </c>
      <c r="E5813">
        <v>1</v>
      </c>
      <c r="F5813" t="s">
        <v>315</v>
      </c>
      <c r="G5813" t="s">
        <v>32</v>
      </c>
      <c r="H5813" t="s">
        <v>33</v>
      </c>
      <c r="I5813" t="s">
        <v>59</v>
      </c>
      <c r="AB5813" t="s">
        <v>60</v>
      </c>
      <c r="AC5813" t="s">
        <v>41</v>
      </c>
    </row>
    <row r="5814" spans="1:30" x14ac:dyDescent="0.35">
      <c r="A5814" s="7">
        <v>42961</v>
      </c>
      <c r="B5814" t="s">
        <v>30</v>
      </c>
      <c r="C5814">
        <v>701</v>
      </c>
      <c r="D5814">
        <v>2</v>
      </c>
      <c r="E5814">
        <v>2</v>
      </c>
      <c r="F5814" t="s">
        <v>315</v>
      </c>
      <c r="G5814" t="s">
        <v>32</v>
      </c>
      <c r="H5814" t="s">
        <v>33</v>
      </c>
      <c r="I5814" t="s">
        <v>94</v>
      </c>
      <c r="J5814" t="s">
        <v>44</v>
      </c>
      <c r="K5814" t="s">
        <v>36</v>
      </c>
      <c r="L5814" t="s">
        <v>45</v>
      </c>
      <c r="M5814">
        <v>0</v>
      </c>
      <c r="N5814">
        <v>0</v>
      </c>
      <c r="O5814">
        <v>2946</v>
      </c>
      <c r="Q5814">
        <f>38-15.5</f>
        <v>22.5</v>
      </c>
      <c r="R5814" t="s">
        <v>1021</v>
      </c>
      <c r="S5814" t="s">
        <v>102</v>
      </c>
      <c r="Z5814" t="s">
        <v>102</v>
      </c>
      <c r="AB5814" t="s">
        <v>60</v>
      </c>
      <c r="AC5814" t="s">
        <v>41</v>
      </c>
      <c r="AD5814" t="s">
        <v>1111</v>
      </c>
    </row>
    <row r="5815" spans="1:30" x14ac:dyDescent="0.35">
      <c r="A5815" s="7">
        <v>42961</v>
      </c>
      <c r="B5815" t="s">
        <v>30</v>
      </c>
      <c r="C5815">
        <v>701</v>
      </c>
      <c r="D5815">
        <v>3</v>
      </c>
      <c r="E5815">
        <v>1</v>
      </c>
      <c r="F5815" t="s">
        <v>315</v>
      </c>
      <c r="G5815" t="s">
        <v>32</v>
      </c>
      <c r="H5815" t="s">
        <v>33</v>
      </c>
      <c r="I5815" t="s">
        <v>43</v>
      </c>
      <c r="J5815" t="s">
        <v>44</v>
      </c>
      <c r="K5815" t="s">
        <v>36</v>
      </c>
      <c r="L5815" t="s">
        <v>37</v>
      </c>
      <c r="M5815">
        <v>0</v>
      </c>
      <c r="N5815">
        <v>0</v>
      </c>
      <c r="O5815">
        <v>39741</v>
      </c>
      <c r="P5815">
        <v>39740</v>
      </c>
      <c r="Q5815">
        <f>36-14</f>
        <v>22</v>
      </c>
      <c r="R5815" t="s">
        <v>64</v>
      </c>
      <c r="Z5815" t="s">
        <v>102</v>
      </c>
      <c r="AB5815" t="s">
        <v>60</v>
      </c>
      <c r="AC5815" t="s">
        <v>41</v>
      </c>
    </row>
    <row r="5816" spans="1:30" x14ac:dyDescent="0.35">
      <c r="A5816" s="7">
        <v>42961</v>
      </c>
      <c r="B5816" t="s">
        <v>30</v>
      </c>
      <c r="C5816">
        <v>701</v>
      </c>
      <c r="D5816">
        <v>3</v>
      </c>
      <c r="E5816">
        <v>2</v>
      </c>
      <c r="F5816" t="s">
        <v>315</v>
      </c>
      <c r="G5816" t="s">
        <v>32</v>
      </c>
      <c r="H5816" t="s">
        <v>33</v>
      </c>
      <c r="I5816" t="s">
        <v>59</v>
      </c>
      <c r="AB5816" t="s">
        <v>60</v>
      </c>
      <c r="AC5816" t="s">
        <v>41</v>
      </c>
    </row>
    <row r="5817" spans="1:30" x14ac:dyDescent="0.35">
      <c r="A5817" s="7">
        <v>42961</v>
      </c>
      <c r="B5817" t="s">
        <v>30</v>
      </c>
      <c r="C5817">
        <v>701</v>
      </c>
      <c r="D5817">
        <v>4</v>
      </c>
      <c r="E5817">
        <v>1</v>
      </c>
      <c r="F5817" t="s">
        <v>315</v>
      </c>
      <c r="G5817" t="s">
        <v>32</v>
      </c>
      <c r="H5817" t="s">
        <v>33</v>
      </c>
      <c r="I5817" t="s">
        <v>58</v>
      </c>
      <c r="J5817" t="s">
        <v>35</v>
      </c>
      <c r="K5817" t="s">
        <v>36</v>
      </c>
      <c r="L5817" t="s">
        <v>45</v>
      </c>
      <c r="M5817">
        <v>0</v>
      </c>
      <c r="N5817">
        <v>1</v>
      </c>
      <c r="P5817">
        <v>39880</v>
      </c>
      <c r="Q5817">
        <f>35.5-14</f>
        <v>21.5</v>
      </c>
      <c r="R5817" t="s">
        <v>1021</v>
      </c>
      <c r="S5817" t="s">
        <v>102</v>
      </c>
      <c r="Z5817" t="s">
        <v>102</v>
      </c>
      <c r="AA5817" t="s">
        <v>1112</v>
      </c>
      <c r="AB5817" t="s">
        <v>60</v>
      </c>
      <c r="AC5817" t="s">
        <v>41</v>
      </c>
      <c r="AD5817" t="s">
        <v>1113</v>
      </c>
    </row>
    <row r="5818" spans="1:30" x14ac:dyDescent="0.35">
      <c r="A5818" s="7">
        <v>42961</v>
      </c>
      <c r="B5818" t="s">
        <v>30</v>
      </c>
      <c r="C5818">
        <v>701</v>
      </c>
      <c r="D5818">
        <v>5</v>
      </c>
      <c r="E5818">
        <v>1</v>
      </c>
      <c r="F5818" t="s">
        <v>315</v>
      </c>
      <c r="G5818" t="s">
        <v>32</v>
      </c>
      <c r="H5818" t="s">
        <v>33</v>
      </c>
      <c r="I5818" t="s">
        <v>59</v>
      </c>
      <c r="AB5818" t="s">
        <v>60</v>
      </c>
      <c r="AC5818" t="s">
        <v>41</v>
      </c>
    </row>
    <row r="5819" spans="1:30" x14ac:dyDescent="0.35">
      <c r="A5819" s="7">
        <v>42961</v>
      </c>
      <c r="B5819" t="s">
        <v>30</v>
      </c>
      <c r="C5819">
        <v>701</v>
      </c>
      <c r="D5819">
        <v>5</v>
      </c>
      <c r="E5819">
        <v>2</v>
      </c>
      <c r="F5819" t="s">
        <v>315</v>
      </c>
      <c r="G5819" t="s">
        <v>32</v>
      </c>
      <c r="H5819" t="s">
        <v>33</v>
      </c>
      <c r="I5819" t="s">
        <v>59</v>
      </c>
      <c r="AB5819" t="s">
        <v>60</v>
      </c>
      <c r="AC5819" t="s">
        <v>41</v>
      </c>
    </row>
    <row r="5820" spans="1:30" x14ac:dyDescent="0.35">
      <c r="A5820" s="7">
        <v>42961</v>
      </c>
      <c r="B5820" t="s">
        <v>30</v>
      </c>
      <c r="C5820">
        <v>701</v>
      </c>
      <c r="D5820">
        <v>6</v>
      </c>
      <c r="E5820">
        <v>1</v>
      </c>
      <c r="F5820" t="s">
        <v>315</v>
      </c>
      <c r="G5820" t="s">
        <v>32</v>
      </c>
      <c r="H5820" t="s">
        <v>33</v>
      </c>
      <c r="I5820" t="s">
        <v>59</v>
      </c>
      <c r="AB5820" t="s">
        <v>60</v>
      </c>
      <c r="AC5820" t="s">
        <v>41</v>
      </c>
    </row>
    <row r="5821" spans="1:30" x14ac:dyDescent="0.35">
      <c r="A5821" s="7">
        <v>42961</v>
      </c>
      <c r="B5821" t="s">
        <v>30</v>
      </c>
      <c r="C5821">
        <v>701</v>
      </c>
      <c r="D5821">
        <v>8</v>
      </c>
      <c r="E5821">
        <v>1</v>
      </c>
      <c r="F5821" t="s">
        <v>315</v>
      </c>
      <c r="G5821" t="s">
        <v>32</v>
      </c>
      <c r="H5821" t="s">
        <v>33</v>
      </c>
      <c r="I5821" t="s">
        <v>59</v>
      </c>
      <c r="AB5821" t="s">
        <v>60</v>
      </c>
      <c r="AC5821" t="s">
        <v>41</v>
      </c>
    </row>
    <row r="5822" spans="1:30" x14ac:dyDescent="0.35">
      <c r="A5822" s="7">
        <v>42961</v>
      </c>
      <c r="B5822" t="s">
        <v>30</v>
      </c>
      <c r="C5822">
        <v>701</v>
      </c>
      <c r="D5822">
        <v>9</v>
      </c>
      <c r="E5822">
        <v>1</v>
      </c>
      <c r="F5822" t="s">
        <v>315</v>
      </c>
      <c r="G5822" t="s">
        <v>32</v>
      </c>
      <c r="H5822" t="s">
        <v>33</v>
      </c>
      <c r="I5822" t="s">
        <v>59</v>
      </c>
      <c r="AB5822" t="s">
        <v>60</v>
      </c>
      <c r="AC5822" t="s">
        <v>41</v>
      </c>
    </row>
    <row r="5823" spans="1:30" x14ac:dyDescent="0.35">
      <c r="A5823" s="7">
        <v>42961</v>
      </c>
      <c r="B5823" t="s">
        <v>30</v>
      </c>
      <c r="C5823">
        <v>701</v>
      </c>
      <c r="D5823">
        <v>9</v>
      </c>
      <c r="E5823">
        <v>2</v>
      </c>
      <c r="F5823" t="s">
        <v>315</v>
      </c>
      <c r="G5823" t="s">
        <v>32</v>
      </c>
      <c r="H5823" t="s">
        <v>33</v>
      </c>
      <c r="I5823" t="s">
        <v>59</v>
      </c>
      <c r="AB5823" t="s">
        <v>60</v>
      </c>
      <c r="AC5823" t="s">
        <v>41</v>
      </c>
    </row>
    <row r="5824" spans="1:30" x14ac:dyDescent="0.35">
      <c r="A5824" s="7">
        <v>42961</v>
      </c>
      <c r="B5824" t="s">
        <v>30</v>
      </c>
      <c r="C5824">
        <v>701</v>
      </c>
      <c r="D5824">
        <v>10</v>
      </c>
      <c r="E5824">
        <v>1</v>
      </c>
      <c r="F5824" t="s">
        <v>315</v>
      </c>
      <c r="G5824" t="s">
        <v>32</v>
      </c>
      <c r="H5824" t="s">
        <v>33</v>
      </c>
      <c r="I5824" t="s">
        <v>59</v>
      </c>
      <c r="AB5824" t="s">
        <v>60</v>
      </c>
      <c r="AC5824" t="s">
        <v>41</v>
      </c>
    </row>
    <row r="5825" spans="1:30" x14ac:dyDescent="0.35">
      <c r="A5825" s="7">
        <v>42961</v>
      </c>
      <c r="B5825" t="s">
        <v>30</v>
      </c>
      <c r="C5825">
        <v>701</v>
      </c>
      <c r="D5825">
        <v>10</v>
      </c>
      <c r="E5825">
        <v>2</v>
      </c>
      <c r="F5825" t="s">
        <v>315</v>
      </c>
      <c r="G5825" t="s">
        <v>32</v>
      </c>
      <c r="H5825" t="s">
        <v>33</v>
      </c>
      <c r="I5825" t="s">
        <v>59</v>
      </c>
      <c r="AB5825" t="s">
        <v>60</v>
      </c>
      <c r="AC5825" t="s">
        <v>41</v>
      </c>
    </row>
    <row r="5826" spans="1:30" x14ac:dyDescent="0.35">
      <c r="A5826" s="7">
        <v>42961</v>
      </c>
      <c r="B5826" t="s">
        <v>30</v>
      </c>
      <c r="C5826">
        <v>703</v>
      </c>
      <c r="D5826">
        <v>1</v>
      </c>
      <c r="E5826">
        <v>1</v>
      </c>
      <c r="F5826" t="s">
        <v>315</v>
      </c>
      <c r="G5826" t="s">
        <v>32</v>
      </c>
      <c r="H5826" t="s">
        <v>33</v>
      </c>
      <c r="I5826" t="s">
        <v>1029</v>
      </c>
      <c r="J5826" t="s">
        <v>66</v>
      </c>
      <c r="AB5826" t="s">
        <v>60</v>
      </c>
      <c r="AC5826" t="s">
        <v>41</v>
      </c>
    </row>
    <row r="5827" spans="1:30" x14ac:dyDescent="0.35">
      <c r="A5827" s="7">
        <v>42961</v>
      </c>
      <c r="B5827" t="s">
        <v>30</v>
      </c>
      <c r="C5827">
        <v>703</v>
      </c>
      <c r="D5827">
        <v>1</v>
      </c>
      <c r="E5827">
        <v>2</v>
      </c>
      <c r="F5827" t="s">
        <v>315</v>
      </c>
      <c r="G5827" t="s">
        <v>32</v>
      </c>
      <c r="H5827" t="s">
        <v>33</v>
      </c>
      <c r="I5827" t="s">
        <v>59</v>
      </c>
      <c r="AB5827" t="s">
        <v>60</v>
      </c>
      <c r="AC5827" t="s">
        <v>41</v>
      </c>
    </row>
    <row r="5828" spans="1:30" x14ac:dyDescent="0.35">
      <c r="A5828" s="7">
        <v>42961</v>
      </c>
      <c r="B5828" t="s">
        <v>30</v>
      </c>
      <c r="C5828">
        <v>703</v>
      </c>
      <c r="D5828">
        <v>2</v>
      </c>
      <c r="E5828">
        <v>1</v>
      </c>
      <c r="F5828" t="s">
        <v>315</v>
      </c>
      <c r="G5828" t="s">
        <v>32</v>
      </c>
      <c r="H5828" t="s">
        <v>33</v>
      </c>
      <c r="I5828" t="s">
        <v>59</v>
      </c>
      <c r="AB5828" t="s">
        <v>60</v>
      </c>
      <c r="AC5828" t="s">
        <v>41</v>
      </c>
    </row>
    <row r="5829" spans="1:30" x14ac:dyDescent="0.35">
      <c r="A5829" s="7">
        <v>42961</v>
      </c>
      <c r="B5829" t="s">
        <v>30</v>
      </c>
      <c r="C5829">
        <v>703</v>
      </c>
      <c r="D5829">
        <v>2</v>
      </c>
      <c r="E5829">
        <v>2</v>
      </c>
      <c r="F5829" t="s">
        <v>315</v>
      </c>
      <c r="G5829" t="s">
        <v>32</v>
      </c>
      <c r="H5829" t="s">
        <v>33</v>
      </c>
      <c r="I5829" t="s">
        <v>59</v>
      </c>
      <c r="AB5829" t="s">
        <v>60</v>
      </c>
      <c r="AC5829" t="s">
        <v>41</v>
      </c>
    </row>
    <row r="5830" spans="1:30" x14ac:dyDescent="0.35">
      <c r="A5830" s="7">
        <v>42961</v>
      </c>
      <c r="B5830" t="s">
        <v>30</v>
      </c>
      <c r="C5830">
        <v>703</v>
      </c>
      <c r="D5830">
        <v>3</v>
      </c>
      <c r="E5830">
        <v>1</v>
      </c>
      <c r="F5830" t="s">
        <v>315</v>
      </c>
      <c r="G5830" t="s">
        <v>32</v>
      </c>
      <c r="H5830" t="s">
        <v>33</v>
      </c>
      <c r="I5830" t="s">
        <v>43</v>
      </c>
      <c r="J5830" t="s">
        <v>44</v>
      </c>
      <c r="K5830" t="s">
        <v>36</v>
      </c>
      <c r="L5830" t="s">
        <v>45</v>
      </c>
      <c r="M5830">
        <v>0</v>
      </c>
      <c r="N5830">
        <v>0</v>
      </c>
      <c r="O5830">
        <v>39771</v>
      </c>
      <c r="P5830">
        <v>39770</v>
      </c>
      <c r="Q5830">
        <f>32-13</f>
        <v>19</v>
      </c>
      <c r="R5830" t="s">
        <v>1021</v>
      </c>
      <c r="S5830" t="s">
        <v>102</v>
      </c>
      <c r="Y5830" t="s">
        <v>1114</v>
      </c>
      <c r="Z5830" t="s">
        <v>102</v>
      </c>
      <c r="AB5830" t="s">
        <v>60</v>
      </c>
      <c r="AC5830" t="s">
        <v>41</v>
      </c>
    </row>
    <row r="5831" spans="1:30" x14ac:dyDescent="0.35">
      <c r="A5831" s="7">
        <v>42961</v>
      </c>
      <c r="B5831" t="s">
        <v>30</v>
      </c>
      <c r="C5831">
        <v>703</v>
      </c>
      <c r="D5831">
        <v>4</v>
      </c>
      <c r="E5831">
        <v>1</v>
      </c>
      <c r="F5831" t="s">
        <v>315</v>
      </c>
      <c r="G5831" t="s">
        <v>32</v>
      </c>
      <c r="H5831" t="s">
        <v>33</v>
      </c>
      <c r="I5831" t="s">
        <v>43</v>
      </c>
      <c r="J5831" t="s">
        <v>44</v>
      </c>
      <c r="K5831" t="s">
        <v>36</v>
      </c>
      <c r="L5831" t="s">
        <v>37</v>
      </c>
      <c r="M5831">
        <v>0</v>
      </c>
      <c r="N5831">
        <v>0</v>
      </c>
      <c r="O5831">
        <v>39352</v>
      </c>
      <c r="P5831">
        <v>39401</v>
      </c>
      <c r="Q5831">
        <f>33-13.5</f>
        <v>19.5</v>
      </c>
      <c r="R5831" t="s">
        <v>38</v>
      </c>
      <c r="Z5831" t="s">
        <v>102</v>
      </c>
      <c r="AB5831" t="s">
        <v>60</v>
      </c>
      <c r="AC5831" t="s">
        <v>41</v>
      </c>
    </row>
    <row r="5832" spans="1:30" x14ac:dyDescent="0.35">
      <c r="A5832" s="7">
        <v>42961</v>
      </c>
      <c r="B5832" t="s">
        <v>30</v>
      </c>
      <c r="C5832">
        <v>703</v>
      </c>
      <c r="D5832">
        <v>4</v>
      </c>
      <c r="E5832">
        <v>2</v>
      </c>
      <c r="F5832" t="s">
        <v>315</v>
      </c>
      <c r="G5832" t="s">
        <v>32</v>
      </c>
      <c r="H5832" t="s">
        <v>33</v>
      </c>
      <c r="I5832" t="s">
        <v>59</v>
      </c>
      <c r="AB5832" t="s">
        <v>60</v>
      </c>
      <c r="AC5832" t="s">
        <v>41</v>
      </c>
    </row>
    <row r="5833" spans="1:30" x14ac:dyDescent="0.35">
      <c r="A5833" s="7">
        <v>42961</v>
      </c>
      <c r="B5833" t="s">
        <v>30</v>
      </c>
      <c r="C5833">
        <v>703</v>
      </c>
      <c r="D5833">
        <v>5</v>
      </c>
      <c r="E5833">
        <v>1</v>
      </c>
      <c r="F5833" t="s">
        <v>315</v>
      </c>
      <c r="G5833" t="s">
        <v>32</v>
      </c>
      <c r="H5833" t="s">
        <v>33</v>
      </c>
      <c r="I5833" t="s">
        <v>59</v>
      </c>
      <c r="AB5833" t="s">
        <v>60</v>
      </c>
      <c r="AC5833" t="s">
        <v>41</v>
      </c>
    </row>
    <row r="5834" spans="1:30" x14ac:dyDescent="0.35">
      <c r="A5834" s="7">
        <v>42961</v>
      </c>
      <c r="B5834" t="s">
        <v>30</v>
      </c>
      <c r="C5834">
        <v>703</v>
      </c>
      <c r="D5834">
        <v>5</v>
      </c>
      <c r="E5834">
        <v>2</v>
      </c>
      <c r="F5834" t="s">
        <v>315</v>
      </c>
      <c r="G5834" t="s">
        <v>32</v>
      </c>
      <c r="H5834" t="s">
        <v>33</v>
      </c>
      <c r="I5834" t="s">
        <v>43</v>
      </c>
      <c r="J5834" t="s">
        <v>44</v>
      </c>
      <c r="K5834" t="s">
        <v>36</v>
      </c>
      <c r="L5834" t="s">
        <v>37</v>
      </c>
      <c r="M5834">
        <v>0</v>
      </c>
      <c r="N5834">
        <v>0</v>
      </c>
      <c r="O5834">
        <v>39747</v>
      </c>
      <c r="P5834">
        <v>39746</v>
      </c>
      <c r="Q5834">
        <f>33-13</f>
        <v>20</v>
      </c>
      <c r="R5834" t="s">
        <v>38</v>
      </c>
      <c r="Z5834" t="s">
        <v>102</v>
      </c>
      <c r="AB5834" t="s">
        <v>60</v>
      </c>
      <c r="AC5834" t="s">
        <v>41</v>
      </c>
      <c r="AD5834" t="s">
        <v>1115</v>
      </c>
    </row>
    <row r="5835" spans="1:30" x14ac:dyDescent="0.35">
      <c r="A5835" s="7">
        <v>42961</v>
      </c>
      <c r="B5835" t="s">
        <v>30</v>
      </c>
      <c r="C5835">
        <v>703</v>
      </c>
      <c r="D5835">
        <v>6</v>
      </c>
      <c r="E5835">
        <v>1</v>
      </c>
      <c r="F5835" t="s">
        <v>315</v>
      </c>
      <c r="G5835" t="s">
        <v>32</v>
      </c>
      <c r="H5835" t="s">
        <v>33</v>
      </c>
      <c r="I5835" t="s">
        <v>59</v>
      </c>
      <c r="AB5835" t="s">
        <v>60</v>
      </c>
      <c r="AC5835" t="s">
        <v>41</v>
      </c>
    </row>
    <row r="5836" spans="1:30" x14ac:dyDescent="0.35">
      <c r="A5836" s="7">
        <v>42961</v>
      </c>
      <c r="B5836" t="s">
        <v>30</v>
      </c>
      <c r="C5836">
        <v>703</v>
      </c>
      <c r="D5836">
        <v>7</v>
      </c>
      <c r="E5836">
        <v>1</v>
      </c>
      <c r="F5836" t="s">
        <v>315</v>
      </c>
      <c r="G5836" t="s">
        <v>32</v>
      </c>
      <c r="H5836" t="s">
        <v>33</v>
      </c>
      <c r="I5836" t="s">
        <v>43</v>
      </c>
      <c r="J5836" t="s">
        <v>35</v>
      </c>
      <c r="K5836" t="s">
        <v>113</v>
      </c>
      <c r="L5836" t="s">
        <v>37</v>
      </c>
      <c r="M5836">
        <v>0</v>
      </c>
      <c r="N5836">
        <v>1</v>
      </c>
      <c r="O5836">
        <v>39877</v>
      </c>
      <c r="P5836">
        <v>39876</v>
      </c>
      <c r="Q5836">
        <f>31.5-15</f>
        <v>16.5</v>
      </c>
      <c r="R5836" t="s">
        <v>64</v>
      </c>
      <c r="AB5836" t="s">
        <v>60</v>
      </c>
      <c r="AC5836" t="s">
        <v>41</v>
      </c>
    </row>
    <row r="5837" spans="1:30" x14ac:dyDescent="0.35">
      <c r="A5837" s="7">
        <v>42961</v>
      </c>
      <c r="B5837" t="s">
        <v>30</v>
      </c>
      <c r="C5837">
        <v>703</v>
      </c>
      <c r="D5837">
        <v>7</v>
      </c>
      <c r="E5837">
        <v>2</v>
      </c>
      <c r="F5837" t="s">
        <v>315</v>
      </c>
      <c r="G5837" t="s">
        <v>32</v>
      </c>
      <c r="H5837" t="s">
        <v>33</v>
      </c>
      <c r="I5837" t="s">
        <v>94</v>
      </c>
      <c r="J5837" t="s">
        <v>44</v>
      </c>
      <c r="K5837" t="s">
        <v>36</v>
      </c>
      <c r="L5837" t="s">
        <v>45</v>
      </c>
      <c r="M5837">
        <v>0</v>
      </c>
      <c r="N5837">
        <v>0</v>
      </c>
      <c r="P5837">
        <v>39402</v>
      </c>
      <c r="Q5837">
        <f>35.5-14</f>
        <v>21.5</v>
      </c>
      <c r="R5837" t="s">
        <v>1021</v>
      </c>
      <c r="S5837" t="s">
        <v>102</v>
      </c>
      <c r="AB5837" t="s">
        <v>60</v>
      </c>
      <c r="AC5837" t="s">
        <v>41</v>
      </c>
    </row>
    <row r="5838" spans="1:30" x14ac:dyDescent="0.35">
      <c r="A5838" s="7">
        <v>42961</v>
      </c>
      <c r="B5838" t="s">
        <v>30</v>
      </c>
      <c r="C5838">
        <v>703</v>
      </c>
      <c r="D5838">
        <v>8</v>
      </c>
      <c r="E5838">
        <v>1</v>
      </c>
      <c r="F5838" t="s">
        <v>315</v>
      </c>
      <c r="G5838" t="s">
        <v>32</v>
      </c>
      <c r="H5838" t="s">
        <v>33</v>
      </c>
      <c r="I5838" t="s">
        <v>59</v>
      </c>
      <c r="AB5838" t="s">
        <v>60</v>
      </c>
      <c r="AC5838" t="s">
        <v>41</v>
      </c>
    </row>
    <row r="5839" spans="1:30" x14ac:dyDescent="0.35">
      <c r="A5839" s="7">
        <v>42961</v>
      </c>
      <c r="B5839" t="s">
        <v>30</v>
      </c>
      <c r="C5839">
        <v>703</v>
      </c>
      <c r="D5839">
        <v>8</v>
      </c>
      <c r="E5839">
        <v>2</v>
      </c>
      <c r="F5839" t="s">
        <v>315</v>
      </c>
      <c r="G5839" t="s">
        <v>32</v>
      </c>
      <c r="H5839" t="s">
        <v>33</v>
      </c>
      <c r="I5839" t="s">
        <v>59</v>
      </c>
      <c r="AB5839" t="s">
        <v>60</v>
      </c>
      <c r="AC5839" t="s">
        <v>41</v>
      </c>
    </row>
    <row r="5840" spans="1:30" x14ac:dyDescent="0.35">
      <c r="A5840" s="7">
        <v>42961</v>
      </c>
      <c r="B5840" t="s">
        <v>30</v>
      </c>
      <c r="C5840">
        <v>703</v>
      </c>
      <c r="D5840">
        <v>9</v>
      </c>
      <c r="E5840">
        <v>1</v>
      </c>
      <c r="F5840" t="s">
        <v>315</v>
      </c>
      <c r="G5840" t="s">
        <v>32</v>
      </c>
      <c r="H5840" t="s">
        <v>33</v>
      </c>
      <c r="I5840" t="s">
        <v>59</v>
      </c>
      <c r="AB5840" t="s">
        <v>60</v>
      </c>
      <c r="AC5840" t="s">
        <v>41</v>
      </c>
    </row>
    <row r="5841" spans="1:30" x14ac:dyDescent="0.35">
      <c r="A5841" s="7">
        <v>42961</v>
      </c>
      <c r="B5841" t="s">
        <v>30</v>
      </c>
      <c r="C5841">
        <v>703</v>
      </c>
      <c r="D5841">
        <v>9</v>
      </c>
      <c r="E5841">
        <v>2</v>
      </c>
      <c r="F5841" t="s">
        <v>315</v>
      </c>
      <c r="G5841" t="s">
        <v>32</v>
      </c>
      <c r="H5841" t="s">
        <v>33</v>
      </c>
      <c r="I5841" t="s">
        <v>43</v>
      </c>
      <c r="J5841" t="s">
        <v>44</v>
      </c>
      <c r="K5841" t="s">
        <v>36</v>
      </c>
      <c r="L5841" t="s">
        <v>37</v>
      </c>
      <c r="M5841">
        <v>0</v>
      </c>
      <c r="N5841">
        <v>0</v>
      </c>
      <c r="O5841">
        <v>39743</v>
      </c>
      <c r="P5841">
        <v>39742</v>
      </c>
      <c r="Q5841">
        <f>36-14</f>
        <v>22</v>
      </c>
      <c r="R5841" t="s">
        <v>38</v>
      </c>
      <c r="Z5841" t="s">
        <v>102</v>
      </c>
      <c r="AB5841" t="s">
        <v>60</v>
      </c>
      <c r="AC5841" t="s">
        <v>41</v>
      </c>
    </row>
    <row r="5842" spans="1:30" x14ac:dyDescent="0.35">
      <c r="A5842" s="7">
        <v>42961</v>
      </c>
      <c r="B5842" t="s">
        <v>30</v>
      </c>
      <c r="C5842">
        <v>703</v>
      </c>
      <c r="D5842">
        <v>10</v>
      </c>
      <c r="E5842">
        <v>1</v>
      </c>
      <c r="F5842" t="s">
        <v>315</v>
      </c>
      <c r="G5842" t="s">
        <v>32</v>
      </c>
      <c r="H5842" t="s">
        <v>33</v>
      </c>
      <c r="I5842" t="s">
        <v>43</v>
      </c>
      <c r="J5842" t="s">
        <v>35</v>
      </c>
      <c r="K5842" t="s">
        <v>36</v>
      </c>
      <c r="L5842" t="s">
        <v>37</v>
      </c>
      <c r="M5842">
        <v>0</v>
      </c>
      <c r="N5842">
        <v>1</v>
      </c>
      <c r="O5842">
        <v>39879</v>
      </c>
      <c r="P5842">
        <v>39878</v>
      </c>
      <c r="R5842" t="s">
        <v>38</v>
      </c>
      <c r="Z5842" t="s">
        <v>102</v>
      </c>
      <c r="AB5842" t="s">
        <v>60</v>
      </c>
      <c r="AC5842" t="s">
        <v>41</v>
      </c>
    </row>
    <row r="5843" spans="1:30" x14ac:dyDescent="0.35">
      <c r="A5843" s="7">
        <v>42961</v>
      </c>
      <c r="B5843" t="s">
        <v>30</v>
      </c>
      <c r="C5843">
        <v>801</v>
      </c>
      <c r="D5843">
        <v>1</v>
      </c>
      <c r="E5843">
        <v>1</v>
      </c>
      <c r="F5843" t="s">
        <v>315</v>
      </c>
      <c r="G5843" t="s">
        <v>32</v>
      </c>
      <c r="H5843" t="s">
        <v>33</v>
      </c>
      <c r="I5843" t="s">
        <v>58</v>
      </c>
      <c r="J5843" t="s">
        <v>35</v>
      </c>
      <c r="K5843" t="s">
        <v>36</v>
      </c>
      <c r="L5843" t="s">
        <v>45</v>
      </c>
      <c r="M5843">
        <v>0</v>
      </c>
      <c r="N5843">
        <v>1</v>
      </c>
      <c r="O5843">
        <v>39432</v>
      </c>
      <c r="Q5843">
        <f>35.5-14.5</f>
        <v>21</v>
      </c>
      <c r="R5843" t="s">
        <v>46</v>
      </c>
      <c r="S5843" t="s">
        <v>39</v>
      </c>
      <c r="Z5843" t="s">
        <v>102</v>
      </c>
      <c r="AA5843" t="s">
        <v>1116</v>
      </c>
      <c r="AB5843" t="s">
        <v>60</v>
      </c>
      <c r="AC5843" t="s">
        <v>41</v>
      </c>
    </row>
    <row r="5844" spans="1:30" x14ac:dyDescent="0.35">
      <c r="A5844" s="7">
        <v>42961</v>
      </c>
      <c r="B5844" t="s">
        <v>30</v>
      </c>
      <c r="C5844">
        <v>801</v>
      </c>
      <c r="D5844">
        <v>1</v>
      </c>
      <c r="E5844">
        <v>2</v>
      </c>
      <c r="F5844" t="s">
        <v>315</v>
      </c>
      <c r="G5844" t="s">
        <v>32</v>
      </c>
      <c r="H5844" t="s">
        <v>33</v>
      </c>
      <c r="I5844" t="s">
        <v>59</v>
      </c>
      <c r="AB5844" t="s">
        <v>60</v>
      </c>
      <c r="AC5844" t="s">
        <v>41</v>
      </c>
    </row>
    <row r="5845" spans="1:30" x14ac:dyDescent="0.35">
      <c r="A5845" s="7">
        <v>42961</v>
      </c>
      <c r="B5845" t="s">
        <v>30</v>
      </c>
      <c r="C5845">
        <v>801</v>
      </c>
      <c r="D5845">
        <v>2</v>
      </c>
      <c r="E5845">
        <v>1</v>
      </c>
      <c r="F5845" t="s">
        <v>315</v>
      </c>
      <c r="G5845" t="s">
        <v>32</v>
      </c>
      <c r="H5845" t="s">
        <v>33</v>
      </c>
      <c r="I5845" t="s">
        <v>59</v>
      </c>
      <c r="AB5845" t="s">
        <v>60</v>
      </c>
      <c r="AC5845" t="s">
        <v>41</v>
      </c>
    </row>
    <row r="5846" spans="1:30" x14ac:dyDescent="0.35">
      <c r="A5846" s="7">
        <v>42961</v>
      </c>
      <c r="B5846" t="s">
        <v>30</v>
      </c>
      <c r="C5846">
        <v>801</v>
      </c>
      <c r="D5846">
        <v>2</v>
      </c>
      <c r="E5846">
        <v>2</v>
      </c>
      <c r="F5846" t="s">
        <v>315</v>
      </c>
      <c r="G5846" t="s">
        <v>32</v>
      </c>
      <c r="H5846" t="s">
        <v>33</v>
      </c>
      <c r="I5846" t="s">
        <v>72</v>
      </c>
      <c r="J5846" t="s">
        <v>56</v>
      </c>
      <c r="AB5846" t="s">
        <v>60</v>
      </c>
      <c r="AC5846" t="s">
        <v>41</v>
      </c>
    </row>
    <row r="5847" spans="1:30" x14ac:dyDescent="0.35">
      <c r="A5847" s="7">
        <v>42961</v>
      </c>
      <c r="B5847" t="s">
        <v>30</v>
      </c>
      <c r="C5847">
        <v>801</v>
      </c>
      <c r="D5847">
        <v>3</v>
      </c>
      <c r="E5847">
        <v>1</v>
      </c>
      <c r="F5847" t="s">
        <v>315</v>
      </c>
      <c r="G5847" t="s">
        <v>32</v>
      </c>
      <c r="H5847" t="s">
        <v>33</v>
      </c>
      <c r="I5847" t="s">
        <v>58</v>
      </c>
      <c r="J5847" t="s">
        <v>35</v>
      </c>
      <c r="K5847" t="s">
        <v>36</v>
      </c>
      <c r="L5847" t="s">
        <v>37</v>
      </c>
      <c r="M5847">
        <v>0</v>
      </c>
      <c r="N5847">
        <v>1</v>
      </c>
      <c r="P5847">
        <v>39881</v>
      </c>
      <c r="Q5847">
        <f>40.5-14</f>
        <v>26.5</v>
      </c>
      <c r="R5847" t="s">
        <v>38</v>
      </c>
      <c r="Z5847" t="s">
        <v>102</v>
      </c>
      <c r="AB5847" t="s">
        <v>60</v>
      </c>
      <c r="AC5847" t="s">
        <v>41</v>
      </c>
      <c r="AD5847" t="s">
        <v>1024</v>
      </c>
    </row>
    <row r="5848" spans="1:30" x14ac:dyDescent="0.35">
      <c r="A5848" s="7">
        <v>42961</v>
      </c>
      <c r="B5848" t="s">
        <v>30</v>
      </c>
      <c r="C5848">
        <v>801</v>
      </c>
      <c r="D5848">
        <v>3</v>
      </c>
      <c r="E5848">
        <v>2</v>
      </c>
      <c r="F5848" t="s">
        <v>315</v>
      </c>
      <c r="G5848" t="s">
        <v>32</v>
      </c>
      <c r="H5848" t="s">
        <v>33</v>
      </c>
      <c r="I5848" t="s">
        <v>59</v>
      </c>
      <c r="AB5848" t="s">
        <v>60</v>
      </c>
      <c r="AC5848" t="s">
        <v>41</v>
      </c>
    </row>
    <row r="5849" spans="1:30" x14ac:dyDescent="0.35">
      <c r="A5849" s="7">
        <v>42961</v>
      </c>
      <c r="B5849" t="s">
        <v>30</v>
      </c>
      <c r="C5849">
        <v>801</v>
      </c>
      <c r="D5849">
        <v>5</v>
      </c>
      <c r="E5849">
        <v>1</v>
      </c>
      <c r="F5849" t="s">
        <v>315</v>
      </c>
      <c r="G5849" t="s">
        <v>32</v>
      </c>
      <c r="H5849" t="s">
        <v>33</v>
      </c>
      <c r="I5849" t="s">
        <v>59</v>
      </c>
      <c r="AB5849" t="s">
        <v>60</v>
      </c>
      <c r="AC5849" t="s">
        <v>41</v>
      </c>
    </row>
    <row r="5850" spans="1:30" x14ac:dyDescent="0.35">
      <c r="A5850" s="7">
        <v>42961</v>
      </c>
      <c r="B5850" t="s">
        <v>30</v>
      </c>
      <c r="C5850">
        <v>801</v>
      </c>
      <c r="D5850">
        <v>6</v>
      </c>
      <c r="E5850">
        <v>1</v>
      </c>
      <c r="F5850" t="s">
        <v>315</v>
      </c>
      <c r="G5850" t="s">
        <v>32</v>
      </c>
      <c r="H5850" t="s">
        <v>33</v>
      </c>
      <c r="I5850" t="s">
        <v>59</v>
      </c>
      <c r="AB5850" t="s">
        <v>60</v>
      </c>
      <c r="AC5850" t="s">
        <v>41</v>
      </c>
    </row>
    <row r="5851" spans="1:30" x14ac:dyDescent="0.35">
      <c r="A5851" s="7">
        <v>42961</v>
      </c>
      <c r="B5851" t="s">
        <v>30</v>
      </c>
      <c r="C5851">
        <v>801</v>
      </c>
      <c r="D5851">
        <v>7</v>
      </c>
      <c r="E5851">
        <v>1</v>
      </c>
      <c r="F5851" t="s">
        <v>315</v>
      </c>
      <c r="G5851" t="s">
        <v>32</v>
      </c>
      <c r="H5851" t="s">
        <v>33</v>
      </c>
      <c r="I5851" t="s">
        <v>59</v>
      </c>
      <c r="AB5851" t="s">
        <v>60</v>
      </c>
      <c r="AC5851" t="s">
        <v>41</v>
      </c>
    </row>
    <row r="5852" spans="1:30" x14ac:dyDescent="0.35">
      <c r="A5852" s="7">
        <v>42961</v>
      </c>
      <c r="B5852" t="s">
        <v>30</v>
      </c>
      <c r="C5852">
        <v>801</v>
      </c>
      <c r="D5852">
        <v>8</v>
      </c>
      <c r="E5852">
        <v>1</v>
      </c>
      <c r="F5852" t="s">
        <v>315</v>
      </c>
      <c r="G5852" t="s">
        <v>32</v>
      </c>
      <c r="H5852" t="s">
        <v>33</v>
      </c>
      <c r="I5852" t="s">
        <v>43</v>
      </c>
      <c r="J5852" t="s">
        <v>44</v>
      </c>
      <c r="K5852" t="s">
        <v>36</v>
      </c>
      <c r="L5852" t="s">
        <v>37</v>
      </c>
      <c r="M5852">
        <v>0</v>
      </c>
      <c r="N5852">
        <v>0</v>
      </c>
      <c r="O5852">
        <v>39129</v>
      </c>
      <c r="P5852">
        <v>39769</v>
      </c>
      <c r="Q5852">
        <f>38-15</f>
        <v>23</v>
      </c>
      <c r="R5852" t="s">
        <v>38</v>
      </c>
      <c r="Z5852" t="s">
        <v>102</v>
      </c>
      <c r="AB5852" t="s">
        <v>60</v>
      </c>
      <c r="AC5852" t="s">
        <v>41</v>
      </c>
    </row>
    <row r="5853" spans="1:30" x14ac:dyDescent="0.35">
      <c r="A5853" s="7">
        <v>42961</v>
      </c>
      <c r="B5853" t="s">
        <v>30</v>
      </c>
      <c r="C5853">
        <v>801</v>
      </c>
      <c r="D5853">
        <v>8</v>
      </c>
      <c r="E5853">
        <v>2</v>
      </c>
      <c r="F5853" t="s">
        <v>315</v>
      </c>
      <c r="G5853" t="s">
        <v>32</v>
      </c>
      <c r="H5853" t="s">
        <v>33</v>
      </c>
      <c r="I5853" t="s">
        <v>58</v>
      </c>
      <c r="J5853" t="s">
        <v>44</v>
      </c>
      <c r="K5853" t="s">
        <v>36</v>
      </c>
      <c r="L5853" t="s">
        <v>45</v>
      </c>
      <c r="M5853">
        <v>0</v>
      </c>
      <c r="N5853">
        <v>0</v>
      </c>
      <c r="O5853">
        <v>39756</v>
      </c>
      <c r="Q5853">
        <f>39-14.5</f>
        <v>24.5</v>
      </c>
      <c r="R5853" t="s">
        <v>1021</v>
      </c>
      <c r="S5853" t="s">
        <v>102</v>
      </c>
      <c r="Z5853" t="s">
        <v>102</v>
      </c>
      <c r="AB5853" t="s">
        <v>60</v>
      </c>
      <c r="AC5853" t="s">
        <v>41</v>
      </c>
    </row>
    <row r="5854" spans="1:30" x14ac:dyDescent="0.35">
      <c r="A5854" s="7">
        <v>42961</v>
      </c>
      <c r="B5854" t="s">
        <v>30</v>
      </c>
      <c r="C5854">
        <v>801</v>
      </c>
      <c r="D5854">
        <v>9</v>
      </c>
      <c r="E5854">
        <v>1</v>
      </c>
      <c r="F5854" t="s">
        <v>315</v>
      </c>
      <c r="G5854" t="s">
        <v>32</v>
      </c>
      <c r="H5854" t="s">
        <v>33</v>
      </c>
      <c r="I5854" t="s">
        <v>59</v>
      </c>
      <c r="AB5854" t="s">
        <v>60</v>
      </c>
      <c r="AC5854" t="s">
        <v>41</v>
      </c>
    </row>
    <row r="5855" spans="1:30" x14ac:dyDescent="0.35">
      <c r="A5855" s="7">
        <v>42961</v>
      </c>
      <c r="B5855" t="s">
        <v>30</v>
      </c>
      <c r="C5855">
        <v>801</v>
      </c>
      <c r="D5855">
        <v>9</v>
      </c>
      <c r="E5855">
        <v>2</v>
      </c>
      <c r="F5855" t="s">
        <v>315</v>
      </c>
      <c r="G5855" t="s">
        <v>32</v>
      </c>
      <c r="H5855" t="s">
        <v>33</v>
      </c>
      <c r="I5855" t="s">
        <v>59</v>
      </c>
      <c r="AB5855" t="s">
        <v>60</v>
      </c>
      <c r="AC5855" t="s">
        <v>41</v>
      </c>
    </row>
    <row r="5856" spans="1:30" x14ac:dyDescent="0.35">
      <c r="A5856" s="7">
        <v>42961</v>
      </c>
      <c r="B5856" t="s">
        <v>30</v>
      </c>
      <c r="C5856">
        <v>801</v>
      </c>
      <c r="D5856">
        <v>10</v>
      </c>
      <c r="E5856">
        <v>1</v>
      </c>
      <c r="F5856" t="s">
        <v>315</v>
      </c>
      <c r="G5856" t="s">
        <v>32</v>
      </c>
      <c r="H5856" t="s">
        <v>33</v>
      </c>
      <c r="I5856" t="s">
        <v>59</v>
      </c>
      <c r="AB5856" t="s">
        <v>60</v>
      </c>
      <c r="AC5856" t="s">
        <v>41</v>
      </c>
    </row>
    <row r="5857" spans="1:30" x14ac:dyDescent="0.35">
      <c r="A5857" s="7">
        <v>42961</v>
      </c>
      <c r="B5857" t="s">
        <v>30</v>
      </c>
      <c r="C5857">
        <v>801</v>
      </c>
      <c r="D5857">
        <v>10</v>
      </c>
      <c r="E5857">
        <v>2</v>
      </c>
      <c r="F5857" t="s">
        <v>315</v>
      </c>
      <c r="G5857" t="s">
        <v>32</v>
      </c>
      <c r="H5857" t="s">
        <v>33</v>
      </c>
      <c r="I5857" t="s">
        <v>72</v>
      </c>
      <c r="J5857" t="s">
        <v>56</v>
      </c>
      <c r="AB5857" t="s">
        <v>60</v>
      </c>
      <c r="AC5857" t="s">
        <v>41</v>
      </c>
    </row>
    <row r="5858" spans="1:30" x14ac:dyDescent="0.35">
      <c r="A5858" s="7">
        <v>42961</v>
      </c>
      <c r="B5858" t="s">
        <v>30</v>
      </c>
      <c r="C5858">
        <v>803</v>
      </c>
      <c r="D5858">
        <v>3</v>
      </c>
      <c r="E5858">
        <v>1</v>
      </c>
      <c r="F5858" t="s">
        <v>315</v>
      </c>
      <c r="G5858" t="s">
        <v>32</v>
      </c>
      <c r="H5858" t="s">
        <v>33</v>
      </c>
      <c r="I5858" t="s">
        <v>58</v>
      </c>
      <c r="J5858" t="s">
        <v>35</v>
      </c>
      <c r="K5858" t="s">
        <v>36</v>
      </c>
      <c r="L5858" t="s">
        <v>45</v>
      </c>
      <c r="M5858">
        <v>0</v>
      </c>
      <c r="N5858">
        <v>1</v>
      </c>
      <c r="P5858">
        <v>39883</v>
      </c>
      <c r="Q5858">
        <f>39-14.5</f>
        <v>24.5</v>
      </c>
      <c r="Z5858" t="s">
        <v>102</v>
      </c>
      <c r="AB5858" t="s">
        <v>60</v>
      </c>
      <c r="AC5858" t="s">
        <v>41</v>
      </c>
      <c r="AD5858" t="s">
        <v>1117</v>
      </c>
    </row>
    <row r="5859" spans="1:30" x14ac:dyDescent="0.35">
      <c r="A5859" s="7">
        <v>42961</v>
      </c>
      <c r="B5859" t="s">
        <v>30</v>
      </c>
      <c r="C5859">
        <v>803</v>
      </c>
      <c r="D5859">
        <v>5</v>
      </c>
      <c r="E5859">
        <v>1</v>
      </c>
      <c r="F5859" t="s">
        <v>315</v>
      </c>
      <c r="G5859" t="s">
        <v>32</v>
      </c>
      <c r="H5859" t="s">
        <v>33</v>
      </c>
      <c r="I5859" t="s">
        <v>58</v>
      </c>
      <c r="J5859" t="s">
        <v>35</v>
      </c>
      <c r="K5859" t="s">
        <v>36</v>
      </c>
      <c r="L5859" t="s">
        <v>37</v>
      </c>
      <c r="M5859">
        <v>0</v>
      </c>
      <c r="N5859">
        <v>1</v>
      </c>
      <c r="O5859">
        <v>39882</v>
      </c>
      <c r="Q5859">
        <f>35-14</f>
        <v>21</v>
      </c>
      <c r="R5859" t="s">
        <v>38</v>
      </c>
      <c r="Z5859" t="s">
        <v>102</v>
      </c>
      <c r="AA5859" t="s">
        <v>1118</v>
      </c>
      <c r="AB5859" t="s">
        <v>60</v>
      </c>
      <c r="AC5859" t="s">
        <v>41</v>
      </c>
    </row>
    <row r="5860" spans="1:30" x14ac:dyDescent="0.35">
      <c r="A5860" s="7">
        <v>42961</v>
      </c>
      <c r="B5860" t="s">
        <v>30</v>
      </c>
      <c r="C5860">
        <v>803</v>
      </c>
      <c r="D5860">
        <v>7</v>
      </c>
      <c r="E5860">
        <v>1</v>
      </c>
      <c r="F5860" t="s">
        <v>315</v>
      </c>
      <c r="G5860" t="s">
        <v>32</v>
      </c>
      <c r="H5860" t="s">
        <v>33</v>
      </c>
      <c r="I5860" t="s">
        <v>72</v>
      </c>
      <c r="J5860" t="s">
        <v>66</v>
      </c>
      <c r="AB5860" t="s">
        <v>60</v>
      </c>
      <c r="AC5860" t="s">
        <v>41</v>
      </c>
    </row>
    <row r="5861" spans="1:30" x14ac:dyDescent="0.35">
      <c r="A5861" s="7">
        <v>42961</v>
      </c>
      <c r="B5861" t="s">
        <v>30</v>
      </c>
      <c r="C5861">
        <v>803</v>
      </c>
      <c r="D5861">
        <v>8</v>
      </c>
      <c r="E5861">
        <v>1</v>
      </c>
      <c r="F5861" t="s">
        <v>315</v>
      </c>
      <c r="G5861" t="s">
        <v>32</v>
      </c>
      <c r="H5861" t="s">
        <v>33</v>
      </c>
      <c r="I5861" t="s">
        <v>72</v>
      </c>
      <c r="J5861" t="s">
        <v>56</v>
      </c>
      <c r="AB5861" t="s">
        <v>60</v>
      </c>
      <c r="AC5861" t="s">
        <v>41</v>
      </c>
    </row>
    <row r="5862" spans="1:30" x14ac:dyDescent="0.35">
      <c r="A5862" s="7">
        <v>42961</v>
      </c>
      <c r="B5862" t="s">
        <v>30</v>
      </c>
      <c r="C5862">
        <v>803</v>
      </c>
      <c r="D5862">
        <v>9</v>
      </c>
      <c r="E5862">
        <v>1</v>
      </c>
      <c r="F5862" t="s">
        <v>315</v>
      </c>
      <c r="G5862" t="s">
        <v>32</v>
      </c>
      <c r="H5862" t="s">
        <v>33</v>
      </c>
      <c r="I5862" t="s">
        <v>94</v>
      </c>
      <c r="J5862" t="s">
        <v>44</v>
      </c>
      <c r="K5862" t="s">
        <v>36</v>
      </c>
      <c r="L5862" t="s">
        <v>45</v>
      </c>
      <c r="M5862">
        <v>0</v>
      </c>
      <c r="N5862">
        <v>0</v>
      </c>
      <c r="O5862">
        <v>39783</v>
      </c>
      <c r="Q5862">
        <f>37-14</f>
        <v>23</v>
      </c>
      <c r="R5862" t="s">
        <v>1021</v>
      </c>
      <c r="S5862" t="s">
        <v>102</v>
      </c>
      <c r="Z5862" t="s">
        <v>102</v>
      </c>
      <c r="AB5862" t="s">
        <v>60</v>
      </c>
      <c r="AC5862" t="s">
        <v>41</v>
      </c>
    </row>
    <row r="5863" spans="1:30" x14ac:dyDescent="0.35">
      <c r="A5863" s="7">
        <v>42961</v>
      </c>
      <c r="B5863" t="s">
        <v>30</v>
      </c>
      <c r="C5863">
        <v>803</v>
      </c>
      <c r="D5863">
        <v>9</v>
      </c>
      <c r="E5863">
        <v>2</v>
      </c>
      <c r="F5863" t="s">
        <v>315</v>
      </c>
      <c r="G5863" t="s">
        <v>32</v>
      </c>
      <c r="H5863" t="s">
        <v>33</v>
      </c>
      <c r="I5863" t="s">
        <v>59</v>
      </c>
      <c r="AB5863" t="s">
        <v>60</v>
      </c>
      <c r="AC5863" t="s">
        <v>41</v>
      </c>
    </row>
    <row r="5864" spans="1:30" x14ac:dyDescent="0.35">
      <c r="A5864" s="7">
        <v>42961</v>
      </c>
      <c r="B5864" t="s">
        <v>30</v>
      </c>
      <c r="C5864">
        <v>901</v>
      </c>
      <c r="D5864">
        <v>1</v>
      </c>
      <c r="E5864">
        <v>1</v>
      </c>
      <c r="F5864" t="s">
        <v>315</v>
      </c>
      <c r="G5864" t="s">
        <v>32</v>
      </c>
      <c r="H5864" t="s">
        <v>33</v>
      </c>
      <c r="I5864" t="s">
        <v>59</v>
      </c>
      <c r="AB5864" t="s">
        <v>60</v>
      </c>
      <c r="AC5864" t="s">
        <v>41</v>
      </c>
    </row>
    <row r="5865" spans="1:30" x14ac:dyDescent="0.35">
      <c r="A5865" s="7">
        <v>42961</v>
      </c>
      <c r="B5865" t="s">
        <v>30</v>
      </c>
      <c r="C5865">
        <v>901</v>
      </c>
      <c r="D5865">
        <v>1</v>
      </c>
      <c r="E5865">
        <v>2</v>
      </c>
      <c r="F5865" t="s">
        <v>315</v>
      </c>
      <c r="G5865" t="s">
        <v>32</v>
      </c>
      <c r="H5865" t="s">
        <v>33</v>
      </c>
      <c r="I5865" t="s">
        <v>59</v>
      </c>
      <c r="AB5865" t="s">
        <v>60</v>
      </c>
      <c r="AC5865" t="s">
        <v>41</v>
      </c>
    </row>
    <row r="5866" spans="1:30" x14ac:dyDescent="0.35">
      <c r="A5866" s="7">
        <v>42961</v>
      </c>
      <c r="B5866" t="s">
        <v>30</v>
      </c>
      <c r="C5866">
        <v>901</v>
      </c>
      <c r="D5866">
        <v>8</v>
      </c>
      <c r="E5866">
        <v>1</v>
      </c>
      <c r="F5866" t="s">
        <v>315</v>
      </c>
      <c r="G5866" t="s">
        <v>32</v>
      </c>
      <c r="H5866" t="s">
        <v>33</v>
      </c>
      <c r="I5866" t="s">
        <v>43</v>
      </c>
      <c r="J5866" t="s">
        <v>44</v>
      </c>
      <c r="K5866" t="s">
        <v>36</v>
      </c>
      <c r="L5866" t="s">
        <v>45</v>
      </c>
      <c r="M5866">
        <v>0</v>
      </c>
      <c r="N5866">
        <v>0</v>
      </c>
      <c r="O5866">
        <v>39145</v>
      </c>
      <c r="P5866">
        <v>39144</v>
      </c>
      <c r="Q5866">
        <f>32.3-13</f>
        <v>19.299999999999997</v>
      </c>
      <c r="R5866" t="s">
        <v>1021</v>
      </c>
      <c r="S5866" t="s">
        <v>102</v>
      </c>
      <c r="Z5866" t="s">
        <v>102</v>
      </c>
      <c r="AB5866" t="s">
        <v>60</v>
      </c>
      <c r="AC5866" t="s">
        <v>41</v>
      </c>
    </row>
    <row r="5867" spans="1:30" x14ac:dyDescent="0.35">
      <c r="A5867" s="7">
        <v>42962</v>
      </c>
      <c r="B5867" t="s">
        <v>30</v>
      </c>
      <c r="C5867">
        <v>303</v>
      </c>
      <c r="D5867">
        <v>1</v>
      </c>
      <c r="E5867">
        <v>1</v>
      </c>
      <c r="F5867" t="s">
        <v>1020</v>
      </c>
      <c r="G5867" t="s">
        <v>32</v>
      </c>
      <c r="H5867" t="s">
        <v>33</v>
      </c>
      <c r="I5867" t="s">
        <v>59</v>
      </c>
      <c r="AB5867" t="s">
        <v>60</v>
      </c>
      <c r="AC5867" t="s">
        <v>87</v>
      </c>
    </row>
    <row r="5868" spans="1:30" x14ac:dyDescent="0.35">
      <c r="A5868" s="7">
        <v>42962</v>
      </c>
      <c r="B5868" t="s">
        <v>30</v>
      </c>
      <c r="C5868">
        <v>303</v>
      </c>
      <c r="D5868">
        <v>1</v>
      </c>
      <c r="E5868">
        <v>2</v>
      </c>
      <c r="F5868" t="s">
        <v>1020</v>
      </c>
      <c r="G5868" t="s">
        <v>32</v>
      </c>
      <c r="H5868" t="s">
        <v>33</v>
      </c>
      <c r="I5868" t="s">
        <v>59</v>
      </c>
      <c r="AB5868" t="s">
        <v>60</v>
      </c>
      <c r="AC5868" t="s">
        <v>87</v>
      </c>
    </row>
    <row r="5869" spans="1:30" x14ac:dyDescent="0.35">
      <c r="A5869" s="7">
        <v>42962</v>
      </c>
      <c r="B5869" t="s">
        <v>30</v>
      </c>
      <c r="C5869">
        <v>303</v>
      </c>
      <c r="D5869">
        <v>2</v>
      </c>
      <c r="E5869">
        <v>1</v>
      </c>
      <c r="F5869" t="s">
        <v>1020</v>
      </c>
      <c r="G5869" t="s">
        <v>32</v>
      </c>
      <c r="H5869" t="s">
        <v>33</v>
      </c>
      <c r="I5869" t="s">
        <v>59</v>
      </c>
      <c r="AB5869" t="s">
        <v>60</v>
      </c>
      <c r="AC5869" t="s">
        <v>87</v>
      </c>
    </row>
    <row r="5870" spans="1:30" x14ac:dyDescent="0.35">
      <c r="A5870" s="7">
        <v>42962</v>
      </c>
      <c r="B5870" t="s">
        <v>30</v>
      </c>
      <c r="C5870">
        <v>303</v>
      </c>
      <c r="D5870">
        <v>2</v>
      </c>
      <c r="E5870">
        <v>2</v>
      </c>
      <c r="F5870" t="s">
        <v>1020</v>
      </c>
      <c r="G5870" t="s">
        <v>32</v>
      </c>
      <c r="H5870" t="s">
        <v>33</v>
      </c>
      <c r="I5870" t="s">
        <v>59</v>
      </c>
      <c r="AB5870" t="s">
        <v>60</v>
      </c>
      <c r="AC5870" t="s">
        <v>87</v>
      </c>
    </row>
    <row r="5871" spans="1:30" x14ac:dyDescent="0.35">
      <c r="A5871" s="7">
        <v>42962</v>
      </c>
      <c r="B5871" t="s">
        <v>30</v>
      </c>
      <c r="C5871">
        <v>303</v>
      </c>
      <c r="D5871">
        <v>3</v>
      </c>
      <c r="E5871">
        <v>1</v>
      </c>
      <c r="F5871" t="s">
        <v>1020</v>
      </c>
      <c r="G5871" t="s">
        <v>32</v>
      </c>
      <c r="H5871" t="s">
        <v>33</v>
      </c>
      <c r="I5871" t="s">
        <v>59</v>
      </c>
      <c r="AB5871" t="s">
        <v>60</v>
      </c>
      <c r="AC5871" t="s">
        <v>87</v>
      </c>
    </row>
    <row r="5872" spans="1:30" x14ac:dyDescent="0.35">
      <c r="A5872" s="7">
        <v>42962</v>
      </c>
      <c r="B5872" t="s">
        <v>30</v>
      </c>
      <c r="C5872">
        <v>303</v>
      </c>
      <c r="D5872">
        <v>3</v>
      </c>
      <c r="E5872">
        <v>2</v>
      </c>
      <c r="F5872" t="s">
        <v>1020</v>
      </c>
      <c r="G5872" t="s">
        <v>32</v>
      </c>
      <c r="H5872" t="s">
        <v>33</v>
      </c>
      <c r="I5872" t="s">
        <v>59</v>
      </c>
      <c r="AB5872" t="s">
        <v>60</v>
      </c>
      <c r="AC5872" t="s">
        <v>87</v>
      </c>
    </row>
    <row r="5873" spans="1:30" x14ac:dyDescent="0.35">
      <c r="A5873" s="7">
        <v>42962</v>
      </c>
      <c r="B5873" t="s">
        <v>30</v>
      </c>
      <c r="C5873">
        <v>303</v>
      </c>
      <c r="D5873">
        <v>4</v>
      </c>
      <c r="E5873">
        <v>1</v>
      </c>
      <c r="F5873" t="s">
        <v>1020</v>
      </c>
      <c r="G5873" t="s">
        <v>32</v>
      </c>
      <c r="H5873" t="s">
        <v>33</v>
      </c>
      <c r="I5873" t="s">
        <v>59</v>
      </c>
      <c r="AB5873" t="s">
        <v>60</v>
      </c>
      <c r="AC5873" t="s">
        <v>87</v>
      </c>
    </row>
    <row r="5874" spans="1:30" x14ac:dyDescent="0.35">
      <c r="A5874" s="7">
        <v>42962</v>
      </c>
      <c r="B5874" t="s">
        <v>30</v>
      </c>
      <c r="C5874">
        <v>303</v>
      </c>
      <c r="D5874">
        <v>4</v>
      </c>
      <c r="E5874">
        <v>2</v>
      </c>
      <c r="F5874" t="s">
        <v>1020</v>
      </c>
      <c r="G5874" t="s">
        <v>32</v>
      </c>
      <c r="H5874" t="s">
        <v>33</v>
      </c>
      <c r="I5874" t="s">
        <v>59</v>
      </c>
      <c r="AB5874" t="s">
        <v>60</v>
      </c>
      <c r="AC5874" t="s">
        <v>87</v>
      </c>
    </row>
    <row r="5875" spans="1:30" x14ac:dyDescent="0.35">
      <c r="A5875" s="7">
        <v>42962</v>
      </c>
      <c r="B5875" t="s">
        <v>30</v>
      </c>
      <c r="C5875">
        <v>303</v>
      </c>
      <c r="D5875">
        <v>5</v>
      </c>
      <c r="E5875">
        <v>1</v>
      </c>
      <c r="F5875" t="s">
        <v>1020</v>
      </c>
      <c r="G5875" t="s">
        <v>32</v>
      </c>
      <c r="H5875" t="s">
        <v>33</v>
      </c>
      <c r="I5875" t="s">
        <v>1029</v>
      </c>
      <c r="J5875" t="s">
        <v>66</v>
      </c>
      <c r="AB5875" t="s">
        <v>60</v>
      </c>
      <c r="AC5875" t="s">
        <v>87</v>
      </c>
    </row>
    <row r="5876" spans="1:30" x14ac:dyDescent="0.35">
      <c r="A5876" s="7">
        <v>42962</v>
      </c>
      <c r="B5876" t="s">
        <v>30</v>
      </c>
      <c r="C5876">
        <v>303</v>
      </c>
      <c r="D5876">
        <v>5</v>
      </c>
      <c r="E5876">
        <v>2</v>
      </c>
      <c r="F5876" t="s">
        <v>1020</v>
      </c>
      <c r="G5876" t="s">
        <v>32</v>
      </c>
      <c r="H5876" t="s">
        <v>33</v>
      </c>
      <c r="I5876" t="s">
        <v>59</v>
      </c>
      <c r="AB5876" t="s">
        <v>60</v>
      </c>
      <c r="AC5876" t="s">
        <v>87</v>
      </c>
    </row>
    <row r="5877" spans="1:30" x14ac:dyDescent="0.35">
      <c r="A5877" s="7">
        <v>42962</v>
      </c>
      <c r="B5877" t="s">
        <v>30</v>
      </c>
      <c r="C5877">
        <v>303</v>
      </c>
      <c r="D5877">
        <v>6</v>
      </c>
      <c r="E5877">
        <v>1</v>
      </c>
      <c r="F5877" t="s">
        <v>1020</v>
      </c>
      <c r="G5877" t="s">
        <v>32</v>
      </c>
      <c r="H5877" t="s">
        <v>33</v>
      </c>
      <c r="I5877" t="s">
        <v>43</v>
      </c>
      <c r="J5877" t="s">
        <v>44</v>
      </c>
      <c r="K5877" t="s">
        <v>88</v>
      </c>
      <c r="L5877" t="s">
        <v>45</v>
      </c>
      <c r="M5877">
        <v>0</v>
      </c>
      <c r="N5877">
        <v>0</v>
      </c>
      <c r="O5877">
        <v>39443</v>
      </c>
      <c r="P5877">
        <v>39442</v>
      </c>
      <c r="Q5877">
        <f>30-13</f>
        <v>17</v>
      </c>
      <c r="R5877" t="s">
        <v>46</v>
      </c>
      <c r="S5877" t="s">
        <v>39</v>
      </c>
      <c r="AB5877" t="s">
        <v>60</v>
      </c>
      <c r="AC5877" t="s">
        <v>87</v>
      </c>
    </row>
    <row r="5878" spans="1:30" x14ac:dyDescent="0.35">
      <c r="A5878" s="7">
        <v>42962</v>
      </c>
      <c r="B5878" t="s">
        <v>30</v>
      </c>
      <c r="C5878">
        <v>303</v>
      </c>
      <c r="D5878">
        <v>6</v>
      </c>
      <c r="E5878">
        <v>2</v>
      </c>
      <c r="F5878" t="s">
        <v>1020</v>
      </c>
      <c r="G5878" t="s">
        <v>32</v>
      </c>
      <c r="H5878" t="s">
        <v>33</v>
      </c>
      <c r="I5878" t="s">
        <v>59</v>
      </c>
      <c r="AB5878" t="s">
        <v>60</v>
      </c>
      <c r="AC5878" t="s">
        <v>87</v>
      </c>
    </row>
    <row r="5879" spans="1:30" x14ac:dyDescent="0.35">
      <c r="A5879" s="7">
        <v>42962</v>
      </c>
      <c r="B5879" t="s">
        <v>30</v>
      </c>
      <c r="C5879">
        <v>303</v>
      </c>
      <c r="D5879">
        <v>7</v>
      </c>
      <c r="E5879">
        <v>1</v>
      </c>
      <c r="F5879" t="s">
        <v>1020</v>
      </c>
      <c r="G5879" t="s">
        <v>32</v>
      </c>
      <c r="H5879" t="s">
        <v>33</v>
      </c>
      <c r="I5879" t="s">
        <v>59</v>
      </c>
      <c r="AB5879" t="s">
        <v>60</v>
      </c>
      <c r="AC5879" t="s">
        <v>87</v>
      </c>
    </row>
    <row r="5880" spans="1:30" x14ac:dyDescent="0.35">
      <c r="A5880" s="7">
        <v>42962</v>
      </c>
      <c r="B5880" t="s">
        <v>30</v>
      </c>
      <c r="C5880">
        <v>303</v>
      </c>
      <c r="D5880">
        <v>7</v>
      </c>
      <c r="E5880">
        <v>2</v>
      </c>
      <c r="F5880" t="s">
        <v>1020</v>
      </c>
      <c r="G5880" t="s">
        <v>32</v>
      </c>
      <c r="H5880" t="s">
        <v>33</v>
      </c>
      <c r="I5880" t="s">
        <v>59</v>
      </c>
      <c r="AB5880" t="s">
        <v>60</v>
      </c>
      <c r="AC5880" t="s">
        <v>87</v>
      </c>
    </row>
    <row r="5881" spans="1:30" x14ac:dyDescent="0.35">
      <c r="A5881" s="7">
        <v>42962</v>
      </c>
      <c r="B5881" t="s">
        <v>30</v>
      </c>
      <c r="C5881">
        <v>303</v>
      </c>
      <c r="D5881">
        <v>8</v>
      </c>
      <c r="E5881">
        <v>1</v>
      </c>
      <c r="F5881" t="s">
        <v>1020</v>
      </c>
      <c r="G5881" t="s">
        <v>32</v>
      </c>
      <c r="H5881" t="s">
        <v>33</v>
      </c>
      <c r="I5881" t="s">
        <v>59</v>
      </c>
      <c r="AB5881" t="s">
        <v>60</v>
      </c>
      <c r="AC5881" t="s">
        <v>87</v>
      </c>
    </row>
    <row r="5882" spans="1:30" x14ac:dyDescent="0.35">
      <c r="A5882" s="7">
        <v>42962</v>
      </c>
      <c r="B5882" t="s">
        <v>30</v>
      </c>
      <c r="C5882">
        <v>303</v>
      </c>
      <c r="D5882">
        <v>9</v>
      </c>
      <c r="E5882">
        <v>1</v>
      </c>
      <c r="F5882" t="s">
        <v>1020</v>
      </c>
      <c r="G5882" t="s">
        <v>32</v>
      </c>
      <c r="H5882" t="s">
        <v>33</v>
      </c>
      <c r="I5882" t="s">
        <v>43</v>
      </c>
      <c r="J5882" t="s">
        <v>44</v>
      </c>
      <c r="K5882" t="s">
        <v>88</v>
      </c>
      <c r="L5882" t="s">
        <v>37</v>
      </c>
      <c r="M5882">
        <v>0</v>
      </c>
      <c r="N5882">
        <v>0</v>
      </c>
      <c r="O5882">
        <v>39494</v>
      </c>
      <c r="P5882">
        <v>39493</v>
      </c>
      <c r="Q5882">
        <f>31-14</f>
        <v>17</v>
      </c>
      <c r="R5882" t="s">
        <v>64</v>
      </c>
      <c r="AB5882" t="s">
        <v>60</v>
      </c>
      <c r="AC5882" t="s">
        <v>87</v>
      </c>
    </row>
    <row r="5883" spans="1:30" x14ac:dyDescent="0.35">
      <c r="A5883" s="7">
        <v>42962</v>
      </c>
      <c r="B5883" t="s">
        <v>30</v>
      </c>
      <c r="C5883">
        <v>303</v>
      </c>
      <c r="D5883">
        <v>9</v>
      </c>
      <c r="E5883">
        <v>2</v>
      </c>
      <c r="F5883" t="s">
        <v>1020</v>
      </c>
      <c r="G5883" t="s">
        <v>32</v>
      </c>
      <c r="H5883" t="s">
        <v>33</v>
      </c>
      <c r="I5883" t="s">
        <v>43</v>
      </c>
      <c r="J5883" t="s">
        <v>44</v>
      </c>
      <c r="K5883" t="s">
        <v>88</v>
      </c>
      <c r="L5883" t="s">
        <v>45</v>
      </c>
      <c r="M5883">
        <v>0</v>
      </c>
      <c r="N5883">
        <v>0</v>
      </c>
      <c r="O5883">
        <v>39437</v>
      </c>
      <c r="P5883">
        <v>39436</v>
      </c>
      <c r="Q5883">
        <f>34-13.5</f>
        <v>20.5</v>
      </c>
      <c r="R5883" t="s">
        <v>46</v>
      </c>
      <c r="S5883" t="s">
        <v>39</v>
      </c>
      <c r="Z5883" t="s">
        <v>102</v>
      </c>
      <c r="AB5883" t="s">
        <v>60</v>
      </c>
      <c r="AC5883" t="s">
        <v>87</v>
      </c>
    </row>
    <row r="5884" spans="1:30" x14ac:dyDescent="0.35">
      <c r="A5884" s="7">
        <v>42962</v>
      </c>
      <c r="B5884" t="s">
        <v>30</v>
      </c>
      <c r="C5884">
        <v>303</v>
      </c>
      <c r="D5884">
        <v>10</v>
      </c>
      <c r="E5884">
        <v>1</v>
      </c>
      <c r="F5884" t="s">
        <v>1020</v>
      </c>
      <c r="G5884" t="s">
        <v>32</v>
      </c>
      <c r="H5884" t="s">
        <v>33</v>
      </c>
      <c r="I5884" t="s">
        <v>59</v>
      </c>
      <c r="AB5884" t="s">
        <v>60</v>
      </c>
      <c r="AC5884" t="s">
        <v>87</v>
      </c>
    </row>
    <row r="5885" spans="1:30" x14ac:dyDescent="0.35">
      <c r="A5885" s="7">
        <v>42962</v>
      </c>
      <c r="B5885" t="s">
        <v>30</v>
      </c>
      <c r="C5885">
        <v>401</v>
      </c>
      <c r="D5885">
        <v>4</v>
      </c>
      <c r="E5885">
        <v>1</v>
      </c>
      <c r="F5885" t="s">
        <v>1020</v>
      </c>
      <c r="G5885" t="s">
        <v>32</v>
      </c>
      <c r="H5885" t="s">
        <v>33</v>
      </c>
      <c r="I5885" t="s">
        <v>1029</v>
      </c>
      <c r="J5885" t="s">
        <v>66</v>
      </c>
      <c r="AB5885" t="s">
        <v>60</v>
      </c>
      <c r="AC5885" t="s">
        <v>87</v>
      </c>
    </row>
    <row r="5886" spans="1:30" x14ac:dyDescent="0.35">
      <c r="A5886" s="7">
        <v>42962</v>
      </c>
      <c r="B5886" t="s">
        <v>30</v>
      </c>
      <c r="C5886">
        <v>401</v>
      </c>
      <c r="D5886">
        <v>6</v>
      </c>
      <c r="E5886">
        <v>1</v>
      </c>
      <c r="F5886" t="s">
        <v>1020</v>
      </c>
      <c r="G5886" t="s">
        <v>32</v>
      </c>
      <c r="H5886" t="s">
        <v>33</v>
      </c>
      <c r="I5886" t="s">
        <v>58</v>
      </c>
      <c r="J5886" t="s">
        <v>35</v>
      </c>
      <c r="K5886" t="s">
        <v>36</v>
      </c>
      <c r="L5886" t="s">
        <v>45</v>
      </c>
      <c r="M5886">
        <v>0</v>
      </c>
      <c r="N5886">
        <v>1</v>
      </c>
      <c r="P5886">
        <v>39421</v>
      </c>
      <c r="Q5886">
        <f>35-14</f>
        <v>21</v>
      </c>
      <c r="R5886" t="s">
        <v>46</v>
      </c>
      <c r="S5886" t="s">
        <v>39</v>
      </c>
      <c r="Z5886" t="s">
        <v>102</v>
      </c>
      <c r="AB5886" t="s">
        <v>60</v>
      </c>
      <c r="AC5886" t="s">
        <v>87</v>
      </c>
      <c r="AD5886" t="s">
        <v>1119</v>
      </c>
    </row>
    <row r="5887" spans="1:30" x14ac:dyDescent="0.35">
      <c r="A5887" s="7">
        <v>42962</v>
      </c>
      <c r="B5887" t="s">
        <v>30</v>
      </c>
      <c r="C5887">
        <v>401</v>
      </c>
      <c r="D5887">
        <v>9</v>
      </c>
      <c r="E5887">
        <v>1</v>
      </c>
      <c r="F5887" t="s">
        <v>1020</v>
      </c>
      <c r="G5887" t="s">
        <v>32</v>
      </c>
      <c r="H5887" t="s">
        <v>33</v>
      </c>
      <c r="I5887" t="s">
        <v>59</v>
      </c>
      <c r="AB5887" t="s">
        <v>60</v>
      </c>
      <c r="AC5887" t="s">
        <v>87</v>
      </c>
    </row>
    <row r="5888" spans="1:30" x14ac:dyDescent="0.35">
      <c r="A5888" s="7">
        <v>42962</v>
      </c>
      <c r="B5888" t="s">
        <v>30</v>
      </c>
      <c r="C5888">
        <v>401</v>
      </c>
      <c r="D5888">
        <v>9</v>
      </c>
      <c r="E5888">
        <v>2</v>
      </c>
      <c r="F5888" t="s">
        <v>1020</v>
      </c>
      <c r="G5888" t="s">
        <v>32</v>
      </c>
      <c r="H5888" t="s">
        <v>33</v>
      </c>
      <c r="I5888" t="s">
        <v>59</v>
      </c>
      <c r="AB5888" t="s">
        <v>60</v>
      </c>
      <c r="AC5888" t="s">
        <v>87</v>
      </c>
    </row>
    <row r="5889" spans="1:29" x14ac:dyDescent="0.35">
      <c r="A5889" s="7">
        <v>42962</v>
      </c>
      <c r="B5889" t="s">
        <v>30</v>
      </c>
      <c r="C5889">
        <v>401</v>
      </c>
      <c r="D5889">
        <v>10</v>
      </c>
      <c r="E5889">
        <v>1</v>
      </c>
      <c r="F5889" t="s">
        <v>1020</v>
      </c>
      <c r="G5889" t="s">
        <v>32</v>
      </c>
      <c r="H5889" t="s">
        <v>33</v>
      </c>
      <c r="I5889" t="s">
        <v>59</v>
      </c>
      <c r="AB5889" t="s">
        <v>60</v>
      </c>
      <c r="AC5889" t="s">
        <v>87</v>
      </c>
    </row>
    <row r="5890" spans="1:29" x14ac:dyDescent="0.35">
      <c r="A5890" s="7">
        <v>42962</v>
      </c>
      <c r="B5890" t="s">
        <v>30</v>
      </c>
      <c r="C5890">
        <v>501</v>
      </c>
      <c r="D5890">
        <v>1</v>
      </c>
      <c r="E5890">
        <v>1</v>
      </c>
      <c r="F5890" t="s">
        <v>1020</v>
      </c>
      <c r="G5890" t="s">
        <v>32</v>
      </c>
      <c r="H5890" t="s">
        <v>33</v>
      </c>
      <c r="I5890" t="s">
        <v>59</v>
      </c>
      <c r="AB5890" t="s">
        <v>60</v>
      </c>
      <c r="AC5890" t="s">
        <v>87</v>
      </c>
    </row>
    <row r="5891" spans="1:29" x14ac:dyDescent="0.35">
      <c r="A5891" s="7">
        <v>42962</v>
      </c>
      <c r="B5891" t="s">
        <v>30</v>
      </c>
      <c r="C5891">
        <v>501</v>
      </c>
      <c r="D5891">
        <v>2</v>
      </c>
      <c r="E5891">
        <v>1</v>
      </c>
      <c r="F5891" t="s">
        <v>1020</v>
      </c>
      <c r="G5891" t="s">
        <v>32</v>
      </c>
      <c r="H5891" t="s">
        <v>33</v>
      </c>
      <c r="I5891" t="s">
        <v>34</v>
      </c>
      <c r="J5891" t="s">
        <v>44</v>
      </c>
      <c r="K5891" t="s">
        <v>36</v>
      </c>
      <c r="L5891" t="s">
        <v>45</v>
      </c>
      <c r="M5891">
        <v>0</v>
      </c>
      <c r="N5891">
        <v>0</v>
      </c>
      <c r="P5891">
        <v>39189</v>
      </c>
      <c r="Q5891">
        <f>175-95</f>
        <v>80</v>
      </c>
      <c r="R5891" t="s">
        <v>46</v>
      </c>
      <c r="S5891" t="s">
        <v>39</v>
      </c>
      <c r="AB5891" t="s">
        <v>60</v>
      </c>
      <c r="AC5891" t="s">
        <v>87</v>
      </c>
    </row>
    <row r="5892" spans="1:29" x14ac:dyDescent="0.35">
      <c r="A5892" s="7">
        <v>42962</v>
      </c>
      <c r="B5892" t="s">
        <v>30</v>
      </c>
      <c r="C5892">
        <v>501</v>
      </c>
      <c r="D5892">
        <v>3</v>
      </c>
      <c r="E5892">
        <v>1</v>
      </c>
      <c r="F5892" t="s">
        <v>1020</v>
      </c>
      <c r="G5892" t="s">
        <v>32</v>
      </c>
      <c r="H5892" t="s">
        <v>33</v>
      </c>
      <c r="I5892" t="s">
        <v>1029</v>
      </c>
      <c r="J5892" t="s">
        <v>66</v>
      </c>
      <c r="AB5892" t="s">
        <v>60</v>
      </c>
      <c r="AC5892" t="s">
        <v>87</v>
      </c>
    </row>
    <row r="5893" spans="1:29" x14ac:dyDescent="0.35">
      <c r="A5893" s="7">
        <v>42962</v>
      </c>
      <c r="B5893" t="s">
        <v>30</v>
      </c>
      <c r="C5893">
        <v>501</v>
      </c>
      <c r="D5893">
        <v>6</v>
      </c>
      <c r="E5893">
        <v>1</v>
      </c>
      <c r="F5893" t="s">
        <v>1020</v>
      </c>
      <c r="G5893" t="s">
        <v>32</v>
      </c>
      <c r="H5893" t="s">
        <v>33</v>
      </c>
      <c r="I5893" t="s">
        <v>59</v>
      </c>
      <c r="AB5893" t="s">
        <v>60</v>
      </c>
      <c r="AC5893" t="s">
        <v>87</v>
      </c>
    </row>
    <row r="5894" spans="1:29" x14ac:dyDescent="0.35">
      <c r="A5894" s="7">
        <v>42962</v>
      </c>
      <c r="B5894" t="s">
        <v>30</v>
      </c>
      <c r="C5894">
        <v>501</v>
      </c>
      <c r="D5894">
        <v>7</v>
      </c>
      <c r="E5894">
        <v>1</v>
      </c>
      <c r="F5894" t="s">
        <v>1020</v>
      </c>
      <c r="G5894" t="s">
        <v>32</v>
      </c>
      <c r="H5894" t="s">
        <v>33</v>
      </c>
      <c r="I5894" t="s">
        <v>43</v>
      </c>
      <c r="J5894" t="s">
        <v>44</v>
      </c>
      <c r="K5894" t="s">
        <v>113</v>
      </c>
      <c r="L5894" t="s">
        <v>37</v>
      </c>
      <c r="M5894">
        <v>0</v>
      </c>
      <c r="N5894">
        <v>0</v>
      </c>
      <c r="O5894">
        <v>39475</v>
      </c>
      <c r="P5894">
        <v>39474</v>
      </c>
      <c r="Q5894">
        <f>31-13</f>
        <v>18</v>
      </c>
      <c r="R5894" t="s">
        <v>38</v>
      </c>
      <c r="AB5894" t="s">
        <v>60</v>
      </c>
      <c r="AC5894" t="s">
        <v>87</v>
      </c>
    </row>
    <row r="5895" spans="1:29" x14ac:dyDescent="0.35">
      <c r="A5895" s="7">
        <v>42962</v>
      </c>
      <c r="B5895" t="s">
        <v>30</v>
      </c>
      <c r="C5895">
        <v>501</v>
      </c>
      <c r="D5895">
        <v>8</v>
      </c>
      <c r="E5895">
        <v>1</v>
      </c>
      <c r="F5895" t="s">
        <v>1020</v>
      </c>
      <c r="G5895" t="s">
        <v>32</v>
      </c>
      <c r="H5895" t="s">
        <v>33</v>
      </c>
      <c r="I5895" t="s">
        <v>1029</v>
      </c>
      <c r="J5895" t="s">
        <v>66</v>
      </c>
      <c r="AB5895" t="s">
        <v>60</v>
      </c>
      <c r="AC5895" t="s">
        <v>87</v>
      </c>
    </row>
    <row r="5896" spans="1:29" x14ac:dyDescent="0.35">
      <c r="A5896" s="7">
        <v>42962</v>
      </c>
      <c r="B5896" t="s">
        <v>30</v>
      </c>
      <c r="C5896">
        <v>501</v>
      </c>
      <c r="D5896">
        <v>9</v>
      </c>
      <c r="E5896">
        <v>1</v>
      </c>
      <c r="F5896" t="s">
        <v>1020</v>
      </c>
      <c r="G5896" t="s">
        <v>32</v>
      </c>
      <c r="H5896" t="s">
        <v>33</v>
      </c>
      <c r="I5896" t="s">
        <v>72</v>
      </c>
      <c r="J5896" t="s">
        <v>56</v>
      </c>
      <c r="AB5896" t="s">
        <v>60</v>
      </c>
      <c r="AC5896" t="s">
        <v>87</v>
      </c>
    </row>
    <row r="5897" spans="1:29" x14ac:dyDescent="0.35">
      <c r="A5897" s="7">
        <v>42962</v>
      </c>
      <c r="B5897" t="s">
        <v>30</v>
      </c>
      <c r="C5897">
        <v>503</v>
      </c>
      <c r="D5897">
        <v>1</v>
      </c>
      <c r="E5897">
        <v>1</v>
      </c>
      <c r="F5897" t="s">
        <v>1020</v>
      </c>
      <c r="G5897" t="s">
        <v>32</v>
      </c>
      <c r="H5897" t="s">
        <v>33</v>
      </c>
      <c r="I5897" t="s">
        <v>59</v>
      </c>
      <c r="AB5897" t="s">
        <v>60</v>
      </c>
      <c r="AC5897" t="s">
        <v>87</v>
      </c>
    </row>
    <row r="5898" spans="1:29" x14ac:dyDescent="0.35">
      <c r="A5898" s="7">
        <v>42962</v>
      </c>
      <c r="B5898" t="s">
        <v>30</v>
      </c>
      <c r="C5898">
        <v>503</v>
      </c>
      <c r="D5898">
        <v>1</v>
      </c>
      <c r="E5898">
        <v>2</v>
      </c>
      <c r="F5898" t="s">
        <v>1020</v>
      </c>
      <c r="G5898" t="s">
        <v>32</v>
      </c>
      <c r="H5898" t="s">
        <v>33</v>
      </c>
      <c r="I5898" t="s">
        <v>59</v>
      </c>
      <c r="AB5898" t="s">
        <v>60</v>
      </c>
      <c r="AC5898" t="s">
        <v>87</v>
      </c>
    </row>
    <row r="5899" spans="1:29" x14ac:dyDescent="0.35">
      <c r="A5899" s="7">
        <v>42962</v>
      </c>
      <c r="B5899" t="s">
        <v>30</v>
      </c>
      <c r="C5899">
        <v>503</v>
      </c>
      <c r="D5899">
        <v>2</v>
      </c>
      <c r="E5899">
        <v>1</v>
      </c>
      <c r="F5899" t="s">
        <v>1020</v>
      </c>
      <c r="G5899" t="s">
        <v>32</v>
      </c>
      <c r="H5899" t="s">
        <v>33</v>
      </c>
      <c r="I5899" t="s">
        <v>72</v>
      </c>
      <c r="J5899" t="s">
        <v>56</v>
      </c>
      <c r="AB5899" t="s">
        <v>60</v>
      </c>
      <c r="AC5899" t="s">
        <v>87</v>
      </c>
    </row>
    <row r="5900" spans="1:29" x14ac:dyDescent="0.35">
      <c r="A5900" s="7">
        <v>42962</v>
      </c>
      <c r="B5900" t="s">
        <v>30</v>
      </c>
      <c r="C5900">
        <v>503</v>
      </c>
      <c r="D5900">
        <v>3</v>
      </c>
      <c r="E5900">
        <v>1</v>
      </c>
      <c r="F5900" t="s">
        <v>1020</v>
      </c>
      <c r="G5900" t="s">
        <v>32</v>
      </c>
      <c r="H5900" t="s">
        <v>33</v>
      </c>
      <c r="I5900" t="s">
        <v>94</v>
      </c>
      <c r="J5900" t="s">
        <v>44</v>
      </c>
      <c r="K5900" t="s">
        <v>36</v>
      </c>
      <c r="L5900" t="s">
        <v>45</v>
      </c>
      <c r="M5900">
        <v>0</v>
      </c>
      <c r="N5900">
        <v>0</v>
      </c>
      <c r="O5900">
        <v>39320</v>
      </c>
      <c r="Q5900">
        <f>34-13</f>
        <v>21</v>
      </c>
      <c r="R5900" t="s">
        <v>79</v>
      </c>
      <c r="S5900" t="s">
        <v>39</v>
      </c>
      <c r="AB5900" t="s">
        <v>60</v>
      </c>
      <c r="AC5900" t="s">
        <v>87</v>
      </c>
    </row>
    <row r="5901" spans="1:29" x14ac:dyDescent="0.35">
      <c r="A5901" s="7">
        <v>42962</v>
      </c>
      <c r="B5901" t="s">
        <v>30</v>
      </c>
      <c r="C5901">
        <v>503</v>
      </c>
      <c r="D5901">
        <v>4</v>
      </c>
      <c r="E5901">
        <v>1</v>
      </c>
      <c r="F5901" t="s">
        <v>1020</v>
      </c>
      <c r="G5901" t="s">
        <v>32</v>
      </c>
      <c r="H5901" t="s">
        <v>33</v>
      </c>
      <c r="I5901" t="s">
        <v>59</v>
      </c>
      <c r="AB5901" t="s">
        <v>60</v>
      </c>
      <c r="AC5901" t="s">
        <v>87</v>
      </c>
    </row>
    <row r="5902" spans="1:29" x14ac:dyDescent="0.35">
      <c r="A5902" s="7">
        <v>42962</v>
      </c>
      <c r="B5902" t="s">
        <v>30</v>
      </c>
      <c r="C5902">
        <v>503</v>
      </c>
      <c r="D5902">
        <v>5</v>
      </c>
      <c r="E5902">
        <v>1</v>
      </c>
      <c r="F5902" t="s">
        <v>1020</v>
      </c>
      <c r="G5902" t="s">
        <v>32</v>
      </c>
      <c r="H5902" t="s">
        <v>33</v>
      </c>
      <c r="I5902" t="s">
        <v>1029</v>
      </c>
      <c r="J5902" t="s">
        <v>66</v>
      </c>
      <c r="AB5902" t="s">
        <v>60</v>
      </c>
      <c r="AC5902" t="s">
        <v>87</v>
      </c>
    </row>
    <row r="5903" spans="1:29" x14ac:dyDescent="0.35">
      <c r="A5903" s="7">
        <v>42962</v>
      </c>
      <c r="B5903" t="s">
        <v>30</v>
      </c>
      <c r="C5903">
        <v>503</v>
      </c>
      <c r="D5903">
        <v>6</v>
      </c>
      <c r="E5903">
        <v>1</v>
      </c>
      <c r="F5903" t="s">
        <v>1020</v>
      </c>
      <c r="G5903" t="s">
        <v>32</v>
      </c>
      <c r="H5903" t="s">
        <v>33</v>
      </c>
      <c r="I5903" t="s">
        <v>59</v>
      </c>
      <c r="AB5903" t="s">
        <v>60</v>
      </c>
      <c r="AC5903" t="s">
        <v>87</v>
      </c>
    </row>
    <row r="5904" spans="1:29" x14ac:dyDescent="0.35">
      <c r="A5904" s="7">
        <v>42962</v>
      </c>
      <c r="B5904" t="s">
        <v>30</v>
      </c>
      <c r="C5904">
        <v>503</v>
      </c>
      <c r="D5904">
        <v>6</v>
      </c>
      <c r="E5904">
        <v>2</v>
      </c>
      <c r="F5904" t="s">
        <v>1020</v>
      </c>
      <c r="G5904" t="s">
        <v>32</v>
      </c>
      <c r="H5904" t="s">
        <v>33</v>
      </c>
      <c r="I5904" t="s">
        <v>59</v>
      </c>
      <c r="AB5904" t="s">
        <v>60</v>
      </c>
      <c r="AC5904" t="s">
        <v>87</v>
      </c>
    </row>
    <row r="5905" spans="1:29" x14ac:dyDescent="0.35">
      <c r="A5905" s="7">
        <v>42962</v>
      </c>
      <c r="B5905" t="s">
        <v>30</v>
      </c>
      <c r="C5905">
        <v>503</v>
      </c>
      <c r="D5905">
        <v>7</v>
      </c>
      <c r="E5905">
        <v>1</v>
      </c>
      <c r="F5905" t="s">
        <v>1020</v>
      </c>
      <c r="G5905" t="s">
        <v>32</v>
      </c>
      <c r="H5905" t="s">
        <v>33</v>
      </c>
      <c r="I5905" t="s">
        <v>59</v>
      </c>
      <c r="AB5905" t="s">
        <v>60</v>
      </c>
      <c r="AC5905" t="s">
        <v>87</v>
      </c>
    </row>
    <row r="5906" spans="1:29" x14ac:dyDescent="0.35">
      <c r="A5906" s="7">
        <v>42962</v>
      </c>
      <c r="B5906" t="s">
        <v>30</v>
      </c>
      <c r="C5906">
        <v>503</v>
      </c>
      <c r="D5906">
        <v>8</v>
      </c>
      <c r="E5906">
        <v>1</v>
      </c>
      <c r="F5906" t="s">
        <v>1020</v>
      </c>
      <c r="G5906" t="s">
        <v>32</v>
      </c>
      <c r="H5906" t="s">
        <v>33</v>
      </c>
      <c r="I5906" t="s">
        <v>59</v>
      </c>
      <c r="AB5906" t="s">
        <v>60</v>
      </c>
      <c r="AC5906" t="s">
        <v>87</v>
      </c>
    </row>
    <row r="5907" spans="1:29" x14ac:dyDescent="0.35">
      <c r="A5907" s="7">
        <v>42962</v>
      </c>
      <c r="B5907" t="s">
        <v>30</v>
      </c>
      <c r="C5907">
        <v>503</v>
      </c>
      <c r="D5907">
        <v>8</v>
      </c>
      <c r="E5907">
        <v>2</v>
      </c>
      <c r="F5907" t="s">
        <v>1020</v>
      </c>
      <c r="G5907" t="s">
        <v>32</v>
      </c>
      <c r="H5907" t="s">
        <v>33</v>
      </c>
      <c r="I5907" t="s">
        <v>59</v>
      </c>
      <c r="AB5907" t="s">
        <v>60</v>
      </c>
      <c r="AC5907" t="s">
        <v>87</v>
      </c>
    </row>
    <row r="5908" spans="1:29" x14ac:dyDescent="0.35">
      <c r="A5908" s="7">
        <v>42962</v>
      </c>
      <c r="B5908" t="s">
        <v>30</v>
      </c>
      <c r="C5908">
        <v>503</v>
      </c>
      <c r="D5908">
        <v>9</v>
      </c>
      <c r="E5908">
        <v>1</v>
      </c>
      <c r="F5908" t="s">
        <v>1020</v>
      </c>
      <c r="G5908" t="s">
        <v>32</v>
      </c>
      <c r="H5908" t="s">
        <v>33</v>
      </c>
      <c r="I5908" t="s">
        <v>59</v>
      </c>
      <c r="AB5908" t="s">
        <v>60</v>
      </c>
      <c r="AC5908" t="s">
        <v>87</v>
      </c>
    </row>
    <row r="5909" spans="1:29" x14ac:dyDescent="0.35">
      <c r="A5909" s="7">
        <v>42962</v>
      </c>
      <c r="B5909" t="s">
        <v>30</v>
      </c>
      <c r="C5909">
        <v>503</v>
      </c>
      <c r="D5909">
        <v>9</v>
      </c>
      <c r="E5909">
        <v>2</v>
      </c>
      <c r="F5909" t="s">
        <v>1020</v>
      </c>
      <c r="G5909" t="s">
        <v>32</v>
      </c>
      <c r="H5909" t="s">
        <v>33</v>
      </c>
      <c r="I5909" t="s">
        <v>94</v>
      </c>
      <c r="J5909" t="s">
        <v>44</v>
      </c>
      <c r="K5909" t="s">
        <v>36</v>
      </c>
      <c r="L5909" t="s">
        <v>45</v>
      </c>
      <c r="M5909">
        <v>0</v>
      </c>
      <c r="N5909">
        <v>0</v>
      </c>
      <c r="O5909">
        <v>39498</v>
      </c>
      <c r="Q5909">
        <f>33-13.5</f>
        <v>19.5</v>
      </c>
      <c r="R5909" t="s">
        <v>46</v>
      </c>
      <c r="S5909" t="s">
        <v>39</v>
      </c>
      <c r="AB5909" t="s">
        <v>60</v>
      </c>
      <c r="AC5909" t="s">
        <v>87</v>
      </c>
    </row>
    <row r="5910" spans="1:29" x14ac:dyDescent="0.35">
      <c r="A5910" s="7">
        <v>42962</v>
      </c>
      <c r="B5910" t="s">
        <v>30</v>
      </c>
      <c r="C5910">
        <v>503</v>
      </c>
      <c r="D5910">
        <v>10</v>
      </c>
      <c r="E5910">
        <v>1</v>
      </c>
      <c r="F5910" t="s">
        <v>1020</v>
      </c>
      <c r="G5910" t="s">
        <v>32</v>
      </c>
      <c r="H5910" t="s">
        <v>33</v>
      </c>
      <c r="I5910" t="s">
        <v>43</v>
      </c>
      <c r="J5910" t="s">
        <v>44</v>
      </c>
      <c r="K5910" t="s">
        <v>36</v>
      </c>
      <c r="L5910" t="s">
        <v>45</v>
      </c>
      <c r="M5910">
        <v>0</v>
      </c>
      <c r="N5910">
        <v>0</v>
      </c>
      <c r="O5910">
        <v>39314</v>
      </c>
      <c r="P5910">
        <v>39315</v>
      </c>
      <c r="Q5910">
        <f>33-13</f>
        <v>20</v>
      </c>
      <c r="R5910" t="s">
        <v>1021</v>
      </c>
      <c r="S5910" t="s">
        <v>102</v>
      </c>
      <c r="AB5910" t="s">
        <v>60</v>
      </c>
      <c r="AC5910" t="s">
        <v>87</v>
      </c>
    </row>
    <row r="5911" spans="1:29" x14ac:dyDescent="0.35">
      <c r="A5911" s="7">
        <v>42962</v>
      </c>
      <c r="B5911" t="s">
        <v>30</v>
      </c>
      <c r="C5911">
        <v>701</v>
      </c>
      <c r="D5911">
        <v>1</v>
      </c>
      <c r="E5911">
        <v>1</v>
      </c>
      <c r="F5911" t="s">
        <v>315</v>
      </c>
      <c r="G5911" t="s">
        <v>32</v>
      </c>
      <c r="H5911" t="s">
        <v>33</v>
      </c>
      <c r="I5911" t="s">
        <v>59</v>
      </c>
      <c r="AB5911" t="s">
        <v>60</v>
      </c>
      <c r="AC5911" t="s">
        <v>87</v>
      </c>
    </row>
    <row r="5912" spans="1:29" x14ac:dyDescent="0.35">
      <c r="A5912" s="7">
        <v>42962</v>
      </c>
      <c r="B5912" t="s">
        <v>30</v>
      </c>
      <c r="C5912">
        <v>701</v>
      </c>
      <c r="D5912">
        <v>1</v>
      </c>
      <c r="E5912">
        <v>2</v>
      </c>
      <c r="F5912" t="s">
        <v>315</v>
      </c>
      <c r="G5912" t="s">
        <v>32</v>
      </c>
      <c r="H5912" t="s">
        <v>33</v>
      </c>
      <c r="I5912" t="s">
        <v>59</v>
      </c>
      <c r="AB5912" t="s">
        <v>60</v>
      </c>
      <c r="AC5912" t="s">
        <v>87</v>
      </c>
    </row>
    <row r="5913" spans="1:29" x14ac:dyDescent="0.35">
      <c r="A5913" s="7">
        <v>42962</v>
      </c>
      <c r="B5913" t="s">
        <v>30</v>
      </c>
      <c r="C5913">
        <v>701</v>
      </c>
      <c r="D5913">
        <v>2</v>
      </c>
      <c r="E5913">
        <v>1</v>
      </c>
      <c r="F5913" t="s">
        <v>315</v>
      </c>
      <c r="G5913" t="s">
        <v>32</v>
      </c>
      <c r="H5913" t="s">
        <v>33</v>
      </c>
      <c r="I5913" t="s">
        <v>59</v>
      </c>
      <c r="AB5913" t="s">
        <v>60</v>
      </c>
      <c r="AC5913" t="s">
        <v>87</v>
      </c>
    </row>
    <row r="5914" spans="1:29" x14ac:dyDescent="0.35">
      <c r="A5914" s="7">
        <v>42962</v>
      </c>
      <c r="B5914" t="s">
        <v>30</v>
      </c>
      <c r="C5914">
        <v>701</v>
      </c>
      <c r="D5914">
        <v>2</v>
      </c>
      <c r="E5914">
        <v>2</v>
      </c>
      <c r="F5914" t="s">
        <v>315</v>
      </c>
      <c r="G5914" t="s">
        <v>32</v>
      </c>
      <c r="H5914" t="s">
        <v>33</v>
      </c>
      <c r="I5914" t="s">
        <v>59</v>
      </c>
      <c r="AB5914" t="s">
        <v>60</v>
      </c>
      <c r="AC5914" t="s">
        <v>87</v>
      </c>
    </row>
    <row r="5915" spans="1:29" x14ac:dyDescent="0.35">
      <c r="A5915" s="7">
        <v>42962</v>
      </c>
      <c r="B5915" t="s">
        <v>30</v>
      </c>
      <c r="C5915">
        <v>701</v>
      </c>
      <c r="D5915">
        <v>3</v>
      </c>
      <c r="E5915">
        <v>1</v>
      </c>
      <c r="F5915" t="s">
        <v>315</v>
      </c>
      <c r="G5915" t="s">
        <v>32</v>
      </c>
      <c r="H5915" t="s">
        <v>33</v>
      </c>
      <c r="I5915" t="s">
        <v>59</v>
      </c>
      <c r="AB5915" t="s">
        <v>60</v>
      </c>
      <c r="AC5915" t="s">
        <v>87</v>
      </c>
    </row>
    <row r="5916" spans="1:29" x14ac:dyDescent="0.35">
      <c r="A5916" s="7">
        <v>42962</v>
      </c>
      <c r="B5916" t="s">
        <v>30</v>
      </c>
      <c r="C5916">
        <v>701</v>
      </c>
      <c r="D5916">
        <v>3</v>
      </c>
      <c r="E5916">
        <v>2</v>
      </c>
      <c r="F5916" t="s">
        <v>315</v>
      </c>
      <c r="G5916" t="s">
        <v>32</v>
      </c>
      <c r="H5916" t="s">
        <v>33</v>
      </c>
      <c r="I5916" t="s">
        <v>43</v>
      </c>
      <c r="J5916" t="s">
        <v>44</v>
      </c>
      <c r="K5916" t="s">
        <v>36</v>
      </c>
      <c r="L5916" t="s">
        <v>37</v>
      </c>
      <c r="M5916">
        <v>0</v>
      </c>
      <c r="N5916">
        <v>0</v>
      </c>
      <c r="O5916">
        <v>39741</v>
      </c>
      <c r="P5916">
        <v>39740</v>
      </c>
      <c r="Q5916">
        <f>34-13</f>
        <v>21</v>
      </c>
      <c r="R5916" t="s">
        <v>38</v>
      </c>
      <c r="Z5916" t="s">
        <v>102</v>
      </c>
      <c r="AB5916" t="s">
        <v>60</v>
      </c>
      <c r="AC5916" t="s">
        <v>87</v>
      </c>
    </row>
    <row r="5917" spans="1:29" x14ac:dyDescent="0.35">
      <c r="A5917" s="7">
        <v>42962</v>
      </c>
      <c r="B5917" t="s">
        <v>30</v>
      </c>
      <c r="C5917">
        <v>701</v>
      </c>
      <c r="D5917">
        <v>4</v>
      </c>
      <c r="E5917">
        <v>1</v>
      </c>
      <c r="F5917" t="s">
        <v>315</v>
      </c>
      <c r="G5917" t="s">
        <v>32</v>
      </c>
      <c r="H5917" t="s">
        <v>33</v>
      </c>
      <c r="I5917" t="s">
        <v>43</v>
      </c>
      <c r="J5917" t="s">
        <v>44</v>
      </c>
      <c r="K5917" t="s">
        <v>36</v>
      </c>
      <c r="L5917" t="s">
        <v>37</v>
      </c>
      <c r="M5917">
        <v>0</v>
      </c>
      <c r="N5917">
        <v>0</v>
      </c>
      <c r="O5917">
        <v>39352</v>
      </c>
      <c r="P5917">
        <v>39401</v>
      </c>
      <c r="Q5917">
        <f>32.5-13</f>
        <v>19.5</v>
      </c>
      <c r="R5917" t="s">
        <v>38</v>
      </c>
      <c r="Z5917" t="s">
        <v>102</v>
      </c>
      <c r="AB5917" t="s">
        <v>60</v>
      </c>
      <c r="AC5917" t="s">
        <v>87</v>
      </c>
    </row>
    <row r="5918" spans="1:29" x14ac:dyDescent="0.35">
      <c r="A5918" s="7">
        <v>42962</v>
      </c>
      <c r="B5918" t="s">
        <v>30</v>
      </c>
      <c r="C5918">
        <v>701</v>
      </c>
      <c r="D5918">
        <v>4</v>
      </c>
      <c r="E5918">
        <v>2</v>
      </c>
      <c r="F5918" t="s">
        <v>315</v>
      </c>
      <c r="G5918" t="s">
        <v>32</v>
      </c>
      <c r="H5918" t="s">
        <v>33</v>
      </c>
      <c r="I5918" t="s">
        <v>59</v>
      </c>
      <c r="AB5918" t="s">
        <v>60</v>
      </c>
      <c r="AC5918" t="s">
        <v>87</v>
      </c>
    </row>
    <row r="5919" spans="1:29" x14ac:dyDescent="0.35">
      <c r="A5919" s="7">
        <v>42962</v>
      </c>
      <c r="B5919" t="s">
        <v>30</v>
      </c>
      <c r="C5919">
        <v>701</v>
      </c>
      <c r="D5919">
        <v>5</v>
      </c>
      <c r="E5919">
        <v>1</v>
      </c>
      <c r="F5919" t="s">
        <v>315</v>
      </c>
      <c r="G5919" t="s">
        <v>32</v>
      </c>
      <c r="H5919" t="s">
        <v>33</v>
      </c>
      <c r="I5919" t="s">
        <v>59</v>
      </c>
      <c r="AB5919" t="s">
        <v>60</v>
      </c>
      <c r="AC5919" t="s">
        <v>87</v>
      </c>
    </row>
    <row r="5920" spans="1:29" x14ac:dyDescent="0.35">
      <c r="A5920" s="7">
        <v>42962</v>
      </c>
      <c r="B5920" t="s">
        <v>30</v>
      </c>
      <c r="C5920">
        <v>701</v>
      </c>
      <c r="D5920">
        <v>5</v>
      </c>
      <c r="E5920">
        <v>2</v>
      </c>
      <c r="F5920" t="s">
        <v>315</v>
      </c>
      <c r="G5920" t="s">
        <v>32</v>
      </c>
      <c r="H5920" t="s">
        <v>33</v>
      </c>
      <c r="I5920" t="s">
        <v>59</v>
      </c>
      <c r="AB5920" t="s">
        <v>60</v>
      </c>
      <c r="AC5920" t="s">
        <v>87</v>
      </c>
    </row>
    <row r="5921" spans="1:30" x14ac:dyDescent="0.35">
      <c r="A5921" s="7">
        <v>42962</v>
      </c>
      <c r="B5921" t="s">
        <v>30</v>
      </c>
      <c r="C5921">
        <v>701</v>
      </c>
      <c r="D5921">
        <v>6</v>
      </c>
      <c r="E5921">
        <v>1</v>
      </c>
      <c r="F5921" t="s">
        <v>315</v>
      </c>
      <c r="G5921" t="s">
        <v>32</v>
      </c>
      <c r="H5921" t="s">
        <v>33</v>
      </c>
      <c r="I5921" t="s">
        <v>59</v>
      </c>
      <c r="AB5921" t="s">
        <v>60</v>
      </c>
      <c r="AC5921" t="s">
        <v>87</v>
      </c>
    </row>
    <row r="5922" spans="1:30" x14ac:dyDescent="0.35">
      <c r="A5922" s="7">
        <v>42962</v>
      </c>
      <c r="B5922" t="s">
        <v>30</v>
      </c>
      <c r="C5922">
        <v>701</v>
      </c>
      <c r="D5922">
        <v>6</v>
      </c>
      <c r="E5922">
        <v>2</v>
      </c>
      <c r="F5922" t="s">
        <v>315</v>
      </c>
      <c r="G5922" t="s">
        <v>32</v>
      </c>
      <c r="H5922" t="s">
        <v>33</v>
      </c>
      <c r="I5922" t="s">
        <v>43</v>
      </c>
      <c r="J5922" t="s">
        <v>44</v>
      </c>
      <c r="K5922" t="s">
        <v>88</v>
      </c>
      <c r="L5922" t="s">
        <v>45</v>
      </c>
      <c r="M5922">
        <v>0</v>
      </c>
      <c r="N5922">
        <v>0</v>
      </c>
      <c r="O5922">
        <v>39404</v>
      </c>
      <c r="P5922">
        <v>39403</v>
      </c>
      <c r="Q5922">
        <f>27-13.5</f>
        <v>13.5</v>
      </c>
      <c r="R5922" t="s">
        <v>46</v>
      </c>
      <c r="S5922" t="s">
        <v>39</v>
      </c>
      <c r="Y5922" t="s">
        <v>1120</v>
      </c>
      <c r="Z5922" t="s">
        <v>102</v>
      </c>
      <c r="AB5922" t="s">
        <v>60</v>
      </c>
      <c r="AC5922" t="s">
        <v>87</v>
      </c>
    </row>
    <row r="5923" spans="1:30" x14ac:dyDescent="0.35">
      <c r="A5923" s="7">
        <v>42962</v>
      </c>
      <c r="B5923" t="s">
        <v>30</v>
      </c>
      <c r="C5923">
        <v>701</v>
      </c>
      <c r="D5923">
        <v>7</v>
      </c>
      <c r="E5923">
        <v>1</v>
      </c>
      <c r="F5923" t="s">
        <v>315</v>
      </c>
      <c r="G5923" t="s">
        <v>32</v>
      </c>
      <c r="H5923" t="s">
        <v>33</v>
      </c>
      <c r="I5923" t="s">
        <v>59</v>
      </c>
      <c r="AB5923" t="s">
        <v>60</v>
      </c>
      <c r="AC5923" t="s">
        <v>87</v>
      </c>
    </row>
    <row r="5924" spans="1:30" x14ac:dyDescent="0.35">
      <c r="A5924" s="7">
        <v>42962</v>
      </c>
      <c r="B5924" t="s">
        <v>30</v>
      </c>
      <c r="C5924">
        <v>701</v>
      </c>
      <c r="D5924">
        <v>7</v>
      </c>
      <c r="E5924">
        <v>2</v>
      </c>
      <c r="F5924" t="s">
        <v>315</v>
      </c>
      <c r="G5924" t="s">
        <v>32</v>
      </c>
      <c r="H5924" t="s">
        <v>33</v>
      </c>
      <c r="I5924" t="s">
        <v>59</v>
      </c>
      <c r="AB5924" t="s">
        <v>60</v>
      </c>
      <c r="AC5924" t="s">
        <v>87</v>
      </c>
    </row>
    <row r="5925" spans="1:30" x14ac:dyDescent="0.35">
      <c r="A5925" s="7">
        <v>42962</v>
      </c>
      <c r="B5925" t="s">
        <v>30</v>
      </c>
      <c r="C5925">
        <v>701</v>
      </c>
      <c r="D5925">
        <v>8</v>
      </c>
      <c r="E5925">
        <v>1</v>
      </c>
      <c r="F5925" t="s">
        <v>315</v>
      </c>
      <c r="G5925" t="s">
        <v>32</v>
      </c>
      <c r="H5925" t="s">
        <v>33</v>
      </c>
      <c r="I5925" t="s">
        <v>59</v>
      </c>
      <c r="AB5925" t="s">
        <v>60</v>
      </c>
      <c r="AC5925" t="s">
        <v>87</v>
      </c>
    </row>
    <row r="5926" spans="1:30" x14ac:dyDescent="0.35">
      <c r="A5926" s="7">
        <v>42962</v>
      </c>
      <c r="B5926" t="s">
        <v>30</v>
      </c>
      <c r="C5926">
        <v>701</v>
      </c>
      <c r="D5926">
        <v>8</v>
      </c>
      <c r="E5926">
        <v>2</v>
      </c>
      <c r="F5926" t="s">
        <v>315</v>
      </c>
      <c r="G5926" t="s">
        <v>32</v>
      </c>
      <c r="H5926" t="s">
        <v>33</v>
      </c>
      <c r="I5926" t="s">
        <v>59</v>
      </c>
      <c r="AB5926" t="s">
        <v>60</v>
      </c>
      <c r="AC5926" t="s">
        <v>87</v>
      </c>
    </row>
    <row r="5927" spans="1:30" x14ac:dyDescent="0.35">
      <c r="A5927" s="7">
        <v>42962</v>
      </c>
      <c r="B5927" t="s">
        <v>30</v>
      </c>
      <c r="C5927">
        <v>701</v>
      </c>
      <c r="D5927">
        <v>9</v>
      </c>
      <c r="E5927">
        <v>1</v>
      </c>
      <c r="F5927" t="s">
        <v>315</v>
      </c>
      <c r="G5927" t="s">
        <v>32</v>
      </c>
      <c r="H5927" t="s">
        <v>33</v>
      </c>
      <c r="I5927" t="s">
        <v>59</v>
      </c>
      <c r="AB5927" t="s">
        <v>60</v>
      </c>
      <c r="AC5927" t="s">
        <v>87</v>
      </c>
    </row>
    <row r="5928" spans="1:30" x14ac:dyDescent="0.35">
      <c r="A5928" s="7">
        <v>42962</v>
      </c>
      <c r="B5928" t="s">
        <v>30</v>
      </c>
      <c r="C5928">
        <v>701</v>
      </c>
      <c r="D5928">
        <v>9</v>
      </c>
      <c r="E5928">
        <v>2</v>
      </c>
      <c r="F5928" t="s">
        <v>315</v>
      </c>
      <c r="G5928" t="s">
        <v>32</v>
      </c>
      <c r="H5928" t="s">
        <v>33</v>
      </c>
      <c r="I5928" t="s">
        <v>59</v>
      </c>
      <c r="AB5928" t="s">
        <v>60</v>
      </c>
      <c r="AC5928" t="s">
        <v>87</v>
      </c>
    </row>
    <row r="5929" spans="1:30" x14ac:dyDescent="0.35">
      <c r="A5929" s="7">
        <v>42962</v>
      </c>
      <c r="B5929" t="s">
        <v>30</v>
      </c>
      <c r="C5929">
        <v>701</v>
      </c>
      <c r="D5929">
        <v>10</v>
      </c>
      <c r="E5929">
        <v>1</v>
      </c>
      <c r="F5929" t="s">
        <v>315</v>
      </c>
      <c r="G5929" t="s">
        <v>32</v>
      </c>
      <c r="H5929" t="s">
        <v>33</v>
      </c>
      <c r="I5929" t="s">
        <v>59</v>
      </c>
      <c r="AB5929" t="s">
        <v>60</v>
      </c>
      <c r="AC5929" t="s">
        <v>87</v>
      </c>
    </row>
    <row r="5930" spans="1:30" x14ac:dyDescent="0.35">
      <c r="A5930" s="7">
        <v>42962</v>
      </c>
      <c r="B5930" t="s">
        <v>30</v>
      </c>
      <c r="C5930">
        <v>701</v>
      </c>
      <c r="D5930">
        <v>10</v>
      </c>
      <c r="E5930">
        <v>2</v>
      </c>
      <c r="F5930" t="s">
        <v>315</v>
      </c>
      <c r="G5930" t="s">
        <v>32</v>
      </c>
      <c r="H5930" t="s">
        <v>33</v>
      </c>
      <c r="I5930" t="s">
        <v>94</v>
      </c>
      <c r="J5930" t="s">
        <v>44</v>
      </c>
      <c r="K5930" t="s">
        <v>36</v>
      </c>
      <c r="L5930" t="s">
        <v>45</v>
      </c>
      <c r="M5930">
        <v>0</v>
      </c>
      <c r="N5930">
        <v>0</v>
      </c>
      <c r="O5930">
        <v>2946</v>
      </c>
      <c r="Q5930">
        <f>35-14.5</f>
        <v>20.5</v>
      </c>
      <c r="R5930" t="s">
        <v>1021</v>
      </c>
      <c r="S5930" t="s">
        <v>102</v>
      </c>
      <c r="Z5930" t="s">
        <v>102</v>
      </c>
      <c r="AB5930" t="s">
        <v>60</v>
      </c>
      <c r="AC5930" t="s">
        <v>87</v>
      </c>
      <c r="AD5930" t="s">
        <v>1121</v>
      </c>
    </row>
    <row r="5931" spans="1:30" x14ac:dyDescent="0.35">
      <c r="A5931" s="7">
        <v>42962</v>
      </c>
      <c r="B5931" t="s">
        <v>30</v>
      </c>
      <c r="C5931">
        <v>703</v>
      </c>
      <c r="D5931">
        <v>1</v>
      </c>
      <c r="E5931">
        <v>1</v>
      </c>
      <c r="F5931" t="s">
        <v>315</v>
      </c>
      <c r="G5931" t="s">
        <v>32</v>
      </c>
      <c r="H5931" t="s">
        <v>33</v>
      </c>
      <c r="I5931" t="s">
        <v>59</v>
      </c>
      <c r="AB5931" t="s">
        <v>60</v>
      </c>
      <c r="AC5931" t="s">
        <v>87</v>
      </c>
    </row>
    <row r="5932" spans="1:30" x14ac:dyDescent="0.35">
      <c r="A5932" s="7">
        <v>42962</v>
      </c>
      <c r="B5932" t="s">
        <v>30</v>
      </c>
      <c r="C5932">
        <v>703</v>
      </c>
      <c r="D5932">
        <v>1</v>
      </c>
      <c r="E5932">
        <v>2</v>
      </c>
      <c r="F5932" t="s">
        <v>315</v>
      </c>
      <c r="G5932" t="s">
        <v>32</v>
      </c>
      <c r="H5932" t="s">
        <v>33</v>
      </c>
      <c r="I5932" t="s">
        <v>59</v>
      </c>
      <c r="AB5932" t="s">
        <v>60</v>
      </c>
      <c r="AC5932" t="s">
        <v>87</v>
      </c>
    </row>
    <row r="5933" spans="1:30" x14ac:dyDescent="0.35">
      <c r="A5933" s="7">
        <v>42962</v>
      </c>
      <c r="B5933" t="s">
        <v>30</v>
      </c>
      <c r="C5933">
        <v>703</v>
      </c>
      <c r="D5933">
        <v>2</v>
      </c>
      <c r="E5933">
        <v>1</v>
      </c>
      <c r="F5933" t="s">
        <v>315</v>
      </c>
      <c r="G5933" t="s">
        <v>32</v>
      </c>
      <c r="H5933" t="s">
        <v>33</v>
      </c>
      <c r="I5933" t="s">
        <v>59</v>
      </c>
      <c r="AB5933" t="s">
        <v>60</v>
      </c>
      <c r="AC5933" t="s">
        <v>87</v>
      </c>
    </row>
    <row r="5934" spans="1:30" x14ac:dyDescent="0.35">
      <c r="A5934" s="7">
        <v>42962</v>
      </c>
      <c r="B5934" t="s">
        <v>30</v>
      </c>
      <c r="C5934">
        <v>703</v>
      </c>
      <c r="D5934">
        <v>3</v>
      </c>
      <c r="E5934">
        <v>1</v>
      </c>
      <c r="F5934" t="s">
        <v>315</v>
      </c>
      <c r="G5934" t="s">
        <v>32</v>
      </c>
      <c r="H5934" t="s">
        <v>33</v>
      </c>
      <c r="I5934" t="s">
        <v>43</v>
      </c>
      <c r="J5934" t="s">
        <v>35</v>
      </c>
      <c r="K5934" t="s">
        <v>88</v>
      </c>
      <c r="L5934" t="s">
        <v>37</v>
      </c>
      <c r="M5934">
        <v>0</v>
      </c>
      <c r="N5934">
        <v>1</v>
      </c>
      <c r="O5934">
        <v>39885</v>
      </c>
      <c r="P5934">
        <v>39884</v>
      </c>
      <c r="Q5934">
        <f>20-13</f>
        <v>7</v>
      </c>
      <c r="R5934" t="s">
        <v>64</v>
      </c>
      <c r="Z5934" t="s">
        <v>102</v>
      </c>
      <c r="AB5934" t="s">
        <v>60</v>
      </c>
      <c r="AC5934" t="s">
        <v>87</v>
      </c>
      <c r="AD5934" t="s">
        <v>710</v>
      </c>
    </row>
    <row r="5935" spans="1:30" x14ac:dyDescent="0.35">
      <c r="A5935" s="7">
        <v>42962</v>
      </c>
      <c r="B5935" t="s">
        <v>30</v>
      </c>
      <c r="C5935">
        <v>703</v>
      </c>
      <c r="D5935">
        <v>3</v>
      </c>
      <c r="E5935">
        <v>2</v>
      </c>
      <c r="F5935" t="s">
        <v>315</v>
      </c>
      <c r="G5935" t="s">
        <v>32</v>
      </c>
      <c r="H5935" t="s">
        <v>33</v>
      </c>
      <c r="I5935" t="s">
        <v>43</v>
      </c>
      <c r="J5935" t="s">
        <v>44</v>
      </c>
      <c r="K5935" t="s">
        <v>36</v>
      </c>
      <c r="L5935" t="s">
        <v>45</v>
      </c>
      <c r="M5935">
        <v>0</v>
      </c>
      <c r="N5935">
        <v>0</v>
      </c>
      <c r="O5935">
        <v>39771</v>
      </c>
      <c r="P5935">
        <v>39770</v>
      </c>
      <c r="Q5935">
        <f>34-14</f>
        <v>20</v>
      </c>
      <c r="R5935" t="s">
        <v>1021</v>
      </c>
      <c r="S5935" t="s">
        <v>102</v>
      </c>
      <c r="Z5935" t="s">
        <v>102</v>
      </c>
      <c r="AB5935" t="s">
        <v>60</v>
      </c>
      <c r="AC5935" t="s">
        <v>87</v>
      </c>
      <c r="AD5935" t="s">
        <v>710</v>
      </c>
    </row>
    <row r="5936" spans="1:30" x14ac:dyDescent="0.35">
      <c r="A5936" s="7">
        <v>42962</v>
      </c>
      <c r="B5936" t="s">
        <v>30</v>
      </c>
      <c r="C5936">
        <v>703</v>
      </c>
      <c r="D5936">
        <v>4</v>
      </c>
      <c r="E5936">
        <v>1</v>
      </c>
      <c r="F5936" t="s">
        <v>315</v>
      </c>
      <c r="G5936" t="s">
        <v>32</v>
      </c>
      <c r="H5936" t="s">
        <v>33</v>
      </c>
      <c r="I5936" t="s">
        <v>1029</v>
      </c>
      <c r="J5936" t="s">
        <v>66</v>
      </c>
      <c r="AB5936" t="s">
        <v>60</v>
      </c>
      <c r="AC5936" t="s">
        <v>87</v>
      </c>
    </row>
    <row r="5937" spans="1:29" x14ac:dyDescent="0.35">
      <c r="A5937" s="7">
        <v>42962</v>
      </c>
      <c r="B5937" t="s">
        <v>30</v>
      </c>
      <c r="C5937">
        <v>703</v>
      </c>
      <c r="D5937">
        <v>4</v>
      </c>
      <c r="E5937">
        <v>2</v>
      </c>
      <c r="F5937" t="s">
        <v>315</v>
      </c>
      <c r="G5937" t="s">
        <v>32</v>
      </c>
      <c r="H5937" t="s">
        <v>33</v>
      </c>
      <c r="I5937" t="s">
        <v>59</v>
      </c>
      <c r="AB5937" t="s">
        <v>60</v>
      </c>
      <c r="AC5937" t="s">
        <v>87</v>
      </c>
    </row>
    <row r="5938" spans="1:29" x14ac:dyDescent="0.35">
      <c r="A5938" s="7">
        <v>42962</v>
      </c>
      <c r="B5938" t="s">
        <v>30</v>
      </c>
      <c r="C5938">
        <v>703</v>
      </c>
      <c r="D5938">
        <v>5</v>
      </c>
      <c r="E5938">
        <v>1</v>
      </c>
      <c r="F5938" t="s">
        <v>315</v>
      </c>
      <c r="G5938" t="s">
        <v>32</v>
      </c>
      <c r="H5938" t="s">
        <v>33</v>
      </c>
      <c r="I5938" t="s">
        <v>94</v>
      </c>
      <c r="J5938" t="s">
        <v>44</v>
      </c>
      <c r="K5938" t="s">
        <v>36</v>
      </c>
      <c r="L5938" t="s">
        <v>45</v>
      </c>
      <c r="M5938">
        <v>0</v>
      </c>
      <c r="N5938">
        <v>0</v>
      </c>
      <c r="P5938">
        <v>39402</v>
      </c>
      <c r="Q5938">
        <f>32-13</f>
        <v>19</v>
      </c>
      <c r="R5938" t="s">
        <v>1021</v>
      </c>
      <c r="S5938" t="s">
        <v>102</v>
      </c>
      <c r="Z5938" t="s">
        <v>102</v>
      </c>
      <c r="AB5938" t="s">
        <v>60</v>
      </c>
      <c r="AC5938" t="s">
        <v>87</v>
      </c>
    </row>
    <row r="5939" spans="1:29" x14ac:dyDescent="0.35">
      <c r="A5939" s="7">
        <v>42962</v>
      </c>
      <c r="B5939" t="s">
        <v>30</v>
      </c>
      <c r="C5939">
        <v>703</v>
      </c>
      <c r="D5939">
        <v>5</v>
      </c>
      <c r="E5939">
        <v>2</v>
      </c>
      <c r="F5939" t="s">
        <v>315</v>
      </c>
      <c r="G5939" t="s">
        <v>32</v>
      </c>
      <c r="H5939" t="s">
        <v>33</v>
      </c>
      <c r="I5939" t="s">
        <v>72</v>
      </c>
      <c r="J5939" t="s">
        <v>56</v>
      </c>
      <c r="AB5939" t="s">
        <v>60</v>
      </c>
      <c r="AC5939" t="s">
        <v>87</v>
      </c>
    </row>
    <row r="5940" spans="1:29" x14ac:dyDescent="0.35">
      <c r="A5940" s="7">
        <v>42962</v>
      </c>
      <c r="B5940" t="s">
        <v>30</v>
      </c>
      <c r="C5940">
        <v>703</v>
      </c>
      <c r="D5940">
        <v>6</v>
      </c>
      <c r="E5940">
        <v>1</v>
      </c>
      <c r="F5940" t="s">
        <v>315</v>
      </c>
      <c r="G5940" t="s">
        <v>32</v>
      </c>
      <c r="H5940" t="s">
        <v>33</v>
      </c>
      <c r="I5940" t="s">
        <v>59</v>
      </c>
      <c r="AB5940" t="s">
        <v>60</v>
      </c>
      <c r="AC5940" t="s">
        <v>87</v>
      </c>
    </row>
    <row r="5941" spans="1:29" x14ac:dyDescent="0.35">
      <c r="A5941" s="7">
        <v>42962</v>
      </c>
      <c r="B5941" t="s">
        <v>30</v>
      </c>
      <c r="C5941">
        <v>703</v>
      </c>
      <c r="D5941">
        <v>7</v>
      </c>
      <c r="E5941">
        <v>1</v>
      </c>
      <c r="F5941" t="s">
        <v>315</v>
      </c>
      <c r="G5941" t="s">
        <v>32</v>
      </c>
      <c r="H5941" t="s">
        <v>33</v>
      </c>
      <c r="I5941" t="s">
        <v>59</v>
      </c>
      <c r="AB5941" t="s">
        <v>60</v>
      </c>
      <c r="AC5941" t="s">
        <v>87</v>
      </c>
    </row>
    <row r="5942" spans="1:29" x14ac:dyDescent="0.35">
      <c r="A5942" s="7">
        <v>42962</v>
      </c>
      <c r="B5942" t="s">
        <v>30</v>
      </c>
      <c r="C5942">
        <v>703</v>
      </c>
      <c r="D5942">
        <v>7</v>
      </c>
      <c r="E5942">
        <v>2</v>
      </c>
      <c r="F5942" t="s">
        <v>315</v>
      </c>
      <c r="G5942" t="s">
        <v>32</v>
      </c>
      <c r="H5942" t="s">
        <v>33</v>
      </c>
      <c r="I5942" t="s">
        <v>43</v>
      </c>
      <c r="J5942" t="s">
        <v>44</v>
      </c>
      <c r="K5942" t="s">
        <v>36</v>
      </c>
      <c r="L5942" t="s">
        <v>37</v>
      </c>
      <c r="M5942">
        <v>0</v>
      </c>
      <c r="N5942">
        <v>0</v>
      </c>
      <c r="O5942">
        <v>39877</v>
      </c>
      <c r="P5942">
        <v>39876</v>
      </c>
      <c r="Q5942">
        <f>30-13</f>
        <v>17</v>
      </c>
      <c r="R5942" t="s">
        <v>38</v>
      </c>
      <c r="Z5942" t="s">
        <v>102</v>
      </c>
      <c r="AB5942" t="s">
        <v>60</v>
      </c>
      <c r="AC5942" t="s">
        <v>87</v>
      </c>
    </row>
    <row r="5943" spans="1:29" x14ac:dyDescent="0.35">
      <c r="A5943" s="7">
        <v>42962</v>
      </c>
      <c r="B5943" t="s">
        <v>30</v>
      </c>
      <c r="C5943">
        <v>703</v>
      </c>
      <c r="D5943">
        <v>8</v>
      </c>
      <c r="E5943">
        <v>1</v>
      </c>
      <c r="F5943" t="s">
        <v>315</v>
      </c>
      <c r="G5943" t="s">
        <v>32</v>
      </c>
      <c r="H5943" t="s">
        <v>33</v>
      </c>
      <c r="I5943" t="s">
        <v>59</v>
      </c>
      <c r="AB5943" t="s">
        <v>60</v>
      </c>
      <c r="AC5943" t="s">
        <v>87</v>
      </c>
    </row>
    <row r="5944" spans="1:29" x14ac:dyDescent="0.35">
      <c r="A5944" s="7">
        <v>42962</v>
      </c>
      <c r="B5944" t="s">
        <v>30</v>
      </c>
      <c r="C5944">
        <v>703</v>
      </c>
      <c r="D5944">
        <v>8</v>
      </c>
      <c r="E5944">
        <v>2</v>
      </c>
      <c r="F5944" t="s">
        <v>315</v>
      </c>
      <c r="G5944" t="s">
        <v>32</v>
      </c>
      <c r="H5944" t="s">
        <v>33</v>
      </c>
      <c r="I5944" t="s">
        <v>59</v>
      </c>
      <c r="AB5944" t="s">
        <v>60</v>
      </c>
      <c r="AC5944" t="s">
        <v>87</v>
      </c>
    </row>
    <row r="5945" spans="1:29" x14ac:dyDescent="0.35">
      <c r="A5945" s="7">
        <v>42962</v>
      </c>
      <c r="B5945" t="s">
        <v>30</v>
      </c>
      <c r="C5945">
        <v>703</v>
      </c>
      <c r="D5945">
        <v>9</v>
      </c>
      <c r="E5945">
        <v>1</v>
      </c>
      <c r="F5945" t="s">
        <v>315</v>
      </c>
      <c r="G5945" t="s">
        <v>32</v>
      </c>
      <c r="H5945" t="s">
        <v>33</v>
      </c>
      <c r="I5945" t="s">
        <v>59</v>
      </c>
      <c r="AB5945" t="s">
        <v>60</v>
      </c>
      <c r="AC5945" t="s">
        <v>87</v>
      </c>
    </row>
    <row r="5946" spans="1:29" x14ac:dyDescent="0.35">
      <c r="A5946" s="7">
        <v>42962</v>
      </c>
      <c r="B5946" t="s">
        <v>30</v>
      </c>
      <c r="C5946">
        <v>703</v>
      </c>
      <c r="D5946">
        <v>10</v>
      </c>
      <c r="E5946">
        <v>1</v>
      </c>
      <c r="F5946" t="s">
        <v>315</v>
      </c>
      <c r="G5946" t="s">
        <v>32</v>
      </c>
      <c r="H5946" t="s">
        <v>33</v>
      </c>
      <c r="I5946" t="s">
        <v>59</v>
      </c>
      <c r="AB5946" t="s">
        <v>60</v>
      </c>
      <c r="AC5946" t="s">
        <v>87</v>
      </c>
    </row>
    <row r="5947" spans="1:29" x14ac:dyDescent="0.35">
      <c r="A5947" s="7">
        <v>42962</v>
      </c>
      <c r="B5947" t="s">
        <v>30</v>
      </c>
      <c r="C5947">
        <v>703</v>
      </c>
      <c r="D5947">
        <v>10</v>
      </c>
      <c r="E5947">
        <v>2</v>
      </c>
      <c r="F5947" t="s">
        <v>315</v>
      </c>
      <c r="G5947" t="s">
        <v>32</v>
      </c>
      <c r="H5947" t="s">
        <v>33</v>
      </c>
      <c r="I5947" t="s">
        <v>43</v>
      </c>
      <c r="J5947" t="s">
        <v>44</v>
      </c>
      <c r="K5947" t="s">
        <v>36</v>
      </c>
      <c r="L5947" t="s">
        <v>37</v>
      </c>
      <c r="M5947">
        <v>0</v>
      </c>
      <c r="N5947">
        <v>0</v>
      </c>
      <c r="O5947">
        <v>39743</v>
      </c>
      <c r="P5947">
        <v>39742</v>
      </c>
      <c r="Q5947">
        <f>32-13</f>
        <v>19</v>
      </c>
      <c r="R5947" t="s">
        <v>38</v>
      </c>
      <c r="Z5947" t="s">
        <v>102</v>
      </c>
      <c r="AB5947" t="s">
        <v>60</v>
      </c>
      <c r="AC5947" t="s">
        <v>87</v>
      </c>
    </row>
    <row r="5948" spans="1:29" x14ac:dyDescent="0.35">
      <c r="A5948" s="7">
        <v>42962</v>
      </c>
      <c r="B5948" t="s">
        <v>30</v>
      </c>
      <c r="C5948">
        <v>801</v>
      </c>
      <c r="D5948">
        <v>1</v>
      </c>
      <c r="E5948">
        <v>1</v>
      </c>
      <c r="F5948" t="s">
        <v>315</v>
      </c>
      <c r="G5948" t="s">
        <v>32</v>
      </c>
      <c r="H5948" t="s">
        <v>33</v>
      </c>
      <c r="I5948" t="s">
        <v>43</v>
      </c>
      <c r="J5948" t="s">
        <v>35</v>
      </c>
      <c r="K5948" t="s">
        <v>36</v>
      </c>
      <c r="L5948" t="s">
        <v>37</v>
      </c>
      <c r="M5948">
        <v>0</v>
      </c>
      <c r="N5948">
        <v>1</v>
      </c>
      <c r="O5948">
        <v>39887</v>
      </c>
      <c r="P5948">
        <v>39886</v>
      </c>
      <c r="Q5948">
        <f>35-14.5</f>
        <v>20.5</v>
      </c>
      <c r="R5948" t="s">
        <v>38</v>
      </c>
      <c r="AB5948" t="s">
        <v>60</v>
      </c>
      <c r="AC5948" t="s">
        <v>87</v>
      </c>
    </row>
    <row r="5949" spans="1:29" x14ac:dyDescent="0.35">
      <c r="A5949" s="7">
        <v>42962</v>
      </c>
      <c r="B5949" t="s">
        <v>30</v>
      </c>
      <c r="C5949">
        <v>801</v>
      </c>
      <c r="D5949">
        <v>1</v>
      </c>
      <c r="E5949">
        <v>2</v>
      </c>
      <c r="F5949" t="s">
        <v>315</v>
      </c>
      <c r="G5949" t="s">
        <v>32</v>
      </c>
      <c r="H5949" t="s">
        <v>33</v>
      </c>
      <c r="I5949" t="s">
        <v>59</v>
      </c>
      <c r="AB5949" t="s">
        <v>60</v>
      </c>
      <c r="AC5949" t="s">
        <v>87</v>
      </c>
    </row>
    <row r="5950" spans="1:29" x14ac:dyDescent="0.35">
      <c r="A5950" s="7">
        <v>42962</v>
      </c>
      <c r="B5950" t="s">
        <v>30</v>
      </c>
      <c r="C5950">
        <v>801</v>
      </c>
      <c r="D5950">
        <v>2</v>
      </c>
      <c r="E5950">
        <v>1</v>
      </c>
      <c r="F5950" t="s">
        <v>315</v>
      </c>
      <c r="G5950" t="s">
        <v>32</v>
      </c>
      <c r="H5950" t="s">
        <v>33</v>
      </c>
      <c r="I5950" t="s">
        <v>59</v>
      </c>
      <c r="AB5950" t="s">
        <v>60</v>
      </c>
      <c r="AC5950" t="s">
        <v>87</v>
      </c>
    </row>
    <row r="5951" spans="1:29" x14ac:dyDescent="0.35">
      <c r="A5951" s="7">
        <v>42962</v>
      </c>
      <c r="B5951" t="s">
        <v>30</v>
      </c>
      <c r="C5951">
        <v>801</v>
      </c>
      <c r="D5951">
        <v>2</v>
      </c>
      <c r="E5951">
        <v>2</v>
      </c>
      <c r="F5951" t="s">
        <v>315</v>
      </c>
      <c r="G5951" t="s">
        <v>32</v>
      </c>
      <c r="H5951" t="s">
        <v>33</v>
      </c>
      <c r="I5951" t="s">
        <v>59</v>
      </c>
      <c r="AB5951" t="s">
        <v>60</v>
      </c>
      <c r="AC5951" t="s">
        <v>87</v>
      </c>
    </row>
    <row r="5952" spans="1:29" x14ac:dyDescent="0.35">
      <c r="A5952" s="7">
        <v>42962</v>
      </c>
      <c r="B5952" t="s">
        <v>30</v>
      </c>
      <c r="C5952">
        <v>801</v>
      </c>
      <c r="D5952">
        <v>3</v>
      </c>
      <c r="E5952">
        <v>1</v>
      </c>
      <c r="F5952" t="s">
        <v>315</v>
      </c>
      <c r="G5952" t="s">
        <v>32</v>
      </c>
      <c r="H5952" t="s">
        <v>33</v>
      </c>
      <c r="I5952" t="s">
        <v>59</v>
      </c>
      <c r="AB5952" t="s">
        <v>60</v>
      </c>
      <c r="AC5952" t="s">
        <v>87</v>
      </c>
    </row>
    <row r="5953" spans="1:29" x14ac:dyDescent="0.35">
      <c r="A5953" s="7">
        <v>42962</v>
      </c>
      <c r="B5953" t="s">
        <v>30</v>
      </c>
      <c r="C5953">
        <v>801</v>
      </c>
      <c r="D5953">
        <v>3</v>
      </c>
      <c r="E5953">
        <v>2</v>
      </c>
      <c r="F5953" t="s">
        <v>315</v>
      </c>
      <c r="G5953" t="s">
        <v>32</v>
      </c>
      <c r="H5953" t="s">
        <v>33</v>
      </c>
      <c r="I5953" t="s">
        <v>59</v>
      </c>
      <c r="AB5953" t="s">
        <v>60</v>
      </c>
      <c r="AC5953" t="s">
        <v>87</v>
      </c>
    </row>
    <row r="5954" spans="1:29" x14ac:dyDescent="0.35">
      <c r="A5954" s="7">
        <v>42962</v>
      </c>
      <c r="B5954" t="s">
        <v>30</v>
      </c>
      <c r="C5954">
        <v>801</v>
      </c>
      <c r="D5954">
        <v>4</v>
      </c>
      <c r="E5954">
        <v>1</v>
      </c>
      <c r="F5954" t="s">
        <v>315</v>
      </c>
      <c r="G5954" t="s">
        <v>32</v>
      </c>
      <c r="H5954" t="s">
        <v>33</v>
      </c>
      <c r="I5954" t="s">
        <v>59</v>
      </c>
      <c r="AB5954" t="s">
        <v>60</v>
      </c>
      <c r="AC5954" t="s">
        <v>87</v>
      </c>
    </row>
    <row r="5955" spans="1:29" x14ac:dyDescent="0.35">
      <c r="A5955" s="7">
        <v>42962</v>
      </c>
      <c r="B5955" t="s">
        <v>30</v>
      </c>
      <c r="C5955">
        <v>801</v>
      </c>
      <c r="D5955">
        <v>4</v>
      </c>
      <c r="E5955">
        <v>2</v>
      </c>
      <c r="F5955" t="s">
        <v>315</v>
      </c>
      <c r="G5955" t="s">
        <v>32</v>
      </c>
      <c r="H5955" t="s">
        <v>33</v>
      </c>
      <c r="I5955" t="s">
        <v>59</v>
      </c>
      <c r="AB5955" t="s">
        <v>60</v>
      </c>
      <c r="AC5955" t="s">
        <v>87</v>
      </c>
    </row>
    <row r="5956" spans="1:29" x14ac:dyDescent="0.35">
      <c r="A5956" s="7">
        <v>42962</v>
      </c>
      <c r="B5956" t="s">
        <v>30</v>
      </c>
      <c r="C5956">
        <v>801</v>
      </c>
      <c r="D5956">
        <v>5</v>
      </c>
      <c r="E5956">
        <v>1</v>
      </c>
      <c r="F5956" t="s">
        <v>315</v>
      </c>
      <c r="G5956" t="s">
        <v>32</v>
      </c>
      <c r="H5956" t="s">
        <v>33</v>
      </c>
      <c r="I5956" t="s">
        <v>59</v>
      </c>
      <c r="AB5956" t="s">
        <v>60</v>
      </c>
      <c r="AC5956" t="s">
        <v>87</v>
      </c>
    </row>
    <row r="5957" spans="1:29" x14ac:dyDescent="0.35">
      <c r="A5957" s="7">
        <v>42962</v>
      </c>
      <c r="B5957" t="s">
        <v>30</v>
      </c>
      <c r="C5957">
        <v>801</v>
      </c>
      <c r="D5957">
        <v>5</v>
      </c>
      <c r="E5957">
        <v>2</v>
      </c>
      <c r="F5957" t="s">
        <v>315</v>
      </c>
      <c r="G5957" t="s">
        <v>32</v>
      </c>
      <c r="H5957" t="s">
        <v>33</v>
      </c>
      <c r="I5957" t="s">
        <v>59</v>
      </c>
      <c r="AB5957" t="s">
        <v>60</v>
      </c>
      <c r="AC5957" t="s">
        <v>87</v>
      </c>
    </row>
    <row r="5958" spans="1:29" x14ac:dyDescent="0.35">
      <c r="A5958" s="7">
        <v>42962</v>
      </c>
      <c r="B5958" t="s">
        <v>30</v>
      </c>
      <c r="C5958">
        <v>801</v>
      </c>
      <c r="D5958">
        <v>6</v>
      </c>
      <c r="E5958">
        <v>1</v>
      </c>
      <c r="F5958" t="s">
        <v>315</v>
      </c>
      <c r="G5958" t="s">
        <v>32</v>
      </c>
      <c r="H5958" t="s">
        <v>33</v>
      </c>
      <c r="I5958" t="s">
        <v>59</v>
      </c>
      <c r="AB5958" t="s">
        <v>60</v>
      </c>
      <c r="AC5958" t="s">
        <v>87</v>
      </c>
    </row>
    <row r="5959" spans="1:29" x14ac:dyDescent="0.35">
      <c r="A5959" s="7">
        <v>42962</v>
      </c>
      <c r="B5959" t="s">
        <v>30</v>
      </c>
      <c r="C5959">
        <v>801</v>
      </c>
      <c r="D5959">
        <v>6</v>
      </c>
      <c r="E5959">
        <v>2</v>
      </c>
      <c r="F5959" t="s">
        <v>315</v>
      </c>
      <c r="G5959" t="s">
        <v>32</v>
      </c>
      <c r="H5959" t="s">
        <v>33</v>
      </c>
      <c r="I5959" t="s">
        <v>59</v>
      </c>
      <c r="AB5959" t="s">
        <v>60</v>
      </c>
      <c r="AC5959" t="s">
        <v>87</v>
      </c>
    </row>
    <row r="5960" spans="1:29" x14ac:dyDescent="0.35">
      <c r="A5960" s="7">
        <v>42962</v>
      </c>
      <c r="B5960" t="s">
        <v>30</v>
      </c>
      <c r="C5960">
        <v>801</v>
      </c>
      <c r="D5960">
        <v>7</v>
      </c>
      <c r="E5960">
        <v>1</v>
      </c>
      <c r="F5960" t="s">
        <v>315</v>
      </c>
      <c r="G5960" t="s">
        <v>32</v>
      </c>
      <c r="H5960" t="s">
        <v>33</v>
      </c>
      <c r="I5960" t="s">
        <v>59</v>
      </c>
      <c r="AB5960" t="s">
        <v>60</v>
      </c>
      <c r="AC5960" t="s">
        <v>87</v>
      </c>
    </row>
    <row r="5961" spans="1:29" x14ac:dyDescent="0.35">
      <c r="A5961" s="7">
        <v>42962</v>
      </c>
      <c r="B5961" t="s">
        <v>30</v>
      </c>
      <c r="C5961">
        <v>801</v>
      </c>
      <c r="D5961">
        <v>7</v>
      </c>
      <c r="E5961">
        <v>2</v>
      </c>
      <c r="F5961" t="s">
        <v>315</v>
      </c>
      <c r="G5961" t="s">
        <v>32</v>
      </c>
      <c r="H5961" t="s">
        <v>33</v>
      </c>
      <c r="I5961" t="s">
        <v>59</v>
      </c>
      <c r="AB5961" t="s">
        <v>60</v>
      </c>
      <c r="AC5961" t="s">
        <v>87</v>
      </c>
    </row>
    <row r="5962" spans="1:29" x14ac:dyDescent="0.35">
      <c r="A5962" s="7">
        <v>42962</v>
      </c>
      <c r="B5962" t="s">
        <v>30</v>
      </c>
      <c r="C5962">
        <v>801</v>
      </c>
      <c r="D5962">
        <v>8</v>
      </c>
      <c r="E5962">
        <v>1</v>
      </c>
      <c r="F5962" t="s">
        <v>315</v>
      </c>
      <c r="G5962" t="s">
        <v>32</v>
      </c>
      <c r="H5962" t="s">
        <v>33</v>
      </c>
      <c r="I5962" t="s">
        <v>59</v>
      </c>
      <c r="AB5962" t="s">
        <v>60</v>
      </c>
      <c r="AC5962" t="s">
        <v>87</v>
      </c>
    </row>
    <row r="5963" spans="1:29" x14ac:dyDescent="0.35">
      <c r="A5963" s="7">
        <v>42962</v>
      </c>
      <c r="B5963" t="s">
        <v>30</v>
      </c>
      <c r="C5963">
        <v>801</v>
      </c>
      <c r="D5963">
        <v>8</v>
      </c>
      <c r="E5963">
        <v>2</v>
      </c>
      <c r="F5963" t="s">
        <v>315</v>
      </c>
      <c r="G5963" t="s">
        <v>32</v>
      </c>
      <c r="H5963" t="s">
        <v>33</v>
      </c>
      <c r="I5963" t="s">
        <v>59</v>
      </c>
      <c r="AB5963" t="s">
        <v>60</v>
      </c>
      <c r="AC5963" t="s">
        <v>87</v>
      </c>
    </row>
    <row r="5964" spans="1:29" x14ac:dyDescent="0.35">
      <c r="A5964" s="7">
        <v>42962</v>
      </c>
      <c r="B5964" t="s">
        <v>30</v>
      </c>
      <c r="C5964">
        <v>801</v>
      </c>
      <c r="D5964">
        <v>9</v>
      </c>
      <c r="E5964">
        <v>1</v>
      </c>
      <c r="F5964" t="s">
        <v>315</v>
      </c>
      <c r="G5964" t="s">
        <v>32</v>
      </c>
      <c r="H5964" t="s">
        <v>33</v>
      </c>
      <c r="I5964" t="s">
        <v>59</v>
      </c>
      <c r="AB5964" t="s">
        <v>60</v>
      </c>
      <c r="AC5964" t="s">
        <v>87</v>
      </c>
    </row>
    <row r="5965" spans="1:29" x14ac:dyDescent="0.35">
      <c r="A5965" s="7">
        <v>42962</v>
      </c>
      <c r="B5965" t="s">
        <v>30</v>
      </c>
      <c r="C5965">
        <v>801</v>
      </c>
      <c r="D5965">
        <v>9</v>
      </c>
      <c r="E5965">
        <v>2</v>
      </c>
      <c r="F5965" t="s">
        <v>315</v>
      </c>
      <c r="G5965" t="s">
        <v>32</v>
      </c>
      <c r="H5965" t="s">
        <v>33</v>
      </c>
      <c r="I5965" t="s">
        <v>59</v>
      </c>
      <c r="AB5965" t="s">
        <v>60</v>
      </c>
      <c r="AC5965" t="s">
        <v>87</v>
      </c>
    </row>
    <row r="5966" spans="1:29" x14ac:dyDescent="0.35">
      <c r="A5966" s="7">
        <v>42962</v>
      </c>
      <c r="B5966" t="s">
        <v>30</v>
      </c>
      <c r="C5966">
        <v>801</v>
      </c>
      <c r="D5966">
        <v>10</v>
      </c>
      <c r="E5966">
        <v>1</v>
      </c>
      <c r="F5966" t="s">
        <v>315</v>
      </c>
      <c r="G5966" t="s">
        <v>32</v>
      </c>
      <c r="H5966" t="s">
        <v>33</v>
      </c>
      <c r="I5966" t="s">
        <v>59</v>
      </c>
      <c r="AB5966" t="s">
        <v>60</v>
      </c>
      <c r="AC5966" t="s">
        <v>87</v>
      </c>
    </row>
    <row r="5967" spans="1:29" x14ac:dyDescent="0.35">
      <c r="A5967" s="7">
        <v>42962</v>
      </c>
      <c r="B5967" t="s">
        <v>30</v>
      </c>
      <c r="C5967">
        <v>801</v>
      </c>
      <c r="D5967">
        <v>10</v>
      </c>
      <c r="E5967">
        <v>2</v>
      </c>
      <c r="F5967" t="s">
        <v>315</v>
      </c>
      <c r="G5967" t="s">
        <v>32</v>
      </c>
      <c r="H5967" t="s">
        <v>33</v>
      </c>
      <c r="I5967" t="s">
        <v>72</v>
      </c>
      <c r="J5967" t="s">
        <v>66</v>
      </c>
      <c r="AB5967" t="s">
        <v>60</v>
      </c>
      <c r="AC5967" t="s">
        <v>87</v>
      </c>
    </row>
    <row r="5968" spans="1:29" x14ac:dyDescent="0.35">
      <c r="A5968" s="7">
        <v>42962</v>
      </c>
      <c r="B5968" t="s">
        <v>30</v>
      </c>
      <c r="C5968">
        <v>803</v>
      </c>
      <c r="D5968">
        <v>1</v>
      </c>
      <c r="E5968">
        <v>1</v>
      </c>
      <c r="F5968" t="s">
        <v>315</v>
      </c>
      <c r="G5968" t="s">
        <v>32</v>
      </c>
      <c r="H5968" t="s">
        <v>33</v>
      </c>
      <c r="I5968" t="s">
        <v>59</v>
      </c>
      <c r="AB5968" t="s">
        <v>60</v>
      </c>
      <c r="AC5968" t="s">
        <v>87</v>
      </c>
    </row>
    <row r="5969" spans="1:30" x14ac:dyDescent="0.35">
      <c r="A5969" s="7">
        <v>42962</v>
      </c>
      <c r="B5969" t="s">
        <v>30</v>
      </c>
      <c r="C5969">
        <v>803</v>
      </c>
      <c r="D5969">
        <v>2</v>
      </c>
      <c r="E5969">
        <v>1</v>
      </c>
      <c r="F5969" t="s">
        <v>315</v>
      </c>
      <c r="G5969" t="s">
        <v>32</v>
      </c>
      <c r="H5969" t="s">
        <v>33</v>
      </c>
      <c r="I5969" t="s">
        <v>59</v>
      </c>
      <c r="AB5969" t="s">
        <v>60</v>
      </c>
      <c r="AC5969" t="s">
        <v>87</v>
      </c>
    </row>
    <row r="5970" spans="1:30" x14ac:dyDescent="0.35">
      <c r="A5970" s="7">
        <v>42962</v>
      </c>
      <c r="B5970" t="s">
        <v>30</v>
      </c>
      <c r="C5970">
        <v>803</v>
      </c>
      <c r="D5970">
        <v>3</v>
      </c>
      <c r="E5970">
        <v>1</v>
      </c>
      <c r="F5970" t="s">
        <v>315</v>
      </c>
      <c r="G5970" t="s">
        <v>32</v>
      </c>
      <c r="H5970" t="s">
        <v>33</v>
      </c>
      <c r="I5970" t="s">
        <v>34</v>
      </c>
      <c r="J5970" t="s">
        <v>35</v>
      </c>
      <c r="K5970" t="s">
        <v>113</v>
      </c>
      <c r="L5970" t="s">
        <v>45</v>
      </c>
      <c r="M5970">
        <v>0</v>
      </c>
      <c r="N5970">
        <v>1</v>
      </c>
      <c r="P5970">
        <v>39888</v>
      </c>
      <c r="Q5970">
        <f>132-51</f>
        <v>81</v>
      </c>
      <c r="R5970" t="s">
        <v>46</v>
      </c>
      <c r="S5970" t="s">
        <v>39</v>
      </c>
      <c r="AB5970" t="s">
        <v>60</v>
      </c>
      <c r="AC5970" t="s">
        <v>87</v>
      </c>
      <c r="AD5970" t="s">
        <v>1122</v>
      </c>
    </row>
    <row r="5971" spans="1:30" x14ac:dyDescent="0.35">
      <c r="A5971" s="7">
        <v>42962</v>
      </c>
      <c r="B5971" t="s">
        <v>30</v>
      </c>
      <c r="C5971">
        <v>803</v>
      </c>
      <c r="D5971">
        <v>4</v>
      </c>
      <c r="E5971">
        <v>1</v>
      </c>
      <c r="F5971" t="s">
        <v>315</v>
      </c>
      <c r="G5971" t="s">
        <v>32</v>
      </c>
      <c r="H5971" t="s">
        <v>33</v>
      </c>
      <c r="I5971" t="s">
        <v>58</v>
      </c>
      <c r="J5971" t="s">
        <v>35</v>
      </c>
      <c r="K5971" t="s">
        <v>36</v>
      </c>
      <c r="M5971">
        <v>0</v>
      </c>
      <c r="N5971">
        <v>1</v>
      </c>
      <c r="O5971">
        <v>39889</v>
      </c>
      <c r="Z5971" t="s">
        <v>102</v>
      </c>
      <c r="AB5971" t="s">
        <v>60</v>
      </c>
      <c r="AC5971" t="s">
        <v>87</v>
      </c>
      <c r="AD5971" t="s">
        <v>1123</v>
      </c>
    </row>
    <row r="5972" spans="1:30" x14ac:dyDescent="0.35">
      <c r="A5972" s="7">
        <v>42962</v>
      </c>
      <c r="B5972" t="s">
        <v>30</v>
      </c>
      <c r="C5972">
        <v>803</v>
      </c>
      <c r="D5972">
        <v>8</v>
      </c>
      <c r="E5972">
        <v>1</v>
      </c>
      <c r="F5972" t="s">
        <v>315</v>
      </c>
      <c r="G5972" t="s">
        <v>32</v>
      </c>
      <c r="H5972" t="s">
        <v>33</v>
      </c>
      <c r="I5972" t="s">
        <v>94</v>
      </c>
      <c r="J5972" t="s">
        <v>44</v>
      </c>
      <c r="K5972" t="s">
        <v>36</v>
      </c>
      <c r="L5972" t="s">
        <v>45</v>
      </c>
      <c r="M5972">
        <v>0</v>
      </c>
      <c r="N5972">
        <v>0</v>
      </c>
      <c r="O5972">
        <v>39783</v>
      </c>
      <c r="Q5972">
        <f>36-14</f>
        <v>22</v>
      </c>
      <c r="R5972" t="s">
        <v>1021</v>
      </c>
      <c r="S5972" t="s">
        <v>102</v>
      </c>
      <c r="Z5972" t="s">
        <v>102</v>
      </c>
      <c r="AB5972" t="s">
        <v>60</v>
      </c>
      <c r="AC5972" t="s">
        <v>87</v>
      </c>
    </row>
    <row r="5973" spans="1:30" x14ac:dyDescent="0.35">
      <c r="A5973" s="7">
        <v>42962</v>
      </c>
      <c r="B5973" t="s">
        <v>30</v>
      </c>
      <c r="C5973">
        <v>803</v>
      </c>
      <c r="D5973">
        <v>9</v>
      </c>
      <c r="E5973">
        <v>1</v>
      </c>
      <c r="F5973" t="s">
        <v>315</v>
      </c>
      <c r="G5973" t="s">
        <v>32</v>
      </c>
      <c r="H5973" t="s">
        <v>33</v>
      </c>
      <c r="I5973" t="s">
        <v>94</v>
      </c>
      <c r="J5973" t="s">
        <v>35</v>
      </c>
      <c r="K5973" t="s">
        <v>113</v>
      </c>
      <c r="L5973" t="s">
        <v>37</v>
      </c>
      <c r="M5973">
        <v>0</v>
      </c>
      <c r="N5973">
        <v>1</v>
      </c>
      <c r="O5973">
        <v>39890</v>
      </c>
      <c r="Q5973">
        <f>27-13.5</f>
        <v>13.5</v>
      </c>
      <c r="R5973" t="s">
        <v>64</v>
      </c>
      <c r="Z5973" t="s">
        <v>102</v>
      </c>
      <c r="AB5973" t="s">
        <v>60</v>
      </c>
      <c r="AC5973" t="s">
        <v>87</v>
      </c>
    </row>
    <row r="5974" spans="1:30" x14ac:dyDescent="0.35">
      <c r="A5974" s="7">
        <v>42962</v>
      </c>
      <c r="B5974" t="s">
        <v>30</v>
      </c>
      <c r="C5974">
        <v>901</v>
      </c>
      <c r="D5974">
        <v>1</v>
      </c>
      <c r="E5974">
        <v>1</v>
      </c>
      <c r="F5974" t="s">
        <v>315</v>
      </c>
      <c r="G5974" t="s">
        <v>32</v>
      </c>
      <c r="H5974" t="s">
        <v>33</v>
      </c>
      <c r="I5974" t="s">
        <v>43</v>
      </c>
      <c r="J5974" t="s">
        <v>44</v>
      </c>
      <c r="K5974" t="s">
        <v>36</v>
      </c>
      <c r="L5974" t="s">
        <v>45</v>
      </c>
      <c r="M5974">
        <v>0</v>
      </c>
      <c r="N5974">
        <v>0</v>
      </c>
      <c r="O5974">
        <v>39145</v>
      </c>
      <c r="P5974">
        <v>39144</v>
      </c>
      <c r="Q5974">
        <f>30-13.5</f>
        <v>16.5</v>
      </c>
      <c r="R5974" t="s">
        <v>1021</v>
      </c>
      <c r="S5974" t="s">
        <v>102</v>
      </c>
      <c r="Z5974" t="s">
        <v>102</v>
      </c>
      <c r="AB5974" t="s">
        <v>60</v>
      </c>
      <c r="AC5974" t="s">
        <v>87</v>
      </c>
    </row>
    <row r="5975" spans="1:30" x14ac:dyDescent="0.35">
      <c r="A5975" s="7">
        <v>42963</v>
      </c>
      <c r="B5975" t="s">
        <v>30</v>
      </c>
      <c r="C5975">
        <v>303</v>
      </c>
      <c r="D5975">
        <v>1</v>
      </c>
      <c r="E5975">
        <v>1</v>
      </c>
      <c r="F5975" t="s">
        <v>1020</v>
      </c>
      <c r="G5975" t="s">
        <v>32</v>
      </c>
      <c r="H5975" t="s">
        <v>33</v>
      </c>
      <c r="I5975" t="s">
        <v>59</v>
      </c>
      <c r="AB5975" t="s">
        <v>273</v>
      </c>
      <c r="AC5975" t="s">
        <v>87</v>
      </c>
    </row>
    <row r="5976" spans="1:30" x14ac:dyDescent="0.35">
      <c r="A5976" s="7">
        <v>42963</v>
      </c>
      <c r="B5976" t="s">
        <v>30</v>
      </c>
      <c r="C5976">
        <v>303</v>
      </c>
      <c r="D5976">
        <v>2</v>
      </c>
      <c r="E5976">
        <v>1</v>
      </c>
      <c r="F5976" t="s">
        <v>1020</v>
      </c>
      <c r="G5976" t="s">
        <v>32</v>
      </c>
      <c r="H5976" t="s">
        <v>33</v>
      </c>
      <c r="I5976" t="s">
        <v>59</v>
      </c>
      <c r="AB5976" t="s">
        <v>273</v>
      </c>
      <c r="AC5976" t="s">
        <v>87</v>
      </c>
    </row>
    <row r="5977" spans="1:30" x14ac:dyDescent="0.35">
      <c r="A5977" s="7">
        <v>42963</v>
      </c>
      <c r="B5977" t="s">
        <v>30</v>
      </c>
      <c r="C5977">
        <v>303</v>
      </c>
      <c r="D5977">
        <v>3</v>
      </c>
      <c r="E5977">
        <v>1</v>
      </c>
      <c r="F5977" t="s">
        <v>1020</v>
      </c>
      <c r="G5977" t="s">
        <v>32</v>
      </c>
      <c r="H5977" t="s">
        <v>33</v>
      </c>
      <c r="I5977" t="s">
        <v>43</v>
      </c>
      <c r="J5977" t="s">
        <v>44</v>
      </c>
      <c r="K5977" t="s">
        <v>88</v>
      </c>
      <c r="L5977" t="s">
        <v>45</v>
      </c>
      <c r="M5977">
        <v>0</v>
      </c>
      <c r="N5977">
        <v>0</v>
      </c>
      <c r="O5977">
        <v>39443</v>
      </c>
      <c r="P5977">
        <v>39442</v>
      </c>
      <c r="Q5977">
        <f>29.5-14</f>
        <v>15.5</v>
      </c>
      <c r="R5977" t="s">
        <v>46</v>
      </c>
      <c r="S5977" t="s">
        <v>39</v>
      </c>
      <c r="AB5977" t="s">
        <v>273</v>
      </c>
      <c r="AC5977" t="s">
        <v>87</v>
      </c>
    </row>
    <row r="5978" spans="1:30" x14ac:dyDescent="0.35">
      <c r="A5978" s="7">
        <v>42963</v>
      </c>
      <c r="B5978" t="s">
        <v>30</v>
      </c>
      <c r="C5978">
        <v>303</v>
      </c>
      <c r="D5978">
        <v>3</v>
      </c>
      <c r="E5978">
        <v>2</v>
      </c>
      <c r="F5978" t="s">
        <v>1020</v>
      </c>
      <c r="G5978" t="s">
        <v>32</v>
      </c>
      <c r="H5978" t="s">
        <v>33</v>
      </c>
      <c r="I5978" t="s">
        <v>59</v>
      </c>
      <c r="AB5978" t="s">
        <v>273</v>
      </c>
      <c r="AC5978" t="s">
        <v>87</v>
      </c>
    </row>
    <row r="5979" spans="1:30" x14ac:dyDescent="0.35">
      <c r="A5979" s="7">
        <v>42963</v>
      </c>
      <c r="B5979" t="s">
        <v>30</v>
      </c>
      <c r="C5979">
        <v>303</v>
      </c>
      <c r="D5979">
        <v>4</v>
      </c>
      <c r="E5979">
        <v>1</v>
      </c>
      <c r="F5979" t="s">
        <v>1020</v>
      </c>
      <c r="G5979" t="s">
        <v>32</v>
      </c>
      <c r="H5979" t="s">
        <v>33</v>
      </c>
      <c r="I5979" t="s">
        <v>59</v>
      </c>
      <c r="AB5979" t="s">
        <v>273</v>
      </c>
      <c r="AC5979" t="s">
        <v>87</v>
      </c>
    </row>
    <row r="5980" spans="1:30" x14ac:dyDescent="0.35">
      <c r="A5980" s="7">
        <v>42963</v>
      </c>
      <c r="B5980" t="s">
        <v>30</v>
      </c>
      <c r="C5980">
        <v>303</v>
      </c>
      <c r="D5980">
        <v>4</v>
      </c>
      <c r="E5980">
        <v>2</v>
      </c>
      <c r="F5980" t="s">
        <v>1020</v>
      </c>
      <c r="G5980" t="s">
        <v>32</v>
      </c>
      <c r="H5980" t="s">
        <v>33</v>
      </c>
      <c r="I5980" t="s">
        <v>59</v>
      </c>
      <c r="AB5980" t="s">
        <v>273</v>
      </c>
      <c r="AC5980" t="s">
        <v>87</v>
      </c>
    </row>
    <row r="5981" spans="1:30" x14ac:dyDescent="0.35">
      <c r="A5981" s="7">
        <v>42963</v>
      </c>
      <c r="B5981" t="s">
        <v>30</v>
      </c>
      <c r="C5981">
        <v>303</v>
      </c>
      <c r="D5981">
        <v>6</v>
      </c>
      <c r="E5981">
        <v>1</v>
      </c>
      <c r="F5981" t="s">
        <v>1020</v>
      </c>
      <c r="G5981" t="s">
        <v>32</v>
      </c>
      <c r="H5981" t="s">
        <v>33</v>
      </c>
      <c r="I5981" t="s">
        <v>1029</v>
      </c>
      <c r="J5981" t="s">
        <v>66</v>
      </c>
      <c r="AB5981" t="s">
        <v>273</v>
      </c>
      <c r="AC5981" t="s">
        <v>87</v>
      </c>
    </row>
    <row r="5982" spans="1:30" x14ac:dyDescent="0.35">
      <c r="A5982" s="7">
        <v>42963</v>
      </c>
      <c r="B5982" t="s">
        <v>30</v>
      </c>
      <c r="C5982">
        <v>303</v>
      </c>
      <c r="D5982">
        <v>7</v>
      </c>
      <c r="E5982">
        <v>1</v>
      </c>
      <c r="F5982" t="s">
        <v>1020</v>
      </c>
      <c r="G5982" t="s">
        <v>32</v>
      </c>
      <c r="H5982" t="s">
        <v>33</v>
      </c>
      <c r="I5982" t="s">
        <v>59</v>
      </c>
      <c r="AB5982" t="s">
        <v>273</v>
      </c>
      <c r="AC5982" t="s">
        <v>87</v>
      </c>
    </row>
    <row r="5983" spans="1:30" x14ac:dyDescent="0.35">
      <c r="A5983" s="7">
        <v>42963</v>
      </c>
      <c r="B5983" t="s">
        <v>30</v>
      </c>
      <c r="C5983">
        <v>303</v>
      </c>
      <c r="D5983">
        <v>9</v>
      </c>
      <c r="E5983">
        <v>1</v>
      </c>
      <c r="F5983" t="s">
        <v>1020</v>
      </c>
      <c r="G5983" t="s">
        <v>32</v>
      </c>
      <c r="H5983" t="s">
        <v>33</v>
      </c>
      <c r="I5983" t="s">
        <v>43</v>
      </c>
      <c r="J5983" t="s">
        <v>44</v>
      </c>
      <c r="K5983" t="s">
        <v>88</v>
      </c>
      <c r="L5983" t="s">
        <v>45</v>
      </c>
      <c r="M5983">
        <v>0</v>
      </c>
      <c r="N5983">
        <v>0</v>
      </c>
      <c r="O5983">
        <v>39437</v>
      </c>
      <c r="P5983">
        <v>39436</v>
      </c>
      <c r="Q5983">
        <f>30-14</f>
        <v>16</v>
      </c>
      <c r="R5983" t="s">
        <v>46</v>
      </c>
      <c r="S5983" t="s">
        <v>39</v>
      </c>
      <c r="AB5983" t="s">
        <v>273</v>
      </c>
      <c r="AC5983" t="s">
        <v>87</v>
      </c>
    </row>
    <row r="5984" spans="1:30" x14ac:dyDescent="0.35">
      <c r="A5984" s="7">
        <v>42963</v>
      </c>
      <c r="B5984" t="s">
        <v>30</v>
      </c>
      <c r="C5984">
        <v>303</v>
      </c>
      <c r="D5984">
        <v>9</v>
      </c>
      <c r="E5984">
        <v>2</v>
      </c>
      <c r="F5984" t="s">
        <v>1020</v>
      </c>
      <c r="G5984" t="s">
        <v>32</v>
      </c>
      <c r="H5984" t="s">
        <v>33</v>
      </c>
      <c r="I5984" t="s">
        <v>59</v>
      </c>
      <c r="AB5984" t="s">
        <v>273</v>
      </c>
      <c r="AC5984" t="s">
        <v>87</v>
      </c>
    </row>
    <row r="5985" spans="1:30" x14ac:dyDescent="0.35">
      <c r="A5985" s="7">
        <v>42963</v>
      </c>
      <c r="B5985" t="s">
        <v>30</v>
      </c>
      <c r="C5985">
        <v>303</v>
      </c>
      <c r="D5985">
        <v>10</v>
      </c>
      <c r="E5985">
        <v>1</v>
      </c>
      <c r="F5985" t="s">
        <v>1020</v>
      </c>
      <c r="G5985" t="s">
        <v>32</v>
      </c>
      <c r="H5985" t="s">
        <v>33</v>
      </c>
      <c r="I5985" t="s">
        <v>59</v>
      </c>
      <c r="AB5985" t="s">
        <v>273</v>
      </c>
      <c r="AC5985" t="s">
        <v>87</v>
      </c>
    </row>
    <row r="5986" spans="1:30" x14ac:dyDescent="0.35">
      <c r="A5986" s="7">
        <v>42963</v>
      </c>
      <c r="B5986" t="s">
        <v>30</v>
      </c>
      <c r="C5986">
        <v>303</v>
      </c>
      <c r="D5986">
        <v>10</v>
      </c>
      <c r="E5986">
        <v>2</v>
      </c>
      <c r="F5986" t="s">
        <v>1020</v>
      </c>
      <c r="G5986" t="s">
        <v>32</v>
      </c>
      <c r="H5986" t="s">
        <v>33</v>
      </c>
      <c r="I5986" t="s">
        <v>59</v>
      </c>
      <c r="AB5986" t="s">
        <v>273</v>
      </c>
      <c r="AC5986" t="s">
        <v>87</v>
      </c>
    </row>
    <row r="5987" spans="1:30" x14ac:dyDescent="0.35">
      <c r="A5987" s="7">
        <v>42963</v>
      </c>
      <c r="B5987" t="s">
        <v>30</v>
      </c>
      <c r="C5987">
        <v>401</v>
      </c>
      <c r="D5987">
        <v>6</v>
      </c>
      <c r="E5987">
        <v>1</v>
      </c>
      <c r="F5987" t="s">
        <v>1020</v>
      </c>
      <c r="G5987" t="s">
        <v>32</v>
      </c>
      <c r="H5987" t="s">
        <v>33</v>
      </c>
      <c r="I5987" t="s">
        <v>59</v>
      </c>
      <c r="AB5987" t="s">
        <v>273</v>
      </c>
      <c r="AC5987" t="s">
        <v>87</v>
      </c>
    </row>
    <row r="5988" spans="1:30" x14ac:dyDescent="0.35">
      <c r="A5988" s="7">
        <v>42963</v>
      </c>
      <c r="B5988" t="s">
        <v>30</v>
      </c>
      <c r="C5988">
        <v>401</v>
      </c>
      <c r="D5988">
        <v>8</v>
      </c>
      <c r="E5988">
        <v>1</v>
      </c>
      <c r="F5988" t="s">
        <v>1020</v>
      </c>
      <c r="G5988" t="s">
        <v>32</v>
      </c>
      <c r="H5988" t="s">
        <v>33</v>
      </c>
      <c r="I5988" t="s">
        <v>59</v>
      </c>
      <c r="AB5988" t="s">
        <v>273</v>
      </c>
      <c r="AC5988" t="s">
        <v>87</v>
      </c>
    </row>
    <row r="5989" spans="1:30" x14ac:dyDescent="0.35">
      <c r="A5989" s="7">
        <v>42963</v>
      </c>
      <c r="B5989" t="s">
        <v>30</v>
      </c>
      <c r="C5989">
        <v>401</v>
      </c>
      <c r="D5989">
        <v>9</v>
      </c>
      <c r="E5989">
        <v>1</v>
      </c>
      <c r="F5989" t="s">
        <v>1020</v>
      </c>
      <c r="G5989" t="s">
        <v>32</v>
      </c>
      <c r="H5989" t="s">
        <v>33</v>
      </c>
      <c r="I5989" t="s">
        <v>59</v>
      </c>
      <c r="AB5989" t="s">
        <v>273</v>
      </c>
      <c r="AC5989" t="s">
        <v>87</v>
      </c>
    </row>
    <row r="5990" spans="1:30" x14ac:dyDescent="0.35">
      <c r="A5990" s="7">
        <v>42963</v>
      </c>
      <c r="B5990" t="s">
        <v>30</v>
      </c>
      <c r="C5990">
        <v>401</v>
      </c>
      <c r="D5990">
        <v>9</v>
      </c>
      <c r="E5990">
        <v>2</v>
      </c>
      <c r="F5990" t="s">
        <v>1020</v>
      </c>
      <c r="G5990" t="s">
        <v>32</v>
      </c>
      <c r="H5990" t="s">
        <v>33</v>
      </c>
      <c r="I5990" t="s">
        <v>59</v>
      </c>
      <c r="AB5990" t="s">
        <v>273</v>
      </c>
      <c r="AC5990" t="s">
        <v>87</v>
      </c>
    </row>
    <row r="5991" spans="1:30" x14ac:dyDescent="0.35">
      <c r="A5991" s="7">
        <v>42963</v>
      </c>
      <c r="B5991" t="s">
        <v>30</v>
      </c>
      <c r="C5991">
        <v>401</v>
      </c>
      <c r="D5991">
        <v>10</v>
      </c>
      <c r="E5991">
        <v>1</v>
      </c>
      <c r="F5991" t="s">
        <v>1020</v>
      </c>
      <c r="G5991" t="s">
        <v>32</v>
      </c>
      <c r="H5991" t="s">
        <v>33</v>
      </c>
      <c r="I5991" t="s">
        <v>59</v>
      </c>
      <c r="AB5991" t="s">
        <v>273</v>
      </c>
      <c r="AC5991" t="s">
        <v>87</v>
      </c>
    </row>
    <row r="5992" spans="1:30" x14ac:dyDescent="0.35">
      <c r="A5992" s="7">
        <v>42963</v>
      </c>
      <c r="B5992" t="s">
        <v>30</v>
      </c>
      <c r="C5992">
        <v>401</v>
      </c>
      <c r="D5992">
        <v>10</v>
      </c>
      <c r="E5992">
        <v>2</v>
      </c>
      <c r="F5992" t="s">
        <v>1020</v>
      </c>
      <c r="G5992" t="s">
        <v>32</v>
      </c>
      <c r="H5992" t="s">
        <v>33</v>
      </c>
      <c r="I5992" t="s">
        <v>59</v>
      </c>
      <c r="AB5992" t="s">
        <v>273</v>
      </c>
      <c r="AC5992" t="s">
        <v>87</v>
      </c>
    </row>
    <row r="5993" spans="1:30" x14ac:dyDescent="0.35">
      <c r="A5993" s="7">
        <v>42963</v>
      </c>
      <c r="B5993" t="s">
        <v>30</v>
      </c>
      <c r="C5993">
        <v>501</v>
      </c>
      <c r="D5993">
        <v>1</v>
      </c>
      <c r="E5993">
        <v>1</v>
      </c>
      <c r="F5993" t="s">
        <v>1020</v>
      </c>
      <c r="G5993" t="s">
        <v>32</v>
      </c>
      <c r="H5993" t="s">
        <v>33</v>
      </c>
      <c r="I5993" t="s">
        <v>59</v>
      </c>
      <c r="AB5993" t="s">
        <v>273</v>
      </c>
      <c r="AC5993" t="s">
        <v>87</v>
      </c>
    </row>
    <row r="5994" spans="1:30" x14ac:dyDescent="0.35">
      <c r="A5994" s="7">
        <v>42963</v>
      </c>
      <c r="B5994" t="s">
        <v>30</v>
      </c>
      <c r="C5994">
        <v>501</v>
      </c>
      <c r="D5994">
        <v>2</v>
      </c>
      <c r="E5994">
        <v>1</v>
      </c>
      <c r="F5994" t="s">
        <v>1020</v>
      </c>
      <c r="G5994" t="s">
        <v>32</v>
      </c>
      <c r="H5994" t="s">
        <v>33</v>
      </c>
      <c r="I5994" t="s">
        <v>43</v>
      </c>
      <c r="J5994" t="s">
        <v>44</v>
      </c>
      <c r="K5994" t="s">
        <v>36</v>
      </c>
      <c r="L5994" t="s">
        <v>37</v>
      </c>
      <c r="M5994">
        <v>0</v>
      </c>
      <c r="N5994">
        <v>0</v>
      </c>
      <c r="O5994">
        <v>39675</v>
      </c>
      <c r="P5994">
        <v>39674</v>
      </c>
      <c r="Q5994">
        <f>30-13</f>
        <v>17</v>
      </c>
      <c r="R5994" t="s">
        <v>38</v>
      </c>
      <c r="AB5994" t="s">
        <v>273</v>
      </c>
      <c r="AC5994" t="s">
        <v>87</v>
      </c>
    </row>
    <row r="5995" spans="1:30" x14ac:dyDescent="0.35">
      <c r="A5995" s="7">
        <v>42963</v>
      </c>
      <c r="B5995" t="s">
        <v>30</v>
      </c>
      <c r="C5995">
        <v>501</v>
      </c>
      <c r="D5995">
        <v>4</v>
      </c>
      <c r="E5995">
        <v>1</v>
      </c>
      <c r="F5995" t="s">
        <v>1020</v>
      </c>
      <c r="G5995" t="s">
        <v>32</v>
      </c>
      <c r="H5995" t="s">
        <v>33</v>
      </c>
      <c r="I5995" t="s">
        <v>59</v>
      </c>
      <c r="AB5995" t="s">
        <v>273</v>
      </c>
      <c r="AC5995" t="s">
        <v>87</v>
      </c>
    </row>
    <row r="5996" spans="1:30" x14ac:dyDescent="0.35">
      <c r="A5996" s="7">
        <v>42963</v>
      </c>
      <c r="B5996" t="s">
        <v>30</v>
      </c>
      <c r="C5996">
        <v>501</v>
      </c>
      <c r="D5996">
        <v>4</v>
      </c>
      <c r="E5996">
        <v>2</v>
      </c>
      <c r="F5996" t="s">
        <v>1020</v>
      </c>
      <c r="G5996" t="s">
        <v>32</v>
      </c>
      <c r="H5996" t="s">
        <v>33</v>
      </c>
      <c r="I5996" t="s">
        <v>94</v>
      </c>
      <c r="J5996" t="s">
        <v>44</v>
      </c>
      <c r="K5996" t="s">
        <v>36</v>
      </c>
      <c r="L5996" t="s">
        <v>37</v>
      </c>
      <c r="M5996">
        <v>0</v>
      </c>
      <c r="N5996">
        <v>0</v>
      </c>
      <c r="O5996">
        <v>39444</v>
      </c>
      <c r="Q5996">
        <f>39-13</f>
        <v>26</v>
      </c>
      <c r="R5996" t="s">
        <v>38</v>
      </c>
      <c r="AB5996" t="s">
        <v>273</v>
      </c>
      <c r="AC5996" t="s">
        <v>87</v>
      </c>
    </row>
    <row r="5997" spans="1:30" x14ac:dyDescent="0.35">
      <c r="A5997" s="7">
        <v>42963</v>
      </c>
      <c r="B5997" t="s">
        <v>30</v>
      </c>
      <c r="C5997">
        <v>501</v>
      </c>
      <c r="D5997">
        <v>5</v>
      </c>
      <c r="E5997">
        <v>1</v>
      </c>
      <c r="F5997" t="s">
        <v>1020</v>
      </c>
      <c r="G5997" t="s">
        <v>32</v>
      </c>
      <c r="H5997" t="s">
        <v>33</v>
      </c>
      <c r="I5997" t="s">
        <v>94</v>
      </c>
      <c r="J5997" t="s">
        <v>35</v>
      </c>
      <c r="K5997" t="s">
        <v>36</v>
      </c>
      <c r="L5997" t="s">
        <v>45</v>
      </c>
      <c r="M5997">
        <v>0</v>
      </c>
      <c r="N5997">
        <v>1</v>
      </c>
      <c r="O5997">
        <v>39422</v>
      </c>
      <c r="Q5997">
        <f>40-14</f>
        <v>26</v>
      </c>
      <c r="R5997" t="s">
        <v>46</v>
      </c>
      <c r="S5997" t="s">
        <v>39</v>
      </c>
      <c r="AB5997" t="s">
        <v>273</v>
      </c>
      <c r="AC5997" t="s">
        <v>87</v>
      </c>
      <c r="AD5997" t="s">
        <v>1055</v>
      </c>
    </row>
    <row r="5998" spans="1:30" x14ac:dyDescent="0.35">
      <c r="A5998" s="7">
        <v>42963</v>
      </c>
      <c r="B5998" t="s">
        <v>30</v>
      </c>
      <c r="C5998">
        <v>501</v>
      </c>
      <c r="D5998">
        <v>6</v>
      </c>
      <c r="E5998">
        <v>1</v>
      </c>
      <c r="F5998" t="s">
        <v>1020</v>
      </c>
      <c r="G5998" t="s">
        <v>32</v>
      </c>
      <c r="H5998" t="s">
        <v>33</v>
      </c>
      <c r="I5998" t="s">
        <v>59</v>
      </c>
      <c r="AB5998" t="s">
        <v>273</v>
      </c>
      <c r="AC5998" t="s">
        <v>87</v>
      </c>
    </row>
    <row r="5999" spans="1:30" x14ac:dyDescent="0.35">
      <c r="A5999" s="7">
        <v>42963</v>
      </c>
      <c r="B5999" t="s">
        <v>30</v>
      </c>
      <c r="C5999">
        <v>501</v>
      </c>
      <c r="D5999">
        <v>6</v>
      </c>
      <c r="E5999">
        <v>2</v>
      </c>
      <c r="F5999" t="s">
        <v>1020</v>
      </c>
      <c r="G5999" t="s">
        <v>32</v>
      </c>
      <c r="H5999" t="s">
        <v>33</v>
      </c>
      <c r="I5999" t="s">
        <v>59</v>
      </c>
      <c r="AB5999" t="s">
        <v>273</v>
      </c>
      <c r="AC5999" t="s">
        <v>87</v>
      </c>
    </row>
    <row r="6000" spans="1:30" x14ac:dyDescent="0.35">
      <c r="A6000" s="7">
        <v>42963</v>
      </c>
      <c r="B6000" t="s">
        <v>30</v>
      </c>
      <c r="C6000">
        <v>501</v>
      </c>
      <c r="D6000">
        <v>8</v>
      </c>
      <c r="E6000">
        <v>1</v>
      </c>
      <c r="F6000" t="s">
        <v>1020</v>
      </c>
      <c r="G6000" t="s">
        <v>32</v>
      </c>
      <c r="H6000" t="s">
        <v>33</v>
      </c>
      <c r="I6000" t="s">
        <v>59</v>
      </c>
      <c r="AB6000" t="s">
        <v>273</v>
      </c>
      <c r="AC6000" t="s">
        <v>87</v>
      </c>
    </row>
    <row r="6001" spans="1:29" x14ac:dyDescent="0.35">
      <c r="A6001" s="7">
        <v>42963</v>
      </c>
      <c r="B6001" t="s">
        <v>30</v>
      </c>
      <c r="C6001">
        <v>501</v>
      </c>
      <c r="D6001">
        <v>10</v>
      </c>
      <c r="E6001">
        <v>1</v>
      </c>
      <c r="F6001" t="s">
        <v>1020</v>
      </c>
      <c r="G6001" t="s">
        <v>32</v>
      </c>
      <c r="H6001" t="s">
        <v>33</v>
      </c>
      <c r="I6001" t="s">
        <v>59</v>
      </c>
      <c r="AB6001" t="s">
        <v>273</v>
      </c>
      <c r="AC6001" t="s">
        <v>87</v>
      </c>
    </row>
    <row r="6002" spans="1:29" x14ac:dyDescent="0.35">
      <c r="A6002" s="7">
        <v>42963</v>
      </c>
      <c r="B6002" t="s">
        <v>30</v>
      </c>
      <c r="C6002">
        <v>501</v>
      </c>
      <c r="D6002">
        <v>10</v>
      </c>
      <c r="E6002">
        <v>2</v>
      </c>
      <c r="F6002" t="s">
        <v>1020</v>
      </c>
      <c r="G6002" t="s">
        <v>32</v>
      </c>
      <c r="H6002" t="s">
        <v>33</v>
      </c>
      <c r="I6002" t="s">
        <v>59</v>
      </c>
      <c r="AB6002" t="s">
        <v>273</v>
      </c>
      <c r="AC6002" t="s">
        <v>87</v>
      </c>
    </row>
    <row r="6003" spans="1:29" x14ac:dyDescent="0.35">
      <c r="A6003" s="7">
        <v>42963</v>
      </c>
      <c r="B6003" t="s">
        <v>30</v>
      </c>
      <c r="C6003">
        <v>503</v>
      </c>
      <c r="D6003">
        <v>1</v>
      </c>
      <c r="E6003">
        <v>1</v>
      </c>
      <c r="F6003" t="s">
        <v>1020</v>
      </c>
      <c r="G6003" t="s">
        <v>32</v>
      </c>
      <c r="H6003" t="s">
        <v>33</v>
      </c>
      <c r="I6003" t="s">
        <v>94</v>
      </c>
      <c r="J6003" t="s">
        <v>44</v>
      </c>
      <c r="K6003" t="s">
        <v>36</v>
      </c>
      <c r="L6003" t="s">
        <v>45</v>
      </c>
      <c r="M6003">
        <v>0</v>
      </c>
      <c r="N6003">
        <v>0</v>
      </c>
      <c r="O6003">
        <v>39498</v>
      </c>
      <c r="Q6003">
        <f>33-14</f>
        <v>19</v>
      </c>
      <c r="R6003" t="s">
        <v>1021</v>
      </c>
      <c r="S6003" t="s">
        <v>102</v>
      </c>
      <c r="AB6003" t="s">
        <v>273</v>
      </c>
      <c r="AC6003" t="s">
        <v>87</v>
      </c>
    </row>
    <row r="6004" spans="1:29" x14ac:dyDescent="0.35">
      <c r="A6004" s="7">
        <v>42963</v>
      </c>
      <c r="B6004" t="s">
        <v>30</v>
      </c>
      <c r="C6004">
        <v>503</v>
      </c>
      <c r="D6004">
        <v>1</v>
      </c>
      <c r="E6004">
        <v>2</v>
      </c>
      <c r="F6004" t="s">
        <v>1020</v>
      </c>
      <c r="G6004" t="s">
        <v>32</v>
      </c>
      <c r="H6004" t="s">
        <v>33</v>
      </c>
      <c r="I6004" t="s">
        <v>59</v>
      </c>
      <c r="AB6004" t="s">
        <v>273</v>
      </c>
      <c r="AC6004" t="s">
        <v>87</v>
      </c>
    </row>
    <row r="6005" spans="1:29" x14ac:dyDescent="0.35">
      <c r="A6005" s="7">
        <v>42963</v>
      </c>
      <c r="B6005" t="s">
        <v>30</v>
      </c>
      <c r="C6005">
        <v>503</v>
      </c>
      <c r="D6005">
        <v>5</v>
      </c>
      <c r="E6005">
        <v>1</v>
      </c>
      <c r="F6005" t="s">
        <v>1020</v>
      </c>
      <c r="G6005" t="s">
        <v>32</v>
      </c>
      <c r="H6005" t="s">
        <v>33</v>
      </c>
      <c r="I6005" t="s">
        <v>94</v>
      </c>
      <c r="J6005" t="s">
        <v>44</v>
      </c>
      <c r="K6005" t="s">
        <v>36</v>
      </c>
      <c r="L6005" t="s">
        <v>45</v>
      </c>
      <c r="M6005">
        <v>0</v>
      </c>
      <c r="N6005">
        <v>0</v>
      </c>
      <c r="O6005">
        <v>39320</v>
      </c>
      <c r="Q6005">
        <f>34-14</f>
        <v>20</v>
      </c>
      <c r="R6005" t="s">
        <v>79</v>
      </c>
      <c r="S6005" t="s">
        <v>39</v>
      </c>
      <c r="AB6005" t="s">
        <v>273</v>
      </c>
      <c r="AC6005" t="s">
        <v>87</v>
      </c>
    </row>
    <row r="6006" spans="1:29" x14ac:dyDescent="0.35">
      <c r="A6006" s="7">
        <v>42963</v>
      </c>
      <c r="B6006" t="s">
        <v>30</v>
      </c>
      <c r="C6006">
        <v>503</v>
      </c>
      <c r="D6006">
        <v>5</v>
      </c>
      <c r="E6006">
        <v>2</v>
      </c>
      <c r="F6006" t="s">
        <v>1020</v>
      </c>
      <c r="G6006" t="s">
        <v>32</v>
      </c>
      <c r="H6006" t="s">
        <v>33</v>
      </c>
      <c r="I6006" t="s">
        <v>94</v>
      </c>
      <c r="J6006" t="s">
        <v>44</v>
      </c>
      <c r="K6006" t="s">
        <v>36</v>
      </c>
      <c r="L6006" t="s">
        <v>37</v>
      </c>
      <c r="M6006">
        <v>0</v>
      </c>
      <c r="N6006">
        <v>0</v>
      </c>
      <c r="O6006">
        <v>39497</v>
      </c>
      <c r="Q6006">
        <f>38-14</f>
        <v>24</v>
      </c>
      <c r="R6006" t="s">
        <v>64</v>
      </c>
      <c r="AB6006" t="s">
        <v>273</v>
      </c>
      <c r="AC6006" t="s">
        <v>87</v>
      </c>
    </row>
    <row r="6007" spans="1:29" x14ac:dyDescent="0.35">
      <c r="A6007" s="7">
        <v>42963</v>
      </c>
      <c r="B6007" t="s">
        <v>30</v>
      </c>
      <c r="C6007">
        <v>503</v>
      </c>
      <c r="D6007">
        <v>6</v>
      </c>
      <c r="E6007">
        <v>1</v>
      </c>
      <c r="F6007" t="s">
        <v>1020</v>
      </c>
      <c r="G6007" t="s">
        <v>32</v>
      </c>
      <c r="H6007" t="s">
        <v>33</v>
      </c>
      <c r="I6007" t="s">
        <v>59</v>
      </c>
      <c r="AB6007" t="s">
        <v>273</v>
      </c>
      <c r="AC6007" t="s">
        <v>87</v>
      </c>
    </row>
    <row r="6008" spans="1:29" x14ac:dyDescent="0.35">
      <c r="A6008" s="7">
        <v>42963</v>
      </c>
      <c r="B6008" t="s">
        <v>30</v>
      </c>
      <c r="C6008">
        <v>503</v>
      </c>
      <c r="D6008">
        <v>7</v>
      </c>
      <c r="E6008">
        <v>1</v>
      </c>
      <c r="F6008" t="s">
        <v>1020</v>
      </c>
      <c r="G6008" t="s">
        <v>32</v>
      </c>
      <c r="H6008" t="s">
        <v>33</v>
      </c>
      <c r="I6008" t="s">
        <v>59</v>
      </c>
      <c r="AB6008" t="s">
        <v>273</v>
      </c>
      <c r="AC6008" t="s">
        <v>87</v>
      </c>
    </row>
    <row r="6009" spans="1:29" x14ac:dyDescent="0.35">
      <c r="A6009" s="7">
        <v>42963</v>
      </c>
      <c r="B6009" t="s">
        <v>30</v>
      </c>
      <c r="C6009">
        <v>503</v>
      </c>
      <c r="D6009">
        <v>8</v>
      </c>
      <c r="E6009">
        <v>1</v>
      </c>
      <c r="F6009" t="s">
        <v>1020</v>
      </c>
      <c r="G6009" t="s">
        <v>32</v>
      </c>
      <c r="H6009" t="s">
        <v>33</v>
      </c>
      <c r="I6009" t="s">
        <v>59</v>
      </c>
      <c r="AB6009" t="s">
        <v>273</v>
      </c>
      <c r="AC6009" t="s">
        <v>87</v>
      </c>
    </row>
    <row r="6010" spans="1:29" x14ac:dyDescent="0.35">
      <c r="A6010" s="7">
        <v>42963</v>
      </c>
      <c r="B6010" t="s">
        <v>30</v>
      </c>
      <c r="C6010">
        <v>503</v>
      </c>
      <c r="D6010">
        <v>8</v>
      </c>
      <c r="E6010">
        <v>2</v>
      </c>
      <c r="F6010" t="s">
        <v>1020</v>
      </c>
      <c r="G6010" t="s">
        <v>32</v>
      </c>
      <c r="H6010" t="s">
        <v>33</v>
      </c>
      <c r="I6010" t="s">
        <v>59</v>
      </c>
      <c r="AB6010" t="s">
        <v>273</v>
      </c>
      <c r="AC6010" t="s">
        <v>87</v>
      </c>
    </row>
    <row r="6011" spans="1:29" x14ac:dyDescent="0.35">
      <c r="A6011" s="7">
        <v>42963</v>
      </c>
      <c r="B6011" t="s">
        <v>30</v>
      </c>
      <c r="C6011">
        <v>503</v>
      </c>
      <c r="D6011">
        <v>10</v>
      </c>
      <c r="E6011">
        <v>1</v>
      </c>
      <c r="F6011" t="s">
        <v>1020</v>
      </c>
      <c r="G6011" t="s">
        <v>32</v>
      </c>
      <c r="H6011" t="s">
        <v>33</v>
      </c>
      <c r="I6011" t="s">
        <v>43</v>
      </c>
      <c r="J6011" t="s">
        <v>44</v>
      </c>
      <c r="K6011" t="s">
        <v>36</v>
      </c>
      <c r="L6011" t="s">
        <v>45</v>
      </c>
      <c r="M6011">
        <v>0</v>
      </c>
      <c r="N6011">
        <v>0</v>
      </c>
      <c r="O6011">
        <v>39314</v>
      </c>
      <c r="P6011">
        <v>39315</v>
      </c>
      <c r="Q6011">
        <f>32-14</f>
        <v>18</v>
      </c>
      <c r="R6011" t="s">
        <v>46</v>
      </c>
      <c r="S6011" t="s">
        <v>39</v>
      </c>
      <c r="AB6011" t="s">
        <v>273</v>
      </c>
      <c r="AC6011" t="s">
        <v>87</v>
      </c>
    </row>
    <row r="6012" spans="1:29" x14ac:dyDescent="0.35">
      <c r="A6012" s="7">
        <v>42963</v>
      </c>
      <c r="B6012" t="s">
        <v>30</v>
      </c>
      <c r="C6012">
        <v>701</v>
      </c>
      <c r="D6012">
        <v>1</v>
      </c>
      <c r="E6012">
        <v>1</v>
      </c>
      <c r="F6012" t="s">
        <v>315</v>
      </c>
      <c r="G6012" t="s">
        <v>32</v>
      </c>
      <c r="H6012" t="s">
        <v>33</v>
      </c>
      <c r="I6012" t="s">
        <v>59</v>
      </c>
      <c r="AB6012" t="s">
        <v>1099</v>
      </c>
      <c r="AC6012" t="s">
        <v>41</v>
      </c>
    </row>
    <row r="6013" spans="1:29" x14ac:dyDescent="0.35">
      <c r="A6013" s="7">
        <v>42963</v>
      </c>
      <c r="B6013" t="s">
        <v>30</v>
      </c>
      <c r="C6013">
        <v>701</v>
      </c>
      <c r="D6013">
        <v>1</v>
      </c>
      <c r="E6013">
        <v>2</v>
      </c>
      <c r="F6013" t="s">
        <v>315</v>
      </c>
      <c r="G6013" t="s">
        <v>32</v>
      </c>
      <c r="H6013" t="s">
        <v>33</v>
      </c>
      <c r="I6013" t="s">
        <v>59</v>
      </c>
      <c r="AB6013" t="s">
        <v>1099</v>
      </c>
      <c r="AC6013" t="s">
        <v>41</v>
      </c>
    </row>
    <row r="6014" spans="1:29" x14ac:dyDescent="0.35">
      <c r="A6014" s="7">
        <v>42963</v>
      </c>
      <c r="B6014" t="s">
        <v>30</v>
      </c>
      <c r="C6014">
        <v>701</v>
      </c>
      <c r="D6014">
        <v>2</v>
      </c>
      <c r="E6014">
        <v>1</v>
      </c>
      <c r="F6014" t="s">
        <v>315</v>
      </c>
      <c r="G6014" t="s">
        <v>32</v>
      </c>
      <c r="H6014" t="s">
        <v>33</v>
      </c>
      <c r="I6014" t="s">
        <v>59</v>
      </c>
      <c r="AB6014" t="s">
        <v>1099</v>
      </c>
      <c r="AC6014" t="s">
        <v>41</v>
      </c>
    </row>
    <row r="6015" spans="1:29" x14ac:dyDescent="0.35">
      <c r="A6015" s="7">
        <v>42963</v>
      </c>
      <c r="B6015" t="s">
        <v>30</v>
      </c>
      <c r="C6015">
        <v>701</v>
      </c>
      <c r="D6015">
        <v>2</v>
      </c>
      <c r="E6015">
        <v>2</v>
      </c>
      <c r="F6015" t="s">
        <v>315</v>
      </c>
      <c r="G6015" t="s">
        <v>32</v>
      </c>
      <c r="H6015" t="s">
        <v>33</v>
      </c>
      <c r="I6015" t="s">
        <v>59</v>
      </c>
      <c r="AB6015" t="s">
        <v>1099</v>
      </c>
      <c r="AC6015" t="s">
        <v>41</v>
      </c>
    </row>
    <row r="6016" spans="1:29" x14ac:dyDescent="0.35">
      <c r="A6016" s="7">
        <v>42963</v>
      </c>
      <c r="B6016" t="s">
        <v>30</v>
      </c>
      <c r="C6016">
        <v>701</v>
      </c>
      <c r="D6016">
        <v>3</v>
      </c>
      <c r="E6016">
        <v>1</v>
      </c>
      <c r="F6016" t="s">
        <v>315</v>
      </c>
      <c r="G6016" t="s">
        <v>32</v>
      </c>
      <c r="H6016" t="s">
        <v>33</v>
      </c>
      <c r="I6016" t="s">
        <v>59</v>
      </c>
      <c r="AB6016" t="s">
        <v>1099</v>
      </c>
      <c r="AC6016" t="s">
        <v>41</v>
      </c>
    </row>
    <row r="6017" spans="1:29" x14ac:dyDescent="0.35">
      <c r="A6017" s="7">
        <v>42963</v>
      </c>
      <c r="B6017" t="s">
        <v>30</v>
      </c>
      <c r="C6017">
        <v>701</v>
      </c>
      <c r="D6017">
        <v>3</v>
      </c>
      <c r="E6017">
        <v>2</v>
      </c>
      <c r="F6017" t="s">
        <v>315</v>
      </c>
      <c r="G6017" t="s">
        <v>32</v>
      </c>
      <c r="H6017" t="s">
        <v>33</v>
      </c>
      <c r="I6017" t="s">
        <v>43</v>
      </c>
      <c r="J6017" t="s">
        <v>44</v>
      </c>
      <c r="K6017" t="s">
        <v>36</v>
      </c>
      <c r="L6017" t="s">
        <v>37</v>
      </c>
      <c r="M6017">
        <v>0</v>
      </c>
      <c r="N6017">
        <v>0</v>
      </c>
      <c r="O6017">
        <v>39741</v>
      </c>
      <c r="P6017">
        <v>39740</v>
      </c>
      <c r="Q6017">
        <f>35-14</f>
        <v>21</v>
      </c>
      <c r="R6017" t="s">
        <v>38</v>
      </c>
      <c r="Z6017" t="s">
        <v>102</v>
      </c>
      <c r="AB6017" t="s">
        <v>1099</v>
      </c>
      <c r="AC6017" t="s">
        <v>41</v>
      </c>
    </row>
    <row r="6018" spans="1:29" x14ac:dyDescent="0.35">
      <c r="A6018" s="7">
        <v>42963</v>
      </c>
      <c r="B6018" t="s">
        <v>30</v>
      </c>
      <c r="C6018">
        <v>701</v>
      </c>
      <c r="D6018">
        <v>4</v>
      </c>
      <c r="E6018">
        <v>1</v>
      </c>
      <c r="F6018" t="s">
        <v>315</v>
      </c>
      <c r="G6018" t="s">
        <v>32</v>
      </c>
      <c r="H6018" t="s">
        <v>33</v>
      </c>
      <c r="I6018" t="s">
        <v>94</v>
      </c>
      <c r="J6018" t="s">
        <v>44</v>
      </c>
      <c r="K6018" t="s">
        <v>36</v>
      </c>
      <c r="L6018" t="s">
        <v>45</v>
      </c>
      <c r="M6018">
        <v>0</v>
      </c>
      <c r="N6018">
        <v>0</v>
      </c>
      <c r="P6018">
        <v>39402</v>
      </c>
      <c r="Q6018">
        <f>35.5-13</f>
        <v>22.5</v>
      </c>
      <c r="R6018" t="s">
        <v>1021</v>
      </c>
      <c r="S6018" t="s">
        <v>102</v>
      </c>
      <c r="Z6018" t="s">
        <v>102</v>
      </c>
      <c r="AB6018" t="s">
        <v>1099</v>
      </c>
      <c r="AC6018" t="s">
        <v>41</v>
      </c>
    </row>
    <row r="6019" spans="1:29" x14ac:dyDescent="0.35">
      <c r="A6019" s="7">
        <v>42963</v>
      </c>
      <c r="B6019" t="s">
        <v>30</v>
      </c>
      <c r="C6019">
        <v>701</v>
      </c>
      <c r="D6019">
        <v>4</v>
      </c>
      <c r="E6019">
        <v>2</v>
      </c>
      <c r="F6019" t="s">
        <v>315</v>
      </c>
      <c r="G6019" t="s">
        <v>32</v>
      </c>
      <c r="H6019" t="s">
        <v>33</v>
      </c>
      <c r="I6019" t="s">
        <v>59</v>
      </c>
      <c r="AB6019" t="s">
        <v>1099</v>
      </c>
      <c r="AC6019" t="s">
        <v>41</v>
      </c>
    </row>
    <row r="6020" spans="1:29" x14ac:dyDescent="0.35">
      <c r="A6020" s="7">
        <v>42963</v>
      </c>
      <c r="B6020" t="s">
        <v>30</v>
      </c>
      <c r="C6020">
        <v>701</v>
      </c>
      <c r="D6020">
        <v>5</v>
      </c>
      <c r="E6020">
        <v>1</v>
      </c>
      <c r="F6020" t="s">
        <v>315</v>
      </c>
      <c r="G6020" t="s">
        <v>32</v>
      </c>
      <c r="H6020" t="s">
        <v>33</v>
      </c>
      <c r="I6020" t="s">
        <v>59</v>
      </c>
      <c r="AB6020" t="s">
        <v>1099</v>
      </c>
      <c r="AC6020" t="s">
        <v>41</v>
      </c>
    </row>
    <row r="6021" spans="1:29" x14ac:dyDescent="0.35">
      <c r="A6021" s="7">
        <v>42963</v>
      </c>
      <c r="B6021" t="s">
        <v>30</v>
      </c>
      <c r="C6021">
        <v>701</v>
      </c>
      <c r="D6021">
        <v>5</v>
      </c>
      <c r="E6021">
        <v>2</v>
      </c>
      <c r="F6021" t="s">
        <v>315</v>
      </c>
      <c r="G6021" t="s">
        <v>32</v>
      </c>
      <c r="H6021" t="s">
        <v>33</v>
      </c>
      <c r="I6021" t="s">
        <v>59</v>
      </c>
      <c r="AB6021" t="s">
        <v>1099</v>
      </c>
      <c r="AC6021" t="s">
        <v>41</v>
      </c>
    </row>
    <row r="6022" spans="1:29" x14ac:dyDescent="0.35">
      <c r="A6022" s="7">
        <v>42963</v>
      </c>
      <c r="B6022" t="s">
        <v>30</v>
      </c>
      <c r="C6022">
        <v>701</v>
      </c>
      <c r="D6022">
        <v>6</v>
      </c>
      <c r="E6022">
        <v>1</v>
      </c>
      <c r="F6022" t="s">
        <v>315</v>
      </c>
      <c r="G6022" t="s">
        <v>32</v>
      </c>
      <c r="H6022" t="s">
        <v>33</v>
      </c>
      <c r="I6022" t="s">
        <v>59</v>
      </c>
      <c r="AB6022" t="s">
        <v>1099</v>
      </c>
      <c r="AC6022" t="s">
        <v>41</v>
      </c>
    </row>
    <row r="6023" spans="1:29" x14ac:dyDescent="0.35">
      <c r="A6023" s="7">
        <v>42963</v>
      </c>
      <c r="B6023" t="s">
        <v>30</v>
      </c>
      <c r="C6023">
        <v>701</v>
      </c>
      <c r="D6023">
        <v>6</v>
      </c>
      <c r="E6023">
        <v>2</v>
      </c>
      <c r="F6023" t="s">
        <v>315</v>
      </c>
      <c r="G6023" t="s">
        <v>32</v>
      </c>
      <c r="H6023" t="s">
        <v>33</v>
      </c>
      <c r="I6023" t="s">
        <v>43</v>
      </c>
      <c r="J6023" t="s">
        <v>44</v>
      </c>
      <c r="K6023" t="s">
        <v>36</v>
      </c>
      <c r="L6023" t="s">
        <v>37</v>
      </c>
      <c r="M6023">
        <v>0</v>
      </c>
      <c r="N6023">
        <v>0</v>
      </c>
      <c r="O6023">
        <v>39352</v>
      </c>
      <c r="P6023">
        <v>39401</v>
      </c>
      <c r="Q6023">
        <f>34.5-13</f>
        <v>21.5</v>
      </c>
      <c r="R6023" t="s">
        <v>38</v>
      </c>
      <c r="Z6023" t="s">
        <v>102</v>
      </c>
      <c r="AB6023" t="s">
        <v>1099</v>
      </c>
      <c r="AC6023" t="s">
        <v>41</v>
      </c>
    </row>
    <row r="6024" spans="1:29" x14ac:dyDescent="0.35">
      <c r="A6024" s="7">
        <v>42963</v>
      </c>
      <c r="B6024" t="s">
        <v>30</v>
      </c>
      <c r="C6024">
        <v>701</v>
      </c>
      <c r="D6024">
        <v>7</v>
      </c>
      <c r="E6024">
        <v>1</v>
      </c>
      <c r="F6024" t="s">
        <v>315</v>
      </c>
      <c r="G6024" t="s">
        <v>32</v>
      </c>
      <c r="H6024" t="s">
        <v>33</v>
      </c>
      <c r="I6024" t="s">
        <v>59</v>
      </c>
      <c r="AB6024" t="s">
        <v>1099</v>
      </c>
      <c r="AC6024" t="s">
        <v>41</v>
      </c>
    </row>
    <row r="6025" spans="1:29" x14ac:dyDescent="0.35">
      <c r="A6025" s="7">
        <v>42963</v>
      </c>
      <c r="B6025" t="s">
        <v>30</v>
      </c>
      <c r="C6025">
        <v>701</v>
      </c>
      <c r="D6025">
        <v>7</v>
      </c>
      <c r="E6025">
        <v>2</v>
      </c>
      <c r="F6025" t="s">
        <v>315</v>
      </c>
      <c r="G6025" t="s">
        <v>32</v>
      </c>
      <c r="H6025" t="s">
        <v>33</v>
      </c>
      <c r="I6025" t="s">
        <v>59</v>
      </c>
      <c r="AB6025" t="s">
        <v>1099</v>
      </c>
      <c r="AC6025" t="s">
        <v>41</v>
      </c>
    </row>
    <row r="6026" spans="1:29" x14ac:dyDescent="0.35">
      <c r="A6026" s="7">
        <v>42963</v>
      </c>
      <c r="B6026" t="s">
        <v>30</v>
      </c>
      <c r="C6026">
        <v>701</v>
      </c>
      <c r="D6026">
        <v>8</v>
      </c>
      <c r="E6026">
        <v>1</v>
      </c>
      <c r="F6026" t="s">
        <v>315</v>
      </c>
      <c r="G6026" t="s">
        <v>32</v>
      </c>
      <c r="H6026" t="s">
        <v>33</v>
      </c>
      <c r="I6026" t="s">
        <v>59</v>
      </c>
      <c r="AB6026" t="s">
        <v>1099</v>
      </c>
      <c r="AC6026" t="s">
        <v>41</v>
      </c>
    </row>
    <row r="6027" spans="1:29" x14ac:dyDescent="0.35">
      <c r="A6027" s="7">
        <v>42963</v>
      </c>
      <c r="B6027" t="s">
        <v>30</v>
      </c>
      <c r="C6027">
        <v>701</v>
      </c>
      <c r="D6027">
        <v>8</v>
      </c>
      <c r="E6027">
        <v>2</v>
      </c>
      <c r="F6027" t="s">
        <v>315</v>
      </c>
      <c r="G6027" t="s">
        <v>32</v>
      </c>
      <c r="H6027" t="s">
        <v>33</v>
      </c>
      <c r="I6027" t="s">
        <v>58</v>
      </c>
      <c r="J6027" t="s">
        <v>44</v>
      </c>
      <c r="K6027" t="s">
        <v>36</v>
      </c>
      <c r="L6027" t="s">
        <v>45</v>
      </c>
      <c r="M6027">
        <v>0</v>
      </c>
      <c r="N6027">
        <v>0</v>
      </c>
      <c r="O6027">
        <v>39355</v>
      </c>
      <c r="Q6027">
        <f>34.5-13.5</f>
        <v>21</v>
      </c>
      <c r="R6027" t="s">
        <v>1021</v>
      </c>
      <c r="S6027" t="s">
        <v>102</v>
      </c>
      <c r="Z6027" t="s">
        <v>102</v>
      </c>
      <c r="AB6027" t="s">
        <v>1099</v>
      </c>
      <c r="AC6027" t="s">
        <v>41</v>
      </c>
    </row>
    <row r="6028" spans="1:29" x14ac:dyDescent="0.35">
      <c r="A6028" s="7">
        <v>42963</v>
      </c>
      <c r="B6028" t="s">
        <v>30</v>
      </c>
      <c r="C6028">
        <v>701</v>
      </c>
      <c r="D6028">
        <v>9</v>
      </c>
      <c r="E6028">
        <v>1</v>
      </c>
      <c r="F6028" t="s">
        <v>315</v>
      </c>
      <c r="G6028" t="s">
        <v>32</v>
      </c>
      <c r="H6028" t="s">
        <v>33</v>
      </c>
      <c r="I6028" t="s">
        <v>59</v>
      </c>
      <c r="AB6028" t="s">
        <v>1099</v>
      </c>
      <c r="AC6028" t="s">
        <v>41</v>
      </c>
    </row>
    <row r="6029" spans="1:29" x14ac:dyDescent="0.35">
      <c r="A6029" s="7">
        <v>42963</v>
      </c>
      <c r="B6029" t="s">
        <v>30</v>
      </c>
      <c r="C6029">
        <v>701</v>
      </c>
      <c r="D6029">
        <v>9</v>
      </c>
      <c r="E6029">
        <v>2</v>
      </c>
      <c r="F6029" t="s">
        <v>315</v>
      </c>
      <c r="G6029" t="s">
        <v>32</v>
      </c>
      <c r="H6029" t="s">
        <v>33</v>
      </c>
      <c r="I6029" t="s">
        <v>59</v>
      </c>
      <c r="AB6029" t="s">
        <v>1099</v>
      </c>
      <c r="AC6029" t="s">
        <v>41</v>
      </c>
    </row>
    <row r="6030" spans="1:29" x14ac:dyDescent="0.35">
      <c r="A6030" s="7">
        <v>42963</v>
      </c>
      <c r="B6030" t="s">
        <v>30</v>
      </c>
      <c r="C6030">
        <v>701</v>
      </c>
      <c r="D6030">
        <v>10</v>
      </c>
      <c r="E6030">
        <v>1</v>
      </c>
      <c r="F6030" t="s">
        <v>315</v>
      </c>
      <c r="G6030" t="s">
        <v>32</v>
      </c>
      <c r="H6030" t="s">
        <v>33</v>
      </c>
      <c r="I6030" t="s">
        <v>59</v>
      </c>
      <c r="AB6030" t="s">
        <v>1099</v>
      </c>
      <c r="AC6030" t="s">
        <v>41</v>
      </c>
    </row>
    <row r="6031" spans="1:29" x14ac:dyDescent="0.35">
      <c r="A6031" s="7">
        <v>42963</v>
      </c>
      <c r="B6031" t="s">
        <v>30</v>
      </c>
      <c r="C6031">
        <v>701</v>
      </c>
      <c r="D6031">
        <v>10</v>
      </c>
      <c r="E6031">
        <v>2</v>
      </c>
      <c r="F6031" t="s">
        <v>315</v>
      </c>
      <c r="G6031" t="s">
        <v>32</v>
      </c>
      <c r="H6031" t="s">
        <v>33</v>
      </c>
      <c r="I6031" t="s">
        <v>59</v>
      </c>
      <c r="AB6031" t="s">
        <v>1099</v>
      </c>
      <c r="AC6031" t="s">
        <v>41</v>
      </c>
    </row>
    <row r="6032" spans="1:29" x14ac:dyDescent="0.35">
      <c r="A6032" s="7">
        <v>42963</v>
      </c>
      <c r="B6032" t="s">
        <v>30</v>
      </c>
      <c r="C6032">
        <v>703</v>
      </c>
      <c r="D6032">
        <v>1</v>
      </c>
      <c r="E6032">
        <v>1</v>
      </c>
      <c r="F6032" t="s">
        <v>315</v>
      </c>
      <c r="G6032" t="s">
        <v>32</v>
      </c>
      <c r="H6032" t="s">
        <v>33</v>
      </c>
      <c r="I6032" t="s">
        <v>59</v>
      </c>
      <c r="AB6032" t="s">
        <v>1099</v>
      </c>
      <c r="AC6032" t="s">
        <v>41</v>
      </c>
    </row>
    <row r="6033" spans="1:30" x14ac:dyDescent="0.35">
      <c r="A6033" s="7">
        <v>42963</v>
      </c>
      <c r="B6033" t="s">
        <v>30</v>
      </c>
      <c r="C6033">
        <v>703</v>
      </c>
      <c r="D6033">
        <v>1</v>
      </c>
      <c r="E6033">
        <v>2</v>
      </c>
      <c r="F6033" t="s">
        <v>315</v>
      </c>
      <c r="G6033" t="s">
        <v>32</v>
      </c>
      <c r="H6033" t="s">
        <v>33</v>
      </c>
      <c r="I6033" t="s">
        <v>59</v>
      </c>
      <c r="AB6033" t="s">
        <v>1099</v>
      </c>
      <c r="AC6033" t="s">
        <v>41</v>
      </c>
    </row>
    <row r="6034" spans="1:30" x14ac:dyDescent="0.35">
      <c r="A6034" s="7">
        <v>42963</v>
      </c>
      <c r="B6034" t="s">
        <v>30</v>
      </c>
      <c r="C6034">
        <v>703</v>
      </c>
      <c r="D6034">
        <v>2</v>
      </c>
      <c r="E6034">
        <v>1</v>
      </c>
      <c r="F6034" t="s">
        <v>315</v>
      </c>
      <c r="G6034" t="s">
        <v>32</v>
      </c>
      <c r="H6034" t="s">
        <v>33</v>
      </c>
      <c r="I6034" t="s">
        <v>43</v>
      </c>
      <c r="J6034" t="s">
        <v>44</v>
      </c>
      <c r="K6034" t="s">
        <v>36</v>
      </c>
      <c r="L6034" t="s">
        <v>45</v>
      </c>
      <c r="M6034">
        <v>0</v>
      </c>
      <c r="N6034">
        <v>0</v>
      </c>
      <c r="O6034">
        <v>39771</v>
      </c>
      <c r="P6034">
        <v>39770</v>
      </c>
      <c r="Q6034">
        <f>33-13</f>
        <v>20</v>
      </c>
      <c r="R6034" t="s">
        <v>1021</v>
      </c>
      <c r="S6034" t="s">
        <v>102</v>
      </c>
      <c r="Z6034" t="s">
        <v>102</v>
      </c>
      <c r="AB6034" t="s">
        <v>1099</v>
      </c>
      <c r="AC6034" t="s">
        <v>41</v>
      </c>
    </row>
    <row r="6035" spans="1:30" x14ac:dyDescent="0.35">
      <c r="A6035" s="7">
        <v>42963</v>
      </c>
      <c r="B6035" t="s">
        <v>30</v>
      </c>
      <c r="C6035">
        <v>703</v>
      </c>
      <c r="D6035">
        <v>3</v>
      </c>
      <c r="E6035">
        <v>1</v>
      </c>
      <c r="F6035" t="s">
        <v>315</v>
      </c>
      <c r="G6035" t="s">
        <v>32</v>
      </c>
      <c r="H6035" t="s">
        <v>33</v>
      </c>
      <c r="I6035" t="s">
        <v>59</v>
      </c>
      <c r="AB6035" t="s">
        <v>1099</v>
      </c>
      <c r="AC6035" t="s">
        <v>41</v>
      </c>
    </row>
    <row r="6036" spans="1:30" x14ac:dyDescent="0.35">
      <c r="A6036" s="7">
        <v>42963</v>
      </c>
      <c r="B6036" t="s">
        <v>30</v>
      </c>
      <c r="C6036">
        <v>703</v>
      </c>
      <c r="D6036">
        <v>3</v>
      </c>
      <c r="E6036">
        <v>2</v>
      </c>
      <c r="F6036" t="s">
        <v>315</v>
      </c>
      <c r="G6036" t="s">
        <v>32</v>
      </c>
      <c r="H6036" t="s">
        <v>33</v>
      </c>
      <c r="I6036" t="s">
        <v>59</v>
      </c>
      <c r="AB6036" t="s">
        <v>1099</v>
      </c>
      <c r="AC6036" t="s">
        <v>41</v>
      </c>
    </row>
    <row r="6037" spans="1:30" x14ac:dyDescent="0.35">
      <c r="A6037" s="7">
        <v>42963</v>
      </c>
      <c r="B6037" t="s">
        <v>30</v>
      </c>
      <c r="C6037">
        <v>703</v>
      </c>
      <c r="D6037">
        <v>4</v>
      </c>
      <c r="E6037">
        <v>1</v>
      </c>
      <c r="F6037" t="s">
        <v>315</v>
      </c>
      <c r="G6037" t="s">
        <v>32</v>
      </c>
      <c r="H6037" t="s">
        <v>33</v>
      </c>
      <c r="I6037" t="s">
        <v>43</v>
      </c>
      <c r="J6037" t="s">
        <v>44</v>
      </c>
      <c r="K6037" t="s">
        <v>36</v>
      </c>
      <c r="L6037" t="s">
        <v>37</v>
      </c>
      <c r="M6037">
        <v>0</v>
      </c>
      <c r="N6037">
        <v>0</v>
      </c>
      <c r="O6037">
        <v>39877</v>
      </c>
      <c r="P6037">
        <v>39876</v>
      </c>
      <c r="Q6037">
        <f>35-14.5</f>
        <v>20.5</v>
      </c>
      <c r="R6037" t="s">
        <v>38</v>
      </c>
      <c r="Z6037" t="s">
        <v>102</v>
      </c>
      <c r="AB6037" t="s">
        <v>1099</v>
      </c>
      <c r="AC6037" t="s">
        <v>41</v>
      </c>
    </row>
    <row r="6038" spans="1:30" x14ac:dyDescent="0.35">
      <c r="A6038" s="7">
        <v>42963</v>
      </c>
      <c r="B6038" t="s">
        <v>30</v>
      </c>
      <c r="C6038">
        <v>703</v>
      </c>
      <c r="D6038">
        <v>5</v>
      </c>
      <c r="E6038">
        <v>1</v>
      </c>
      <c r="F6038" t="s">
        <v>315</v>
      </c>
      <c r="G6038" t="s">
        <v>32</v>
      </c>
      <c r="H6038" t="s">
        <v>33</v>
      </c>
      <c r="I6038" t="s">
        <v>59</v>
      </c>
      <c r="AB6038" t="s">
        <v>1099</v>
      </c>
      <c r="AC6038" t="s">
        <v>41</v>
      </c>
    </row>
    <row r="6039" spans="1:30" x14ac:dyDescent="0.35">
      <c r="A6039" s="7">
        <v>42963</v>
      </c>
      <c r="B6039" t="s">
        <v>30</v>
      </c>
      <c r="C6039">
        <v>703</v>
      </c>
      <c r="D6039">
        <v>6</v>
      </c>
      <c r="E6039">
        <v>1</v>
      </c>
      <c r="F6039" t="s">
        <v>315</v>
      </c>
      <c r="G6039" t="s">
        <v>32</v>
      </c>
      <c r="H6039" t="s">
        <v>33</v>
      </c>
      <c r="I6039" t="s">
        <v>59</v>
      </c>
      <c r="AB6039" t="s">
        <v>1099</v>
      </c>
      <c r="AC6039" t="s">
        <v>41</v>
      </c>
    </row>
    <row r="6040" spans="1:30" x14ac:dyDescent="0.35">
      <c r="A6040" s="7">
        <v>42963</v>
      </c>
      <c r="B6040" t="s">
        <v>30</v>
      </c>
      <c r="C6040">
        <v>703</v>
      </c>
      <c r="D6040">
        <v>6</v>
      </c>
      <c r="E6040">
        <v>2</v>
      </c>
      <c r="F6040" t="s">
        <v>315</v>
      </c>
      <c r="G6040" t="s">
        <v>32</v>
      </c>
      <c r="H6040" t="s">
        <v>33</v>
      </c>
      <c r="I6040" t="s">
        <v>43</v>
      </c>
      <c r="J6040" t="s">
        <v>44</v>
      </c>
      <c r="K6040" t="s">
        <v>36</v>
      </c>
      <c r="L6040" t="s">
        <v>37</v>
      </c>
      <c r="M6040">
        <v>0</v>
      </c>
      <c r="N6040">
        <v>0</v>
      </c>
      <c r="O6040">
        <v>39743</v>
      </c>
      <c r="P6040">
        <v>39742</v>
      </c>
      <c r="Q6040">
        <f>34-13.5</f>
        <v>20.5</v>
      </c>
      <c r="R6040" t="s">
        <v>38</v>
      </c>
      <c r="Z6040" t="s">
        <v>102</v>
      </c>
      <c r="AB6040" t="s">
        <v>1099</v>
      </c>
      <c r="AC6040" t="s">
        <v>41</v>
      </c>
    </row>
    <row r="6041" spans="1:30" x14ac:dyDescent="0.35">
      <c r="A6041" s="7">
        <v>42963</v>
      </c>
      <c r="B6041" t="s">
        <v>30</v>
      </c>
      <c r="C6041">
        <v>703</v>
      </c>
      <c r="D6041">
        <v>7</v>
      </c>
      <c r="E6041">
        <v>1</v>
      </c>
      <c r="F6041" t="s">
        <v>315</v>
      </c>
      <c r="G6041" t="s">
        <v>32</v>
      </c>
      <c r="H6041" t="s">
        <v>33</v>
      </c>
      <c r="I6041" t="s">
        <v>94</v>
      </c>
      <c r="J6041" t="s">
        <v>44</v>
      </c>
      <c r="K6041" t="s">
        <v>36</v>
      </c>
      <c r="L6041" t="s">
        <v>45</v>
      </c>
      <c r="M6041">
        <v>0</v>
      </c>
      <c r="N6041">
        <v>0</v>
      </c>
      <c r="O6041">
        <v>2946</v>
      </c>
      <c r="Q6041">
        <f>32.5-13</f>
        <v>19.5</v>
      </c>
      <c r="R6041" t="s">
        <v>1021</v>
      </c>
      <c r="S6041" t="s">
        <v>102</v>
      </c>
      <c r="Z6041" t="s">
        <v>102</v>
      </c>
      <c r="AB6041" t="s">
        <v>1099</v>
      </c>
      <c r="AC6041" t="s">
        <v>41</v>
      </c>
      <c r="AD6041" t="s">
        <v>1124</v>
      </c>
    </row>
    <row r="6042" spans="1:30" x14ac:dyDescent="0.35">
      <c r="A6042" s="7">
        <v>42963</v>
      </c>
      <c r="B6042" t="s">
        <v>30</v>
      </c>
      <c r="C6042">
        <v>703</v>
      </c>
      <c r="D6042">
        <v>7</v>
      </c>
      <c r="E6042">
        <v>2</v>
      </c>
      <c r="F6042" t="s">
        <v>315</v>
      </c>
      <c r="G6042" t="s">
        <v>32</v>
      </c>
      <c r="H6042" t="s">
        <v>33</v>
      </c>
      <c r="I6042" t="s">
        <v>59</v>
      </c>
      <c r="AB6042" t="s">
        <v>1099</v>
      </c>
      <c r="AC6042" t="s">
        <v>41</v>
      </c>
    </row>
    <row r="6043" spans="1:30" x14ac:dyDescent="0.35">
      <c r="A6043" s="7">
        <v>42963</v>
      </c>
      <c r="B6043" t="s">
        <v>30</v>
      </c>
      <c r="C6043">
        <v>703</v>
      </c>
      <c r="D6043">
        <v>8</v>
      </c>
      <c r="E6043">
        <v>1</v>
      </c>
      <c r="F6043" t="s">
        <v>315</v>
      </c>
      <c r="G6043" t="s">
        <v>32</v>
      </c>
      <c r="H6043" t="s">
        <v>33</v>
      </c>
      <c r="I6043" t="s">
        <v>59</v>
      </c>
      <c r="AB6043" t="s">
        <v>1099</v>
      </c>
      <c r="AC6043" t="s">
        <v>41</v>
      </c>
    </row>
    <row r="6044" spans="1:30" x14ac:dyDescent="0.35">
      <c r="A6044" s="7">
        <v>42963</v>
      </c>
      <c r="B6044" t="s">
        <v>30</v>
      </c>
      <c r="C6044">
        <v>703</v>
      </c>
      <c r="D6044">
        <v>8</v>
      </c>
      <c r="E6044">
        <v>2</v>
      </c>
      <c r="F6044" t="s">
        <v>315</v>
      </c>
      <c r="G6044" t="s">
        <v>32</v>
      </c>
      <c r="H6044" t="s">
        <v>33</v>
      </c>
      <c r="I6044" t="s">
        <v>59</v>
      </c>
      <c r="AB6044" t="s">
        <v>1099</v>
      </c>
      <c r="AC6044" t="s">
        <v>41</v>
      </c>
    </row>
    <row r="6045" spans="1:30" x14ac:dyDescent="0.35">
      <c r="A6045" s="7">
        <v>42963</v>
      </c>
      <c r="B6045" t="s">
        <v>30</v>
      </c>
      <c r="C6045">
        <v>703</v>
      </c>
      <c r="D6045">
        <v>9</v>
      </c>
      <c r="E6045">
        <v>1</v>
      </c>
      <c r="F6045" t="s">
        <v>315</v>
      </c>
      <c r="G6045" t="s">
        <v>32</v>
      </c>
      <c r="H6045" t="s">
        <v>33</v>
      </c>
      <c r="I6045" t="s">
        <v>59</v>
      </c>
      <c r="AB6045" t="s">
        <v>1099</v>
      </c>
      <c r="AC6045" t="s">
        <v>41</v>
      </c>
    </row>
    <row r="6046" spans="1:30" x14ac:dyDescent="0.35">
      <c r="A6046" s="7">
        <v>42963</v>
      </c>
      <c r="B6046" t="s">
        <v>30</v>
      </c>
      <c r="C6046">
        <v>703</v>
      </c>
      <c r="D6046">
        <v>9</v>
      </c>
      <c r="E6046">
        <v>2</v>
      </c>
      <c r="F6046" t="s">
        <v>315</v>
      </c>
      <c r="G6046" t="s">
        <v>32</v>
      </c>
      <c r="H6046" t="s">
        <v>33</v>
      </c>
      <c r="I6046" t="s">
        <v>43</v>
      </c>
      <c r="J6046" t="s">
        <v>44</v>
      </c>
      <c r="K6046" t="s">
        <v>36</v>
      </c>
      <c r="L6046" t="s">
        <v>45</v>
      </c>
      <c r="M6046">
        <v>0</v>
      </c>
      <c r="N6046">
        <v>0</v>
      </c>
      <c r="O6046">
        <v>38952</v>
      </c>
      <c r="P6046">
        <v>38951</v>
      </c>
      <c r="Q6046">
        <f>32-13</f>
        <v>19</v>
      </c>
      <c r="R6046" t="s">
        <v>1021</v>
      </c>
      <c r="S6046" t="s">
        <v>102</v>
      </c>
      <c r="Z6046" t="s">
        <v>102</v>
      </c>
      <c r="AB6046" t="s">
        <v>1099</v>
      </c>
      <c r="AC6046" t="s">
        <v>41</v>
      </c>
    </row>
    <row r="6047" spans="1:30" x14ac:dyDescent="0.35">
      <c r="A6047" s="7">
        <v>42963</v>
      </c>
      <c r="B6047" t="s">
        <v>30</v>
      </c>
      <c r="C6047">
        <v>703</v>
      </c>
      <c r="D6047">
        <v>10</v>
      </c>
      <c r="E6047">
        <v>1</v>
      </c>
      <c r="F6047" t="s">
        <v>315</v>
      </c>
      <c r="G6047" t="s">
        <v>32</v>
      </c>
      <c r="H6047" t="s">
        <v>33</v>
      </c>
      <c r="I6047" t="s">
        <v>59</v>
      </c>
      <c r="AB6047" t="s">
        <v>1099</v>
      </c>
      <c r="AC6047" t="s">
        <v>41</v>
      </c>
    </row>
    <row r="6048" spans="1:30" x14ac:dyDescent="0.35">
      <c r="A6048" s="7">
        <v>42963</v>
      </c>
      <c r="B6048" t="s">
        <v>30</v>
      </c>
      <c r="C6048">
        <v>703</v>
      </c>
      <c r="D6048">
        <v>10</v>
      </c>
      <c r="E6048">
        <v>2</v>
      </c>
      <c r="F6048" t="s">
        <v>315</v>
      </c>
      <c r="G6048" t="s">
        <v>32</v>
      </c>
      <c r="H6048" t="s">
        <v>33</v>
      </c>
      <c r="I6048" t="s">
        <v>59</v>
      </c>
      <c r="AB6048" t="s">
        <v>1099</v>
      </c>
      <c r="AC6048" t="s">
        <v>41</v>
      </c>
    </row>
    <row r="6049" spans="1:30" x14ac:dyDescent="0.35">
      <c r="A6049" s="7">
        <v>42963</v>
      </c>
      <c r="B6049" t="s">
        <v>30</v>
      </c>
      <c r="C6049">
        <v>801</v>
      </c>
      <c r="D6049">
        <v>1</v>
      </c>
      <c r="E6049">
        <v>1</v>
      </c>
      <c r="F6049" t="s">
        <v>315</v>
      </c>
      <c r="G6049" t="s">
        <v>32</v>
      </c>
      <c r="H6049" t="s">
        <v>33</v>
      </c>
      <c r="I6049" t="s">
        <v>58</v>
      </c>
      <c r="J6049" t="s">
        <v>35</v>
      </c>
      <c r="K6049" t="s">
        <v>36</v>
      </c>
      <c r="L6049" t="s">
        <v>37</v>
      </c>
      <c r="M6049">
        <v>0</v>
      </c>
      <c r="N6049">
        <v>1</v>
      </c>
      <c r="O6049">
        <v>39891</v>
      </c>
      <c r="Q6049">
        <f>39-14</f>
        <v>25</v>
      </c>
      <c r="R6049" t="s">
        <v>38</v>
      </c>
      <c r="Z6049" t="s">
        <v>102</v>
      </c>
      <c r="AB6049" t="s">
        <v>1099</v>
      </c>
      <c r="AC6049" t="s">
        <v>41</v>
      </c>
    </row>
    <row r="6050" spans="1:30" x14ac:dyDescent="0.35">
      <c r="A6050" s="7">
        <v>42963</v>
      </c>
      <c r="B6050" t="s">
        <v>30</v>
      </c>
      <c r="C6050">
        <v>801</v>
      </c>
      <c r="D6050">
        <v>1</v>
      </c>
      <c r="E6050">
        <v>2</v>
      </c>
      <c r="F6050" t="s">
        <v>315</v>
      </c>
      <c r="G6050" t="s">
        <v>32</v>
      </c>
      <c r="H6050" t="s">
        <v>33</v>
      </c>
      <c r="I6050" t="s">
        <v>58</v>
      </c>
      <c r="J6050" t="s">
        <v>44</v>
      </c>
      <c r="K6050" t="s">
        <v>36</v>
      </c>
      <c r="M6050">
        <v>0</v>
      </c>
      <c r="N6050">
        <v>0</v>
      </c>
      <c r="O6050">
        <v>39432</v>
      </c>
      <c r="Q6050">
        <f>35-14.5</f>
        <v>20.5</v>
      </c>
      <c r="Z6050" t="s">
        <v>102</v>
      </c>
      <c r="AA6050" t="s">
        <v>92</v>
      </c>
      <c r="AB6050" t="s">
        <v>1099</v>
      </c>
      <c r="AC6050" t="s">
        <v>41</v>
      </c>
    </row>
    <row r="6051" spans="1:30" x14ac:dyDescent="0.35">
      <c r="A6051" s="7">
        <v>42963</v>
      </c>
      <c r="B6051" t="s">
        <v>30</v>
      </c>
      <c r="C6051">
        <v>801</v>
      </c>
      <c r="D6051">
        <v>2</v>
      </c>
      <c r="E6051">
        <v>1</v>
      </c>
      <c r="F6051" t="s">
        <v>315</v>
      </c>
      <c r="G6051" t="s">
        <v>32</v>
      </c>
      <c r="H6051" t="s">
        <v>33</v>
      </c>
      <c r="I6051" t="s">
        <v>59</v>
      </c>
      <c r="AB6051" t="s">
        <v>1099</v>
      </c>
      <c r="AC6051" t="s">
        <v>41</v>
      </c>
    </row>
    <row r="6052" spans="1:30" x14ac:dyDescent="0.35">
      <c r="A6052" s="7">
        <v>42963</v>
      </c>
      <c r="B6052" t="s">
        <v>30</v>
      </c>
      <c r="C6052">
        <v>801</v>
      </c>
      <c r="D6052">
        <v>2</v>
      </c>
      <c r="E6052">
        <v>2</v>
      </c>
      <c r="F6052" t="s">
        <v>315</v>
      </c>
      <c r="G6052" t="s">
        <v>32</v>
      </c>
      <c r="H6052" t="s">
        <v>33</v>
      </c>
      <c r="I6052" t="s">
        <v>59</v>
      </c>
      <c r="AB6052" t="s">
        <v>1099</v>
      </c>
      <c r="AC6052" t="s">
        <v>41</v>
      </c>
    </row>
    <row r="6053" spans="1:30" x14ac:dyDescent="0.35">
      <c r="A6053" s="7">
        <v>42963</v>
      </c>
      <c r="B6053" t="s">
        <v>30</v>
      </c>
      <c r="C6053">
        <v>801</v>
      </c>
      <c r="D6053">
        <v>3</v>
      </c>
      <c r="E6053">
        <v>1</v>
      </c>
      <c r="F6053" t="s">
        <v>315</v>
      </c>
      <c r="G6053" t="s">
        <v>32</v>
      </c>
      <c r="H6053" t="s">
        <v>33</v>
      </c>
      <c r="I6053" t="s">
        <v>58</v>
      </c>
      <c r="J6053" t="s">
        <v>35</v>
      </c>
      <c r="K6053" t="s">
        <v>36</v>
      </c>
      <c r="L6053" t="s">
        <v>37</v>
      </c>
      <c r="M6053">
        <v>0</v>
      </c>
      <c r="N6053">
        <v>1</v>
      </c>
      <c r="O6053">
        <v>39892</v>
      </c>
      <c r="Q6053">
        <f>34-14</f>
        <v>20</v>
      </c>
      <c r="R6053" t="s">
        <v>38</v>
      </c>
      <c r="AB6053" t="s">
        <v>1099</v>
      </c>
      <c r="AC6053" t="s">
        <v>41</v>
      </c>
      <c r="AD6053" t="s">
        <v>1125</v>
      </c>
    </row>
    <row r="6054" spans="1:30" x14ac:dyDescent="0.35">
      <c r="A6054" s="7">
        <v>42963</v>
      </c>
      <c r="B6054" t="s">
        <v>30</v>
      </c>
      <c r="C6054">
        <v>801</v>
      </c>
      <c r="D6054">
        <v>3</v>
      </c>
      <c r="E6054">
        <v>2</v>
      </c>
      <c r="F6054" t="s">
        <v>315</v>
      </c>
      <c r="G6054" t="s">
        <v>32</v>
      </c>
      <c r="H6054" t="s">
        <v>33</v>
      </c>
      <c r="I6054" t="s">
        <v>58</v>
      </c>
      <c r="J6054" t="s">
        <v>44</v>
      </c>
      <c r="K6054" t="s">
        <v>36</v>
      </c>
      <c r="L6054" t="s">
        <v>45</v>
      </c>
      <c r="M6054">
        <v>0</v>
      </c>
      <c r="N6054">
        <v>0</v>
      </c>
      <c r="O6054">
        <v>39356</v>
      </c>
      <c r="Q6054">
        <f>38-14</f>
        <v>24</v>
      </c>
      <c r="R6054" t="s">
        <v>1021</v>
      </c>
      <c r="S6054" t="s">
        <v>102</v>
      </c>
      <c r="Z6054" t="s">
        <v>102</v>
      </c>
      <c r="AB6054" t="s">
        <v>1099</v>
      </c>
      <c r="AC6054" t="s">
        <v>41</v>
      </c>
      <c r="AD6054" t="s">
        <v>1126</v>
      </c>
    </row>
    <row r="6055" spans="1:30" x14ac:dyDescent="0.35">
      <c r="A6055" s="7">
        <v>42963</v>
      </c>
      <c r="B6055" t="s">
        <v>30</v>
      </c>
      <c r="C6055">
        <v>801</v>
      </c>
      <c r="D6055">
        <v>4</v>
      </c>
      <c r="E6055">
        <v>1</v>
      </c>
      <c r="F6055" t="s">
        <v>315</v>
      </c>
      <c r="G6055" t="s">
        <v>32</v>
      </c>
      <c r="H6055" t="s">
        <v>33</v>
      </c>
      <c r="I6055" t="s">
        <v>59</v>
      </c>
      <c r="AB6055" t="s">
        <v>1099</v>
      </c>
      <c r="AC6055" t="s">
        <v>41</v>
      </c>
    </row>
    <row r="6056" spans="1:30" x14ac:dyDescent="0.35">
      <c r="A6056" s="7">
        <v>42963</v>
      </c>
      <c r="B6056" t="s">
        <v>30</v>
      </c>
      <c r="C6056">
        <v>801</v>
      </c>
      <c r="D6056">
        <v>4</v>
      </c>
      <c r="E6056">
        <v>2</v>
      </c>
      <c r="F6056" t="s">
        <v>315</v>
      </c>
      <c r="G6056" t="s">
        <v>32</v>
      </c>
      <c r="H6056" t="s">
        <v>33</v>
      </c>
      <c r="I6056" t="s">
        <v>59</v>
      </c>
      <c r="AB6056" t="s">
        <v>1099</v>
      </c>
      <c r="AC6056" t="s">
        <v>41</v>
      </c>
    </row>
    <row r="6057" spans="1:30" x14ac:dyDescent="0.35">
      <c r="A6057" s="7">
        <v>42963</v>
      </c>
      <c r="B6057" t="s">
        <v>30</v>
      </c>
      <c r="C6057">
        <v>801</v>
      </c>
      <c r="D6057">
        <v>5</v>
      </c>
      <c r="E6057">
        <v>1</v>
      </c>
      <c r="F6057" t="s">
        <v>315</v>
      </c>
      <c r="G6057" t="s">
        <v>32</v>
      </c>
      <c r="H6057" t="s">
        <v>33</v>
      </c>
      <c r="I6057" t="s">
        <v>59</v>
      </c>
      <c r="AB6057" t="s">
        <v>1099</v>
      </c>
      <c r="AC6057" t="s">
        <v>41</v>
      </c>
    </row>
    <row r="6058" spans="1:30" x14ac:dyDescent="0.35">
      <c r="A6058" s="7">
        <v>42963</v>
      </c>
      <c r="B6058" t="s">
        <v>30</v>
      </c>
      <c r="C6058">
        <v>801</v>
      </c>
      <c r="D6058">
        <v>5</v>
      </c>
      <c r="E6058">
        <v>2</v>
      </c>
      <c r="F6058" t="s">
        <v>315</v>
      </c>
      <c r="G6058" t="s">
        <v>32</v>
      </c>
      <c r="H6058" t="s">
        <v>33</v>
      </c>
      <c r="I6058" t="s">
        <v>59</v>
      </c>
      <c r="AB6058" t="s">
        <v>1099</v>
      </c>
      <c r="AC6058" t="s">
        <v>41</v>
      </c>
    </row>
    <row r="6059" spans="1:30" x14ac:dyDescent="0.35">
      <c r="A6059" s="7">
        <v>42963</v>
      </c>
      <c r="B6059" t="s">
        <v>30</v>
      </c>
      <c r="C6059">
        <v>801</v>
      </c>
      <c r="D6059">
        <v>6</v>
      </c>
      <c r="E6059">
        <v>1</v>
      </c>
      <c r="F6059" t="s">
        <v>315</v>
      </c>
      <c r="G6059" t="s">
        <v>32</v>
      </c>
      <c r="H6059" t="s">
        <v>33</v>
      </c>
      <c r="I6059" t="s">
        <v>59</v>
      </c>
      <c r="AB6059" t="s">
        <v>1099</v>
      </c>
      <c r="AC6059" t="s">
        <v>41</v>
      </c>
    </row>
    <row r="6060" spans="1:30" x14ac:dyDescent="0.35">
      <c r="A6060" s="7">
        <v>42963</v>
      </c>
      <c r="B6060" t="s">
        <v>30</v>
      </c>
      <c r="C6060">
        <v>801</v>
      </c>
      <c r="D6060">
        <v>6</v>
      </c>
      <c r="E6060">
        <v>2</v>
      </c>
      <c r="F6060" t="s">
        <v>315</v>
      </c>
      <c r="G6060" t="s">
        <v>32</v>
      </c>
      <c r="H6060" t="s">
        <v>33</v>
      </c>
      <c r="I6060" t="s">
        <v>58</v>
      </c>
      <c r="J6060" t="s">
        <v>35</v>
      </c>
      <c r="K6060" t="s">
        <v>36</v>
      </c>
      <c r="M6060">
        <v>0</v>
      </c>
      <c r="N6060">
        <v>0</v>
      </c>
      <c r="O6060">
        <v>39893</v>
      </c>
      <c r="Q6060">
        <f>40-16</f>
        <v>24</v>
      </c>
      <c r="Z6060" t="s">
        <v>102</v>
      </c>
      <c r="AB6060" t="s">
        <v>1099</v>
      </c>
      <c r="AC6060" t="s">
        <v>41</v>
      </c>
      <c r="AD6060" t="s">
        <v>92</v>
      </c>
    </row>
    <row r="6061" spans="1:30" x14ac:dyDescent="0.35">
      <c r="A6061" s="7">
        <v>42963</v>
      </c>
      <c r="B6061" t="s">
        <v>30</v>
      </c>
      <c r="C6061">
        <v>801</v>
      </c>
      <c r="D6061">
        <v>7</v>
      </c>
      <c r="E6061">
        <v>1</v>
      </c>
      <c r="F6061" t="s">
        <v>315</v>
      </c>
      <c r="G6061" t="s">
        <v>32</v>
      </c>
      <c r="H6061" t="s">
        <v>33</v>
      </c>
      <c r="I6061" t="s">
        <v>58</v>
      </c>
      <c r="J6061" t="s">
        <v>92</v>
      </c>
      <c r="K6061" t="s">
        <v>88</v>
      </c>
      <c r="AB6061" t="s">
        <v>1099</v>
      </c>
      <c r="AC6061" t="s">
        <v>41</v>
      </c>
    </row>
    <row r="6062" spans="1:30" x14ac:dyDescent="0.35">
      <c r="A6062" s="7">
        <v>42963</v>
      </c>
      <c r="B6062" t="s">
        <v>30</v>
      </c>
      <c r="C6062">
        <v>801</v>
      </c>
      <c r="D6062">
        <v>7</v>
      </c>
      <c r="E6062">
        <v>2</v>
      </c>
      <c r="F6062" t="s">
        <v>315</v>
      </c>
      <c r="G6062" t="s">
        <v>32</v>
      </c>
      <c r="H6062" t="s">
        <v>33</v>
      </c>
      <c r="I6062" t="s">
        <v>59</v>
      </c>
      <c r="AB6062" t="s">
        <v>1099</v>
      </c>
      <c r="AC6062" t="s">
        <v>41</v>
      </c>
    </row>
    <row r="6063" spans="1:30" x14ac:dyDescent="0.35">
      <c r="A6063" s="7">
        <v>42963</v>
      </c>
      <c r="B6063" t="s">
        <v>30</v>
      </c>
      <c r="C6063">
        <v>801</v>
      </c>
      <c r="D6063">
        <v>8</v>
      </c>
      <c r="E6063">
        <v>1</v>
      </c>
      <c r="F6063" t="s">
        <v>315</v>
      </c>
      <c r="G6063" t="s">
        <v>32</v>
      </c>
      <c r="H6063" t="s">
        <v>33</v>
      </c>
      <c r="I6063" t="s">
        <v>59</v>
      </c>
      <c r="AB6063" t="s">
        <v>1099</v>
      </c>
      <c r="AC6063" t="s">
        <v>41</v>
      </c>
    </row>
    <row r="6064" spans="1:30" x14ac:dyDescent="0.35">
      <c r="A6064" s="7">
        <v>42963</v>
      </c>
      <c r="B6064" t="s">
        <v>30</v>
      </c>
      <c r="C6064">
        <v>801</v>
      </c>
      <c r="D6064">
        <v>8</v>
      </c>
      <c r="E6064">
        <v>2</v>
      </c>
      <c r="F6064" t="s">
        <v>315</v>
      </c>
      <c r="G6064" t="s">
        <v>32</v>
      </c>
      <c r="H6064" t="s">
        <v>33</v>
      </c>
      <c r="I6064" t="s">
        <v>59</v>
      </c>
      <c r="AB6064" t="s">
        <v>1099</v>
      </c>
      <c r="AC6064" t="s">
        <v>41</v>
      </c>
    </row>
    <row r="6065" spans="1:30" x14ac:dyDescent="0.35">
      <c r="A6065" s="7">
        <v>42963</v>
      </c>
      <c r="B6065" t="s">
        <v>30</v>
      </c>
      <c r="C6065">
        <v>801</v>
      </c>
      <c r="D6065">
        <v>9</v>
      </c>
      <c r="E6065">
        <v>1</v>
      </c>
      <c r="F6065" t="s">
        <v>315</v>
      </c>
      <c r="G6065" t="s">
        <v>32</v>
      </c>
      <c r="H6065" t="s">
        <v>33</v>
      </c>
      <c r="I6065" t="s">
        <v>59</v>
      </c>
      <c r="AB6065" t="s">
        <v>1099</v>
      </c>
      <c r="AC6065" t="s">
        <v>41</v>
      </c>
    </row>
    <row r="6066" spans="1:30" x14ac:dyDescent="0.35">
      <c r="A6066" s="7">
        <v>42963</v>
      </c>
      <c r="B6066" t="s">
        <v>30</v>
      </c>
      <c r="C6066">
        <v>801</v>
      </c>
      <c r="D6066">
        <v>9</v>
      </c>
      <c r="E6066">
        <v>2</v>
      </c>
      <c r="F6066" t="s">
        <v>315</v>
      </c>
      <c r="G6066" t="s">
        <v>32</v>
      </c>
      <c r="H6066" t="s">
        <v>33</v>
      </c>
      <c r="I6066" t="s">
        <v>34</v>
      </c>
      <c r="J6066" t="s">
        <v>44</v>
      </c>
      <c r="K6066" t="s">
        <v>36</v>
      </c>
      <c r="L6066" t="s">
        <v>37</v>
      </c>
      <c r="M6066">
        <v>0</v>
      </c>
      <c r="N6066">
        <v>0</v>
      </c>
      <c r="P6066">
        <v>50392</v>
      </c>
      <c r="Q6066">
        <f>146-50</f>
        <v>96</v>
      </c>
      <c r="R6066" t="s">
        <v>38</v>
      </c>
      <c r="Z6066" t="s">
        <v>102</v>
      </c>
      <c r="AB6066" t="s">
        <v>1099</v>
      </c>
      <c r="AC6066" t="s">
        <v>41</v>
      </c>
    </row>
    <row r="6067" spans="1:30" x14ac:dyDescent="0.35">
      <c r="A6067" s="7">
        <v>42963</v>
      </c>
      <c r="B6067" t="s">
        <v>30</v>
      </c>
      <c r="C6067">
        <v>801</v>
      </c>
      <c r="D6067">
        <v>10</v>
      </c>
      <c r="E6067">
        <v>1</v>
      </c>
      <c r="F6067" t="s">
        <v>315</v>
      </c>
      <c r="G6067" t="s">
        <v>32</v>
      </c>
      <c r="H6067" t="s">
        <v>33</v>
      </c>
      <c r="I6067" t="s">
        <v>58</v>
      </c>
      <c r="J6067" t="s">
        <v>44</v>
      </c>
      <c r="K6067" t="s">
        <v>36</v>
      </c>
      <c r="L6067" t="s">
        <v>45</v>
      </c>
      <c r="M6067">
        <v>0</v>
      </c>
      <c r="N6067">
        <v>0</v>
      </c>
      <c r="O6067">
        <v>39756</v>
      </c>
      <c r="Q6067">
        <f>35.5-15</f>
        <v>20.5</v>
      </c>
      <c r="R6067" t="s">
        <v>46</v>
      </c>
      <c r="S6067" t="s">
        <v>39</v>
      </c>
      <c r="Z6067" t="s">
        <v>102</v>
      </c>
      <c r="AB6067" t="s">
        <v>1099</v>
      </c>
      <c r="AC6067" t="s">
        <v>41</v>
      </c>
    </row>
    <row r="6068" spans="1:30" x14ac:dyDescent="0.35">
      <c r="A6068" s="7">
        <v>42963</v>
      </c>
      <c r="B6068" t="s">
        <v>30</v>
      </c>
      <c r="C6068">
        <v>803</v>
      </c>
      <c r="D6068">
        <v>1</v>
      </c>
      <c r="E6068">
        <v>1</v>
      </c>
      <c r="F6068" t="s">
        <v>315</v>
      </c>
      <c r="G6068" t="s">
        <v>32</v>
      </c>
      <c r="H6068" t="s">
        <v>33</v>
      </c>
      <c r="I6068" t="s">
        <v>59</v>
      </c>
      <c r="AB6068" t="s">
        <v>1099</v>
      </c>
      <c r="AC6068" t="s">
        <v>41</v>
      </c>
    </row>
    <row r="6069" spans="1:30" x14ac:dyDescent="0.35">
      <c r="A6069" s="7">
        <v>42963</v>
      </c>
      <c r="B6069" t="s">
        <v>30</v>
      </c>
      <c r="C6069">
        <v>803</v>
      </c>
      <c r="D6069">
        <v>2</v>
      </c>
      <c r="E6069">
        <v>1</v>
      </c>
      <c r="F6069" t="s">
        <v>315</v>
      </c>
      <c r="G6069" t="s">
        <v>32</v>
      </c>
      <c r="H6069" t="s">
        <v>33</v>
      </c>
      <c r="I6069" t="s">
        <v>58</v>
      </c>
      <c r="J6069" t="s">
        <v>44</v>
      </c>
      <c r="K6069" t="s">
        <v>36</v>
      </c>
      <c r="L6069" t="s">
        <v>45</v>
      </c>
      <c r="M6069">
        <v>0</v>
      </c>
      <c r="N6069">
        <v>0</v>
      </c>
      <c r="P6069">
        <v>39883</v>
      </c>
      <c r="Q6069">
        <f>39.5-16</f>
        <v>23.5</v>
      </c>
      <c r="R6069" t="s">
        <v>1021</v>
      </c>
      <c r="S6069" t="s">
        <v>102</v>
      </c>
      <c r="Z6069" t="s">
        <v>102</v>
      </c>
      <c r="AB6069" t="s">
        <v>1099</v>
      </c>
      <c r="AC6069" t="s">
        <v>41</v>
      </c>
    </row>
    <row r="6070" spans="1:30" x14ac:dyDescent="0.35">
      <c r="A6070" s="7">
        <v>42963</v>
      </c>
      <c r="B6070" t="s">
        <v>30</v>
      </c>
      <c r="C6070">
        <v>803</v>
      </c>
      <c r="D6070">
        <v>3</v>
      </c>
      <c r="E6070">
        <v>1</v>
      </c>
      <c r="F6070" t="s">
        <v>315</v>
      </c>
      <c r="G6070" t="s">
        <v>32</v>
      </c>
      <c r="H6070" t="s">
        <v>33</v>
      </c>
      <c r="I6070" t="s">
        <v>72</v>
      </c>
      <c r="J6070" t="s">
        <v>66</v>
      </c>
      <c r="AB6070" t="s">
        <v>1099</v>
      </c>
      <c r="AC6070" t="s">
        <v>41</v>
      </c>
    </row>
    <row r="6071" spans="1:30" x14ac:dyDescent="0.35">
      <c r="A6071" s="7">
        <v>42963</v>
      </c>
      <c r="B6071" t="s">
        <v>30</v>
      </c>
      <c r="C6071">
        <v>803</v>
      </c>
      <c r="D6071">
        <v>3</v>
      </c>
      <c r="E6071">
        <v>2</v>
      </c>
      <c r="F6071" t="s">
        <v>315</v>
      </c>
      <c r="G6071" t="s">
        <v>32</v>
      </c>
      <c r="H6071" t="s">
        <v>33</v>
      </c>
      <c r="I6071" t="s">
        <v>94</v>
      </c>
      <c r="J6071" t="s">
        <v>44</v>
      </c>
      <c r="K6071" t="s">
        <v>36</v>
      </c>
      <c r="L6071" t="s">
        <v>45</v>
      </c>
      <c r="M6071">
        <v>0</v>
      </c>
      <c r="N6071">
        <v>0</v>
      </c>
      <c r="O6071">
        <v>39783</v>
      </c>
      <c r="Q6071">
        <f>40-15.5</f>
        <v>24.5</v>
      </c>
      <c r="R6071" t="s">
        <v>1021</v>
      </c>
      <c r="S6071" t="s">
        <v>102</v>
      </c>
      <c r="Z6071" t="s">
        <v>102</v>
      </c>
      <c r="AB6071" t="s">
        <v>1099</v>
      </c>
      <c r="AC6071" t="s">
        <v>41</v>
      </c>
    </row>
    <row r="6072" spans="1:30" x14ac:dyDescent="0.35">
      <c r="A6072" s="7">
        <v>42963</v>
      </c>
      <c r="B6072" t="s">
        <v>30</v>
      </c>
      <c r="C6072">
        <v>803</v>
      </c>
      <c r="D6072">
        <v>4</v>
      </c>
      <c r="E6072">
        <v>1</v>
      </c>
      <c r="F6072" t="s">
        <v>315</v>
      </c>
      <c r="G6072" t="s">
        <v>32</v>
      </c>
      <c r="H6072" t="s">
        <v>33</v>
      </c>
      <c r="I6072" t="s">
        <v>59</v>
      </c>
      <c r="AB6072" t="s">
        <v>1099</v>
      </c>
      <c r="AC6072" t="s">
        <v>41</v>
      </c>
    </row>
    <row r="6073" spans="1:30" x14ac:dyDescent="0.35">
      <c r="A6073" s="7">
        <v>42963</v>
      </c>
      <c r="B6073" t="s">
        <v>30</v>
      </c>
      <c r="C6073">
        <v>803</v>
      </c>
      <c r="D6073">
        <v>6</v>
      </c>
      <c r="E6073">
        <v>1</v>
      </c>
      <c r="F6073" t="s">
        <v>315</v>
      </c>
      <c r="G6073" t="s">
        <v>32</v>
      </c>
      <c r="H6073" t="s">
        <v>33</v>
      </c>
      <c r="I6073" t="s">
        <v>59</v>
      </c>
      <c r="AB6073" t="s">
        <v>1099</v>
      </c>
      <c r="AC6073" t="s">
        <v>41</v>
      </c>
    </row>
    <row r="6074" spans="1:30" x14ac:dyDescent="0.35">
      <c r="A6074" s="7">
        <v>42963</v>
      </c>
      <c r="B6074" t="s">
        <v>30</v>
      </c>
      <c r="C6074">
        <v>803</v>
      </c>
      <c r="D6074">
        <v>6</v>
      </c>
      <c r="E6074">
        <v>2</v>
      </c>
      <c r="F6074" t="s">
        <v>315</v>
      </c>
      <c r="G6074" t="s">
        <v>32</v>
      </c>
      <c r="H6074" t="s">
        <v>33</v>
      </c>
      <c r="I6074" t="s">
        <v>59</v>
      </c>
      <c r="AB6074" t="s">
        <v>1099</v>
      </c>
      <c r="AC6074" t="s">
        <v>41</v>
      </c>
    </row>
    <row r="6075" spans="1:30" x14ac:dyDescent="0.35">
      <c r="A6075" s="7">
        <v>42963</v>
      </c>
      <c r="B6075" t="s">
        <v>30</v>
      </c>
      <c r="C6075">
        <v>803</v>
      </c>
      <c r="D6075">
        <v>9</v>
      </c>
      <c r="E6075">
        <v>1</v>
      </c>
      <c r="F6075" t="s">
        <v>315</v>
      </c>
      <c r="G6075" t="s">
        <v>32</v>
      </c>
      <c r="H6075" t="s">
        <v>33</v>
      </c>
      <c r="I6075" t="s">
        <v>34</v>
      </c>
      <c r="J6075" t="s">
        <v>35</v>
      </c>
      <c r="K6075" t="s">
        <v>36</v>
      </c>
      <c r="L6075" t="s">
        <v>37</v>
      </c>
      <c r="M6075">
        <v>0</v>
      </c>
      <c r="N6075">
        <v>1</v>
      </c>
      <c r="P6075">
        <v>39894</v>
      </c>
      <c r="Q6075">
        <f>120-53</f>
        <v>67</v>
      </c>
      <c r="R6075" t="s">
        <v>64</v>
      </c>
      <c r="AB6075" t="s">
        <v>1099</v>
      </c>
      <c r="AC6075" t="s">
        <v>41</v>
      </c>
    </row>
    <row r="6076" spans="1:30" x14ac:dyDescent="0.35">
      <c r="A6076" s="7">
        <v>42963</v>
      </c>
      <c r="B6076" t="s">
        <v>30</v>
      </c>
      <c r="C6076">
        <v>803</v>
      </c>
      <c r="D6076">
        <v>9</v>
      </c>
      <c r="E6076">
        <v>2</v>
      </c>
      <c r="F6076" t="s">
        <v>315</v>
      </c>
      <c r="G6076" t="s">
        <v>32</v>
      </c>
      <c r="H6076" t="s">
        <v>33</v>
      </c>
      <c r="I6076" t="s">
        <v>34</v>
      </c>
      <c r="J6076" t="s">
        <v>35</v>
      </c>
      <c r="K6076" t="s">
        <v>36</v>
      </c>
      <c r="L6076" t="s">
        <v>37</v>
      </c>
      <c r="M6076">
        <v>0</v>
      </c>
      <c r="N6076">
        <v>1</v>
      </c>
      <c r="O6076">
        <v>39895</v>
      </c>
      <c r="Q6076">
        <f>137-52</f>
        <v>85</v>
      </c>
      <c r="R6076" t="s">
        <v>64</v>
      </c>
      <c r="Z6076" t="s">
        <v>102</v>
      </c>
      <c r="AB6076" t="s">
        <v>1099</v>
      </c>
      <c r="AC6076" t="s">
        <v>41</v>
      </c>
    </row>
    <row r="6077" spans="1:30" x14ac:dyDescent="0.35">
      <c r="A6077" s="7">
        <v>42963</v>
      </c>
      <c r="B6077" t="s">
        <v>30</v>
      </c>
      <c r="C6077">
        <v>803</v>
      </c>
      <c r="D6077">
        <v>10</v>
      </c>
      <c r="E6077">
        <v>1</v>
      </c>
      <c r="F6077" t="s">
        <v>315</v>
      </c>
      <c r="G6077" t="s">
        <v>32</v>
      </c>
      <c r="H6077" t="s">
        <v>33</v>
      </c>
      <c r="I6077" t="s">
        <v>59</v>
      </c>
      <c r="AB6077" t="s">
        <v>1099</v>
      </c>
      <c r="AC6077" t="s">
        <v>41</v>
      </c>
    </row>
    <row r="6078" spans="1:30" x14ac:dyDescent="0.35">
      <c r="A6078" s="7">
        <v>42963</v>
      </c>
      <c r="B6078" t="s">
        <v>30</v>
      </c>
      <c r="C6078">
        <v>803</v>
      </c>
      <c r="D6078">
        <v>10</v>
      </c>
      <c r="E6078">
        <v>2</v>
      </c>
      <c r="F6078" t="s">
        <v>315</v>
      </c>
      <c r="G6078" t="s">
        <v>32</v>
      </c>
      <c r="H6078" t="s">
        <v>33</v>
      </c>
      <c r="I6078" t="s">
        <v>59</v>
      </c>
      <c r="AB6078" t="s">
        <v>1099</v>
      </c>
      <c r="AC6078" t="s">
        <v>41</v>
      </c>
    </row>
    <row r="6079" spans="1:30" x14ac:dyDescent="0.35">
      <c r="A6079" s="7">
        <v>42963</v>
      </c>
      <c r="B6079" t="s">
        <v>30</v>
      </c>
      <c r="C6079">
        <v>901</v>
      </c>
      <c r="D6079">
        <v>5</v>
      </c>
      <c r="E6079">
        <v>1</v>
      </c>
      <c r="F6079" t="s">
        <v>315</v>
      </c>
      <c r="G6079" t="s">
        <v>32</v>
      </c>
      <c r="H6079" t="s">
        <v>33</v>
      </c>
      <c r="I6079" t="s">
        <v>43</v>
      </c>
      <c r="J6079" t="s">
        <v>44</v>
      </c>
      <c r="K6079" t="s">
        <v>113</v>
      </c>
      <c r="L6079" t="s">
        <v>45</v>
      </c>
      <c r="M6079">
        <v>0</v>
      </c>
      <c r="N6079">
        <v>0</v>
      </c>
      <c r="O6079">
        <v>39145</v>
      </c>
      <c r="P6079">
        <v>39144</v>
      </c>
      <c r="Q6079">
        <f>31-15</f>
        <v>16</v>
      </c>
      <c r="R6079" t="s">
        <v>1021</v>
      </c>
      <c r="S6079" t="s">
        <v>102</v>
      </c>
      <c r="AB6079" t="s">
        <v>1099</v>
      </c>
      <c r="AC6079" t="s">
        <v>41</v>
      </c>
      <c r="AD6079" t="s">
        <v>1127</v>
      </c>
    </row>
    <row r="6080" spans="1:30" x14ac:dyDescent="0.35">
      <c r="A6080" s="7">
        <v>42963</v>
      </c>
      <c r="B6080" t="s">
        <v>30</v>
      </c>
      <c r="C6080">
        <v>901</v>
      </c>
      <c r="D6080">
        <v>7</v>
      </c>
      <c r="E6080">
        <v>1</v>
      </c>
      <c r="F6080" t="s">
        <v>315</v>
      </c>
      <c r="G6080" t="s">
        <v>32</v>
      </c>
      <c r="H6080" t="s">
        <v>33</v>
      </c>
      <c r="I6080" t="s">
        <v>43</v>
      </c>
      <c r="J6080" t="s">
        <v>44</v>
      </c>
      <c r="K6080" t="s">
        <v>36</v>
      </c>
      <c r="L6080" t="s">
        <v>37</v>
      </c>
      <c r="M6080">
        <v>0</v>
      </c>
      <c r="N6080">
        <v>0</v>
      </c>
      <c r="O6080">
        <v>39736</v>
      </c>
      <c r="P6080">
        <v>39735</v>
      </c>
      <c r="Q6080">
        <f>32.5-13.5</f>
        <v>19</v>
      </c>
      <c r="R6080" t="s">
        <v>38</v>
      </c>
      <c r="AB6080" t="s">
        <v>1099</v>
      </c>
      <c r="AC6080" t="s">
        <v>41</v>
      </c>
      <c r="AD6080" t="s">
        <v>1128</v>
      </c>
    </row>
    <row r="6081" spans="1:29" x14ac:dyDescent="0.35">
      <c r="A6081" s="7">
        <v>43222</v>
      </c>
      <c r="B6081" t="s">
        <v>30</v>
      </c>
      <c r="C6081">
        <v>201</v>
      </c>
      <c r="D6081">
        <v>4</v>
      </c>
      <c r="E6081">
        <v>1</v>
      </c>
      <c r="F6081" t="s">
        <v>1020</v>
      </c>
      <c r="G6081" t="s">
        <v>32</v>
      </c>
      <c r="H6081" t="s">
        <v>33</v>
      </c>
      <c r="I6081" t="s">
        <v>59</v>
      </c>
      <c r="AB6081" t="s">
        <v>86</v>
      </c>
      <c r="AC6081" t="s">
        <v>76</v>
      </c>
    </row>
    <row r="6082" spans="1:29" x14ac:dyDescent="0.35">
      <c r="A6082" s="7">
        <v>43222</v>
      </c>
      <c r="B6082" t="s">
        <v>30</v>
      </c>
      <c r="C6082">
        <v>304</v>
      </c>
      <c r="D6082">
        <v>3</v>
      </c>
      <c r="E6082">
        <v>1</v>
      </c>
      <c r="F6082" t="s">
        <v>1020</v>
      </c>
      <c r="G6082" t="s">
        <v>32</v>
      </c>
      <c r="H6082" t="s">
        <v>33</v>
      </c>
      <c r="I6082" t="s">
        <v>59</v>
      </c>
      <c r="AB6082" t="s">
        <v>86</v>
      </c>
      <c r="AC6082" t="s">
        <v>76</v>
      </c>
    </row>
    <row r="6083" spans="1:29" x14ac:dyDescent="0.35">
      <c r="A6083" s="7">
        <v>43222</v>
      </c>
      <c r="B6083" t="s">
        <v>30</v>
      </c>
      <c r="C6083">
        <v>304</v>
      </c>
      <c r="D6083">
        <v>6</v>
      </c>
      <c r="E6083">
        <v>1</v>
      </c>
      <c r="F6083" t="s">
        <v>1020</v>
      </c>
      <c r="G6083" t="s">
        <v>32</v>
      </c>
      <c r="H6083" t="s">
        <v>33</v>
      </c>
      <c r="I6083" t="s">
        <v>59</v>
      </c>
      <c r="AB6083" t="s">
        <v>86</v>
      </c>
      <c r="AC6083" t="s">
        <v>76</v>
      </c>
    </row>
    <row r="6084" spans="1:29" x14ac:dyDescent="0.35">
      <c r="A6084" s="7">
        <v>43222</v>
      </c>
      <c r="B6084" t="s">
        <v>30</v>
      </c>
      <c r="C6084">
        <v>201</v>
      </c>
      <c r="D6084">
        <v>5</v>
      </c>
      <c r="E6084">
        <v>1</v>
      </c>
      <c r="F6084" t="s">
        <v>1020</v>
      </c>
      <c r="G6084" t="s">
        <v>32</v>
      </c>
      <c r="H6084" t="s">
        <v>33</v>
      </c>
      <c r="I6084" t="s">
        <v>1075</v>
      </c>
      <c r="AB6084" t="s">
        <v>86</v>
      </c>
      <c r="AC6084" t="s">
        <v>76</v>
      </c>
    </row>
    <row r="6085" spans="1:29" x14ac:dyDescent="0.35">
      <c r="A6085" s="7">
        <v>43222</v>
      </c>
      <c r="B6085" t="s">
        <v>30</v>
      </c>
      <c r="C6085">
        <v>201</v>
      </c>
      <c r="D6085">
        <v>5</v>
      </c>
      <c r="E6085">
        <v>2</v>
      </c>
      <c r="F6085" t="s">
        <v>1020</v>
      </c>
      <c r="G6085" t="s">
        <v>32</v>
      </c>
      <c r="H6085" t="s">
        <v>33</v>
      </c>
      <c r="I6085" t="s">
        <v>1075</v>
      </c>
      <c r="AB6085" t="s">
        <v>86</v>
      </c>
      <c r="AC6085" t="s">
        <v>76</v>
      </c>
    </row>
    <row r="6086" spans="1:29" x14ac:dyDescent="0.35">
      <c r="A6086" s="7">
        <v>43223</v>
      </c>
      <c r="B6086" t="s">
        <v>30</v>
      </c>
      <c r="C6086">
        <v>201</v>
      </c>
      <c r="D6086">
        <v>4</v>
      </c>
      <c r="E6086">
        <v>1</v>
      </c>
      <c r="F6086" t="s">
        <v>1020</v>
      </c>
      <c r="G6086" t="s">
        <v>32</v>
      </c>
      <c r="H6086" t="s">
        <v>33</v>
      </c>
      <c r="I6086" t="s">
        <v>43</v>
      </c>
      <c r="J6086" t="s">
        <v>35</v>
      </c>
      <c r="K6086" t="s">
        <v>36</v>
      </c>
      <c r="L6086" t="s">
        <v>37</v>
      </c>
      <c r="M6086">
        <v>0</v>
      </c>
      <c r="N6086">
        <v>1</v>
      </c>
      <c r="O6086">
        <v>2573</v>
      </c>
      <c r="P6086">
        <v>2572</v>
      </c>
      <c r="Q6086">
        <f>33-12</f>
        <v>21</v>
      </c>
      <c r="R6086" t="s">
        <v>38</v>
      </c>
      <c r="AB6086" t="s">
        <v>86</v>
      </c>
      <c r="AC6086" t="s">
        <v>76</v>
      </c>
    </row>
    <row r="6087" spans="1:29" x14ac:dyDescent="0.35">
      <c r="A6087" s="7">
        <v>43223</v>
      </c>
      <c r="B6087" t="s">
        <v>30</v>
      </c>
      <c r="C6087">
        <v>201</v>
      </c>
      <c r="D6087">
        <v>5</v>
      </c>
      <c r="E6087">
        <v>1</v>
      </c>
      <c r="F6087" t="s">
        <v>1020</v>
      </c>
      <c r="G6087" t="s">
        <v>32</v>
      </c>
      <c r="H6087" t="s">
        <v>33</v>
      </c>
      <c r="I6087" t="s">
        <v>59</v>
      </c>
      <c r="AB6087" t="s">
        <v>86</v>
      </c>
      <c r="AC6087" t="s">
        <v>76</v>
      </c>
    </row>
    <row r="6088" spans="1:29" x14ac:dyDescent="0.35">
      <c r="A6088" s="7">
        <v>43223</v>
      </c>
      <c r="B6088" t="s">
        <v>30</v>
      </c>
      <c r="C6088">
        <v>202</v>
      </c>
      <c r="D6088">
        <v>2</v>
      </c>
      <c r="E6088">
        <v>1</v>
      </c>
      <c r="F6088" t="s">
        <v>1020</v>
      </c>
      <c r="G6088" t="s">
        <v>32</v>
      </c>
      <c r="H6088" t="s">
        <v>33</v>
      </c>
      <c r="I6088" t="s">
        <v>59</v>
      </c>
      <c r="AB6088" t="s">
        <v>86</v>
      </c>
      <c r="AC6088" t="s">
        <v>76</v>
      </c>
    </row>
    <row r="6089" spans="1:29" x14ac:dyDescent="0.35">
      <c r="A6089" s="7">
        <v>43223</v>
      </c>
      <c r="B6089" t="s">
        <v>30</v>
      </c>
      <c r="C6089">
        <v>202</v>
      </c>
      <c r="D6089">
        <v>2</v>
      </c>
      <c r="E6089">
        <v>2</v>
      </c>
      <c r="F6089" t="s">
        <v>1020</v>
      </c>
      <c r="G6089" t="s">
        <v>32</v>
      </c>
      <c r="H6089" t="s">
        <v>33</v>
      </c>
      <c r="I6089" t="s">
        <v>59</v>
      </c>
      <c r="AB6089" t="s">
        <v>86</v>
      </c>
      <c r="AC6089" t="s">
        <v>76</v>
      </c>
    </row>
    <row r="6090" spans="1:29" x14ac:dyDescent="0.35">
      <c r="A6090" s="7">
        <v>43223</v>
      </c>
      <c r="B6090" t="s">
        <v>30</v>
      </c>
      <c r="C6090">
        <v>202</v>
      </c>
      <c r="D6090">
        <v>3</v>
      </c>
      <c r="E6090">
        <v>1</v>
      </c>
      <c r="F6090" t="s">
        <v>1020</v>
      </c>
      <c r="G6090" t="s">
        <v>32</v>
      </c>
      <c r="H6090" t="s">
        <v>33</v>
      </c>
      <c r="I6090" t="s">
        <v>59</v>
      </c>
      <c r="AB6090" t="s">
        <v>86</v>
      </c>
      <c r="AC6090" t="s">
        <v>76</v>
      </c>
    </row>
    <row r="6091" spans="1:29" x14ac:dyDescent="0.35">
      <c r="A6091" s="7">
        <v>43223</v>
      </c>
      <c r="B6091" t="s">
        <v>30</v>
      </c>
      <c r="C6091">
        <v>202</v>
      </c>
      <c r="D6091">
        <v>6</v>
      </c>
      <c r="E6091">
        <v>1</v>
      </c>
      <c r="F6091" t="s">
        <v>1020</v>
      </c>
      <c r="G6091" t="s">
        <v>32</v>
      </c>
      <c r="H6091" t="s">
        <v>33</v>
      </c>
      <c r="I6091" t="s">
        <v>59</v>
      </c>
      <c r="AB6091" t="s">
        <v>86</v>
      </c>
      <c r="AC6091" t="s">
        <v>76</v>
      </c>
    </row>
    <row r="6092" spans="1:29" x14ac:dyDescent="0.35">
      <c r="A6092" s="7">
        <v>43224</v>
      </c>
      <c r="B6092" t="s">
        <v>30</v>
      </c>
      <c r="C6092">
        <v>203</v>
      </c>
      <c r="D6092">
        <v>2</v>
      </c>
      <c r="E6092">
        <v>2</v>
      </c>
      <c r="F6092" t="s">
        <v>1020</v>
      </c>
      <c r="G6092" t="s">
        <v>32</v>
      </c>
      <c r="H6092" t="s">
        <v>33</v>
      </c>
      <c r="I6092" t="s">
        <v>43</v>
      </c>
      <c r="J6092" t="s">
        <v>35</v>
      </c>
      <c r="K6092" t="s">
        <v>113</v>
      </c>
      <c r="L6092" t="s">
        <v>45</v>
      </c>
      <c r="M6092">
        <v>0</v>
      </c>
      <c r="N6092">
        <v>1</v>
      </c>
      <c r="O6092">
        <v>2571</v>
      </c>
      <c r="P6092">
        <v>2568</v>
      </c>
      <c r="Q6092">
        <f>32-14</f>
        <v>18</v>
      </c>
      <c r="R6092" t="s">
        <v>46</v>
      </c>
      <c r="S6092" t="s">
        <v>39</v>
      </c>
      <c r="AB6092" t="s">
        <v>86</v>
      </c>
      <c r="AC6092" t="s">
        <v>76</v>
      </c>
    </row>
    <row r="6093" spans="1:29" x14ac:dyDescent="0.35">
      <c r="A6093" s="7">
        <v>43224</v>
      </c>
      <c r="B6093" t="s">
        <v>30</v>
      </c>
      <c r="C6093">
        <v>201</v>
      </c>
      <c r="D6093">
        <v>10</v>
      </c>
      <c r="E6093">
        <v>1</v>
      </c>
      <c r="F6093" t="s">
        <v>1020</v>
      </c>
      <c r="G6093" t="s">
        <v>32</v>
      </c>
      <c r="H6093" t="s">
        <v>33</v>
      </c>
      <c r="I6093" t="s">
        <v>59</v>
      </c>
      <c r="AB6093" t="s">
        <v>86</v>
      </c>
      <c r="AC6093" t="s">
        <v>76</v>
      </c>
    </row>
    <row r="6094" spans="1:29" x14ac:dyDescent="0.35">
      <c r="A6094" s="7">
        <v>43224</v>
      </c>
      <c r="B6094" t="s">
        <v>30</v>
      </c>
      <c r="C6094">
        <v>202</v>
      </c>
      <c r="D6094">
        <v>2</v>
      </c>
      <c r="E6094">
        <v>1</v>
      </c>
      <c r="F6094" t="s">
        <v>1020</v>
      </c>
      <c r="G6094" t="s">
        <v>32</v>
      </c>
      <c r="H6094" t="s">
        <v>33</v>
      </c>
      <c r="I6094" t="s">
        <v>59</v>
      </c>
      <c r="AB6094" t="s">
        <v>86</v>
      </c>
      <c r="AC6094" t="s">
        <v>76</v>
      </c>
    </row>
    <row r="6095" spans="1:29" x14ac:dyDescent="0.35">
      <c r="A6095" s="7">
        <v>43224</v>
      </c>
      <c r="B6095" t="s">
        <v>30</v>
      </c>
      <c r="C6095">
        <v>202</v>
      </c>
      <c r="D6095">
        <v>2</v>
      </c>
      <c r="E6095">
        <v>2</v>
      </c>
      <c r="F6095" t="s">
        <v>1020</v>
      </c>
      <c r="G6095" t="s">
        <v>32</v>
      </c>
      <c r="H6095" t="s">
        <v>33</v>
      </c>
      <c r="I6095" t="s">
        <v>59</v>
      </c>
      <c r="AB6095" t="s">
        <v>86</v>
      </c>
      <c r="AC6095" t="s">
        <v>76</v>
      </c>
    </row>
    <row r="6096" spans="1:29" x14ac:dyDescent="0.35">
      <c r="A6096" s="7">
        <v>43224</v>
      </c>
      <c r="B6096" t="s">
        <v>30</v>
      </c>
      <c r="C6096">
        <v>202</v>
      </c>
      <c r="D6096">
        <v>3</v>
      </c>
      <c r="E6096">
        <v>1</v>
      </c>
      <c r="F6096" t="s">
        <v>1020</v>
      </c>
      <c r="G6096" t="s">
        <v>32</v>
      </c>
      <c r="H6096" t="s">
        <v>33</v>
      </c>
      <c r="I6096" t="s">
        <v>59</v>
      </c>
      <c r="AB6096" t="s">
        <v>86</v>
      </c>
      <c r="AC6096" t="s">
        <v>76</v>
      </c>
    </row>
    <row r="6097" spans="1:30" x14ac:dyDescent="0.35">
      <c r="A6097" s="7">
        <v>43224</v>
      </c>
      <c r="B6097" t="s">
        <v>30</v>
      </c>
      <c r="C6097">
        <v>202</v>
      </c>
      <c r="D6097">
        <v>3</v>
      </c>
      <c r="E6097">
        <v>2</v>
      </c>
      <c r="F6097" t="s">
        <v>1020</v>
      </c>
      <c r="G6097" t="s">
        <v>32</v>
      </c>
      <c r="H6097" t="s">
        <v>33</v>
      </c>
      <c r="I6097" t="s">
        <v>59</v>
      </c>
      <c r="AB6097" t="s">
        <v>86</v>
      </c>
      <c r="AC6097" t="s">
        <v>76</v>
      </c>
    </row>
    <row r="6098" spans="1:30" x14ac:dyDescent="0.35">
      <c r="A6098" s="7">
        <v>43224</v>
      </c>
      <c r="B6098" t="s">
        <v>30</v>
      </c>
      <c r="C6098">
        <v>202</v>
      </c>
      <c r="D6098">
        <v>6</v>
      </c>
      <c r="E6098">
        <v>1</v>
      </c>
      <c r="F6098" t="s">
        <v>1020</v>
      </c>
      <c r="G6098" t="s">
        <v>32</v>
      </c>
      <c r="H6098" t="s">
        <v>33</v>
      </c>
      <c r="I6098" t="s">
        <v>59</v>
      </c>
      <c r="AB6098" t="s">
        <v>86</v>
      </c>
      <c r="AC6098" t="s">
        <v>76</v>
      </c>
    </row>
    <row r="6099" spans="1:30" x14ac:dyDescent="0.35">
      <c r="A6099" s="7">
        <v>43224</v>
      </c>
      <c r="B6099" t="s">
        <v>30</v>
      </c>
      <c r="C6099">
        <v>202</v>
      </c>
      <c r="D6099">
        <v>7</v>
      </c>
      <c r="E6099">
        <v>1</v>
      </c>
      <c r="F6099" t="s">
        <v>1020</v>
      </c>
      <c r="G6099" t="s">
        <v>32</v>
      </c>
      <c r="H6099" t="s">
        <v>33</v>
      </c>
      <c r="I6099" t="s">
        <v>59</v>
      </c>
      <c r="AB6099" t="s">
        <v>86</v>
      </c>
      <c r="AC6099" t="s">
        <v>76</v>
      </c>
    </row>
    <row r="6100" spans="1:30" x14ac:dyDescent="0.35">
      <c r="A6100" s="7">
        <v>43224</v>
      </c>
      <c r="B6100" t="s">
        <v>30</v>
      </c>
      <c r="C6100">
        <v>202</v>
      </c>
      <c r="D6100">
        <v>7</v>
      </c>
      <c r="E6100">
        <v>2</v>
      </c>
      <c r="F6100" t="s">
        <v>1020</v>
      </c>
      <c r="G6100" t="s">
        <v>32</v>
      </c>
      <c r="H6100" t="s">
        <v>33</v>
      </c>
      <c r="I6100" t="s">
        <v>59</v>
      </c>
      <c r="AB6100" t="s">
        <v>86</v>
      </c>
      <c r="AC6100" t="s">
        <v>76</v>
      </c>
    </row>
    <row r="6101" spans="1:30" x14ac:dyDescent="0.35">
      <c r="A6101" s="7">
        <v>43224</v>
      </c>
      <c r="B6101" t="s">
        <v>30</v>
      </c>
      <c r="C6101">
        <v>202</v>
      </c>
      <c r="D6101">
        <v>10</v>
      </c>
      <c r="E6101">
        <v>1</v>
      </c>
      <c r="F6101" t="s">
        <v>1020</v>
      </c>
      <c r="G6101" t="s">
        <v>32</v>
      </c>
      <c r="H6101" t="s">
        <v>33</v>
      </c>
      <c r="I6101" t="s">
        <v>59</v>
      </c>
      <c r="AB6101" t="s">
        <v>86</v>
      </c>
      <c r="AC6101" t="s">
        <v>76</v>
      </c>
    </row>
    <row r="6102" spans="1:30" x14ac:dyDescent="0.35">
      <c r="A6102" s="7">
        <v>43224</v>
      </c>
      <c r="B6102" t="s">
        <v>30</v>
      </c>
      <c r="C6102">
        <v>202</v>
      </c>
      <c r="D6102">
        <v>10</v>
      </c>
      <c r="E6102">
        <v>2</v>
      </c>
      <c r="F6102" t="s">
        <v>1020</v>
      </c>
      <c r="G6102" t="s">
        <v>32</v>
      </c>
      <c r="H6102" t="s">
        <v>33</v>
      </c>
      <c r="I6102" t="s">
        <v>59</v>
      </c>
      <c r="AB6102" t="s">
        <v>86</v>
      </c>
      <c r="AC6102" t="s">
        <v>76</v>
      </c>
    </row>
    <row r="6103" spans="1:30" x14ac:dyDescent="0.35">
      <c r="A6103" s="7">
        <v>43224</v>
      </c>
      <c r="B6103" t="s">
        <v>30</v>
      </c>
      <c r="C6103">
        <v>203</v>
      </c>
      <c r="D6103">
        <v>2</v>
      </c>
      <c r="E6103">
        <v>1</v>
      </c>
      <c r="F6103" t="s">
        <v>1020</v>
      </c>
      <c r="G6103" t="s">
        <v>32</v>
      </c>
      <c r="H6103" t="s">
        <v>33</v>
      </c>
      <c r="I6103" t="s">
        <v>59</v>
      </c>
      <c r="AB6103" t="s">
        <v>86</v>
      </c>
      <c r="AC6103" t="s">
        <v>76</v>
      </c>
    </row>
    <row r="6104" spans="1:30" x14ac:dyDescent="0.35">
      <c r="A6104" s="7">
        <v>43224</v>
      </c>
      <c r="B6104" t="s">
        <v>30</v>
      </c>
      <c r="C6104">
        <v>203</v>
      </c>
      <c r="D6104">
        <v>9</v>
      </c>
      <c r="E6104">
        <v>1</v>
      </c>
      <c r="F6104" t="s">
        <v>1020</v>
      </c>
      <c r="G6104" t="s">
        <v>32</v>
      </c>
      <c r="H6104" t="s">
        <v>33</v>
      </c>
      <c r="I6104" t="s">
        <v>59</v>
      </c>
      <c r="AB6104" t="s">
        <v>86</v>
      </c>
      <c r="AC6104" t="s">
        <v>76</v>
      </c>
    </row>
    <row r="6105" spans="1:30" x14ac:dyDescent="0.35">
      <c r="A6105" s="7">
        <v>43224</v>
      </c>
      <c r="B6105" t="s">
        <v>30</v>
      </c>
      <c r="C6105">
        <v>203</v>
      </c>
      <c r="D6105">
        <v>9</v>
      </c>
      <c r="E6105">
        <v>2</v>
      </c>
      <c r="F6105" t="s">
        <v>1020</v>
      </c>
      <c r="G6105" t="s">
        <v>32</v>
      </c>
      <c r="H6105" t="s">
        <v>33</v>
      </c>
      <c r="I6105" t="s">
        <v>59</v>
      </c>
      <c r="AB6105" t="s">
        <v>86</v>
      </c>
      <c r="AC6105" t="s">
        <v>76</v>
      </c>
    </row>
    <row r="6106" spans="1:30" x14ac:dyDescent="0.35">
      <c r="A6106" s="7">
        <v>43229</v>
      </c>
      <c r="B6106" t="s">
        <v>30</v>
      </c>
      <c r="C6106">
        <v>303</v>
      </c>
      <c r="D6106">
        <v>2</v>
      </c>
      <c r="E6106">
        <v>1</v>
      </c>
      <c r="F6106" t="s">
        <v>1129</v>
      </c>
      <c r="G6106" t="s">
        <v>32</v>
      </c>
      <c r="H6106" t="s">
        <v>33</v>
      </c>
      <c r="I6106" t="s">
        <v>43</v>
      </c>
      <c r="J6106" t="s">
        <v>35</v>
      </c>
      <c r="K6106" t="s">
        <v>36</v>
      </c>
      <c r="L6106" t="s">
        <v>45</v>
      </c>
      <c r="M6106">
        <v>0</v>
      </c>
      <c r="N6106">
        <v>1</v>
      </c>
      <c r="O6106">
        <v>2903</v>
      </c>
      <c r="P6106">
        <v>2901</v>
      </c>
      <c r="Q6106">
        <f>38-15</f>
        <v>23</v>
      </c>
      <c r="R6106" t="s">
        <v>46</v>
      </c>
      <c r="S6106" t="s">
        <v>39</v>
      </c>
      <c r="AB6106" t="s">
        <v>47</v>
      </c>
      <c r="AC6106" t="s">
        <v>76</v>
      </c>
    </row>
    <row r="6107" spans="1:30" x14ac:dyDescent="0.35">
      <c r="A6107" s="7">
        <v>43229</v>
      </c>
      <c r="B6107" t="s">
        <v>30</v>
      </c>
      <c r="C6107">
        <v>503</v>
      </c>
      <c r="D6107">
        <v>4</v>
      </c>
      <c r="E6107">
        <v>1</v>
      </c>
      <c r="F6107" t="s">
        <v>1129</v>
      </c>
      <c r="G6107" t="s">
        <v>32</v>
      </c>
      <c r="H6107" t="s">
        <v>33</v>
      </c>
      <c r="I6107" t="s">
        <v>43</v>
      </c>
      <c r="J6107" t="s">
        <v>35</v>
      </c>
      <c r="K6107" t="s">
        <v>36</v>
      </c>
      <c r="L6107" t="s">
        <v>37</v>
      </c>
      <c r="M6107">
        <v>0</v>
      </c>
      <c r="N6107">
        <v>1</v>
      </c>
      <c r="O6107">
        <v>2902</v>
      </c>
      <c r="Q6107">
        <f>36-13</f>
        <v>23</v>
      </c>
      <c r="R6107" t="s">
        <v>64</v>
      </c>
      <c r="AB6107" t="s">
        <v>47</v>
      </c>
      <c r="AC6107" t="s">
        <v>76</v>
      </c>
      <c r="AD6107" t="s">
        <v>1130</v>
      </c>
    </row>
    <row r="6108" spans="1:30" x14ac:dyDescent="0.35">
      <c r="A6108" s="7">
        <v>43229</v>
      </c>
      <c r="B6108" t="s">
        <v>30</v>
      </c>
      <c r="C6108">
        <v>303</v>
      </c>
      <c r="D6108">
        <v>9</v>
      </c>
      <c r="E6108">
        <v>1</v>
      </c>
      <c r="F6108" t="s">
        <v>1129</v>
      </c>
      <c r="G6108" t="s">
        <v>32</v>
      </c>
      <c r="H6108" t="s">
        <v>33</v>
      </c>
      <c r="I6108" t="s">
        <v>58</v>
      </c>
      <c r="J6108" t="s">
        <v>66</v>
      </c>
      <c r="K6108" t="s">
        <v>36</v>
      </c>
      <c r="L6108" t="s">
        <v>45</v>
      </c>
      <c r="R6108" t="s">
        <v>46</v>
      </c>
      <c r="S6108" t="s">
        <v>39</v>
      </c>
      <c r="AB6108" t="s">
        <v>47</v>
      </c>
      <c r="AC6108" t="s">
        <v>76</v>
      </c>
    </row>
    <row r="6109" spans="1:30" x14ac:dyDescent="0.35">
      <c r="A6109" s="7">
        <v>43229</v>
      </c>
      <c r="B6109" t="s">
        <v>30</v>
      </c>
      <c r="C6109">
        <v>901</v>
      </c>
      <c r="D6109">
        <v>9</v>
      </c>
      <c r="E6109">
        <v>1</v>
      </c>
      <c r="F6109" t="s">
        <v>1020</v>
      </c>
      <c r="G6109" t="s">
        <v>32</v>
      </c>
      <c r="H6109" t="s">
        <v>33</v>
      </c>
      <c r="I6109" t="s">
        <v>84</v>
      </c>
      <c r="AB6109" t="s">
        <v>47</v>
      </c>
      <c r="AC6109" t="s">
        <v>76</v>
      </c>
    </row>
    <row r="6110" spans="1:30" x14ac:dyDescent="0.35">
      <c r="A6110" s="7">
        <v>43229</v>
      </c>
      <c r="B6110" t="s">
        <v>30</v>
      </c>
      <c r="C6110">
        <v>303</v>
      </c>
      <c r="D6110">
        <v>1</v>
      </c>
      <c r="E6110">
        <v>1</v>
      </c>
      <c r="F6110" t="s">
        <v>1129</v>
      </c>
      <c r="G6110" t="s">
        <v>32</v>
      </c>
      <c r="H6110" t="s">
        <v>33</v>
      </c>
      <c r="I6110" t="s">
        <v>59</v>
      </c>
      <c r="AB6110" t="s">
        <v>47</v>
      </c>
      <c r="AC6110" t="s">
        <v>76</v>
      </c>
    </row>
    <row r="6111" spans="1:30" x14ac:dyDescent="0.35">
      <c r="A6111" s="7">
        <v>43229</v>
      </c>
      <c r="B6111" t="s">
        <v>30</v>
      </c>
      <c r="C6111">
        <v>503</v>
      </c>
      <c r="D6111">
        <v>3</v>
      </c>
      <c r="E6111">
        <v>1</v>
      </c>
      <c r="F6111" t="s">
        <v>1129</v>
      </c>
      <c r="G6111" t="s">
        <v>32</v>
      </c>
      <c r="H6111" t="s">
        <v>33</v>
      </c>
      <c r="I6111" t="s">
        <v>59</v>
      </c>
      <c r="AB6111" t="s">
        <v>47</v>
      </c>
      <c r="AC6111" t="s">
        <v>76</v>
      </c>
    </row>
    <row r="6112" spans="1:30" x14ac:dyDescent="0.35">
      <c r="A6112" s="7">
        <v>43229</v>
      </c>
      <c r="B6112" t="s">
        <v>30</v>
      </c>
      <c r="C6112">
        <v>503</v>
      </c>
      <c r="D6112">
        <v>5</v>
      </c>
      <c r="E6112">
        <v>1</v>
      </c>
      <c r="F6112" t="s">
        <v>1129</v>
      </c>
      <c r="G6112" t="s">
        <v>32</v>
      </c>
      <c r="H6112" t="s">
        <v>33</v>
      </c>
      <c r="I6112" t="s">
        <v>59</v>
      </c>
      <c r="AB6112" t="s">
        <v>47</v>
      </c>
      <c r="AC6112" t="s">
        <v>76</v>
      </c>
    </row>
    <row r="6113" spans="1:30" x14ac:dyDescent="0.35">
      <c r="A6113" s="7">
        <v>43229</v>
      </c>
      <c r="B6113" t="s">
        <v>30</v>
      </c>
      <c r="C6113">
        <v>701</v>
      </c>
      <c r="D6113">
        <v>3</v>
      </c>
      <c r="E6113">
        <v>1</v>
      </c>
      <c r="F6113" t="s">
        <v>1020</v>
      </c>
      <c r="G6113" t="s">
        <v>32</v>
      </c>
      <c r="H6113" t="s">
        <v>33</v>
      </c>
      <c r="I6113" t="s">
        <v>59</v>
      </c>
      <c r="AB6113" t="s">
        <v>47</v>
      </c>
      <c r="AC6113" t="s">
        <v>76</v>
      </c>
    </row>
    <row r="6114" spans="1:30" x14ac:dyDescent="0.35">
      <c r="A6114" s="7">
        <v>43229</v>
      </c>
      <c r="B6114" t="s">
        <v>30</v>
      </c>
      <c r="C6114">
        <v>701</v>
      </c>
      <c r="D6114">
        <v>9</v>
      </c>
      <c r="E6114">
        <v>1</v>
      </c>
      <c r="F6114" t="s">
        <v>1020</v>
      </c>
      <c r="G6114" t="s">
        <v>32</v>
      </c>
      <c r="H6114" t="s">
        <v>33</v>
      </c>
      <c r="I6114" t="s">
        <v>59</v>
      </c>
      <c r="AB6114" t="s">
        <v>47</v>
      </c>
      <c r="AC6114" t="s">
        <v>76</v>
      </c>
    </row>
    <row r="6115" spans="1:30" x14ac:dyDescent="0.35">
      <c r="A6115" s="7">
        <v>43229</v>
      </c>
      <c r="B6115" t="s">
        <v>30</v>
      </c>
      <c r="C6115">
        <v>701</v>
      </c>
      <c r="D6115">
        <v>10</v>
      </c>
      <c r="E6115">
        <v>1</v>
      </c>
      <c r="F6115" t="s">
        <v>1020</v>
      </c>
      <c r="G6115" t="s">
        <v>32</v>
      </c>
      <c r="H6115" t="s">
        <v>33</v>
      </c>
      <c r="I6115" t="s">
        <v>59</v>
      </c>
      <c r="AB6115" t="s">
        <v>47</v>
      </c>
      <c r="AC6115" t="s">
        <v>76</v>
      </c>
      <c r="AD6115" t="s">
        <v>1131</v>
      </c>
    </row>
    <row r="6116" spans="1:30" x14ac:dyDescent="0.35">
      <c r="A6116" s="7">
        <v>43229</v>
      </c>
      <c r="B6116" t="s">
        <v>30</v>
      </c>
      <c r="C6116">
        <v>703</v>
      </c>
      <c r="D6116">
        <v>4</v>
      </c>
      <c r="E6116">
        <v>1</v>
      </c>
      <c r="F6116" t="s">
        <v>1020</v>
      </c>
      <c r="G6116" t="s">
        <v>32</v>
      </c>
      <c r="H6116" t="s">
        <v>33</v>
      </c>
      <c r="I6116" t="s">
        <v>1075</v>
      </c>
      <c r="AB6116" t="s">
        <v>47</v>
      </c>
      <c r="AC6116" t="s">
        <v>76</v>
      </c>
    </row>
    <row r="6117" spans="1:30" x14ac:dyDescent="0.35">
      <c r="A6117" s="7">
        <v>43231</v>
      </c>
      <c r="B6117" t="s">
        <v>30</v>
      </c>
      <c r="C6117">
        <v>501</v>
      </c>
      <c r="D6117">
        <v>5</v>
      </c>
      <c r="E6117">
        <v>1</v>
      </c>
      <c r="F6117" t="s">
        <v>1129</v>
      </c>
      <c r="G6117" t="s">
        <v>32</v>
      </c>
      <c r="H6117" t="s">
        <v>33</v>
      </c>
      <c r="I6117" t="s">
        <v>43</v>
      </c>
      <c r="J6117" t="s">
        <v>35</v>
      </c>
      <c r="K6117" t="s">
        <v>36</v>
      </c>
      <c r="L6117" t="s">
        <v>45</v>
      </c>
      <c r="M6117">
        <v>0</v>
      </c>
      <c r="N6117">
        <v>1</v>
      </c>
      <c r="O6117">
        <v>2907</v>
      </c>
      <c r="P6117">
        <v>2906</v>
      </c>
      <c r="Q6117">
        <f>36-13</f>
        <v>23</v>
      </c>
      <c r="R6117" t="s">
        <v>46</v>
      </c>
      <c r="S6117" t="s">
        <v>39</v>
      </c>
      <c r="AB6117" t="s">
        <v>47</v>
      </c>
      <c r="AC6117" t="s">
        <v>76</v>
      </c>
    </row>
    <row r="6118" spans="1:30" x14ac:dyDescent="0.35">
      <c r="A6118" s="7">
        <v>43231</v>
      </c>
      <c r="B6118" t="s">
        <v>30</v>
      </c>
      <c r="C6118">
        <v>503</v>
      </c>
      <c r="D6118">
        <v>6</v>
      </c>
      <c r="E6118">
        <v>1</v>
      </c>
      <c r="F6118" t="s">
        <v>1129</v>
      </c>
      <c r="G6118" t="s">
        <v>32</v>
      </c>
      <c r="H6118" t="s">
        <v>33</v>
      </c>
      <c r="I6118" t="s">
        <v>59</v>
      </c>
      <c r="AB6118" t="s">
        <v>47</v>
      </c>
      <c r="AC6118" t="s">
        <v>76</v>
      </c>
    </row>
    <row r="6119" spans="1:30" x14ac:dyDescent="0.35">
      <c r="A6119" s="7">
        <v>43231</v>
      </c>
      <c r="B6119" t="s">
        <v>30</v>
      </c>
      <c r="C6119">
        <v>503</v>
      </c>
      <c r="D6119">
        <v>8</v>
      </c>
      <c r="E6119">
        <v>1</v>
      </c>
      <c r="F6119" t="s">
        <v>1129</v>
      </c>
      <c r="G6119" t="s">
        <v>32</v>
      </c>
      <c r="H6119" t="s">
        <v>33</v>
      </c>
      <c r="I6119" t="s">
        <v>59</v>
      </c>
      <c r="AB6119" t="s">
        <v>47</v>
      </c>
      <c r="AC6119" t="s">
        <v>76</v>
      </c>
    </row>
    <row r="6120" spans="1:30" x14ac:dyDescent="0.35">
      <c r="A6120" s="7">
        <v>43231</v>
      </c>
      <c r="B6120" t="s">
        <v>30</v>
      </c>
      <c r="C6120">
        <v>701</v>
      </c>
      <c r="D6120">
        <v>8</v>
      </c>
      <c r="E6120">
        <v>1</v>
      </c>
      <c r="F6120" t="s">
        <v>1020</v>
      </c>
      <c r="G6120" t="s">
        <v>32</v>
      </c>
      <c r="H6120" t="s">
        <v>33</v>
      </c>
      <c r="I6120" t="s">
        <v>59</v>
      </c>
      <c r="AB6120" t="s">
        <v>47</v>
      </c>
      <c r="AC6120" t="s">
        <v>76</v>
      </c>
    </row>
    <row r="6121" spans="1:30" x14ac:dyDescent="0.35">
      <c r="A6121" s="7">
        <v>43232</v>
      </c>
      <c r="B6121" t="s">
        <v>30</v>
      </c>
      <c r="C6121">
        <v>501</v>
      </c>
      <c r="D6121">
        <v>9</v>
      </c>
      <c r="E6121">
        <v>1</v>
      </c>
      <c r="F6121" t="s">
        <v>1129</v>
      </c>
      <c r="G6121" t="s">
        <v>32</v>
      </c>
      <c r="H6121" t="s">
        <v>33</v>
      </c>
      <c r="I6121" t="s">
        <v>43</v>
      </c>
      <c r="J6121" t="s">
        <v>44</v>
      </c>
      <c r="K6121" t="s">
        <v>36</v>
      </c>
      <c r="L6121" t="s">
        <v>45</v>
      </c>
      <c r="M6121">
        <v>0</v>
      </c>
      <c r="N6121">
        <v>0</v>
      </c>
      <c r="O6121">
        <v>2907</v>
      </c>
      <c r="P6121">
        <v>2906</v>
      </c>
      <c r="Q6121">
        <f>35-13</f>
        <v>22</v>
      </c>
      <c r="R6121" t="s">
        <v>46</v>
      </c>
      <c r="S6121" t="s">
        <v>39</v>
      </c>
      <c r="AB6121" t="s">
        <v>47</v>
      </c>
      <c r="AC6121" t="s">
        <v>76</v>
      </c>
    </row>
    <row r="6122" spans="1:30" x14ac:dyDescent="0.35">
      <c r="A6122" s="7">
        <v>43232</v>
      </c>
      <c r="B6122" t="s">
        <v>30</v>
      </c>
      <c r="C6122">
        <v>303</v>
      </c>
      <c r="D6122">
        <v>8</v>
      </c>
      <c r="E6122">
        <v>1</v>
      </c>
      <c r="F6122" t="s">
        <v>1129</v>
      </c>
      <c r="G6122" t="s">
        <v>32</v>
      </c>
      <c r="H6122" t="s">
        <v>33</v>
      </c>
      <c r="I6122" t="s">
        <v>58</v>
      </c>
      <c r="J6122" t="s">
        <v>35</v>
      </c>
      <c r="K6122" t="s">
        <v>36</v>
      </c>
      <c r="L6122" t="s">
        <v>45</v>
      </c>
      <c r="M6122">
        <v>0</v>
      </c>
      <c r="N6122">
        <v>1</v>
      </c>
      <c r="O6122">
        <v>2914</v>
      </c>
      <c r="Q6122">
        <f>35-14</f>
        <v>21</v>
      </c>
      <c r="R6122" t="s">
        <v>46</v>
      </c>
      <c r="S6122" t="s">
        <v>39</v>
      </c>
      <c r="AB6122" t="s">
        <v>47</v>
      </c>
      <c r="AC6122" t="s">
        <v>76</v>
      </c>
      <c r="AD6122" t="s">
        <v>1132</v>
      </c>
    </row>
    <row r="6123" spans="1:30" x14ac:dyDescent="0.35">
      <c r="A6123" s="7">
        <v>43232</v>
      </c>
      <c r="B6123" t="s">
        <v>30</v>
      </c>
      <c r="C6123">
        <v>501</v>
      </c>
      <c r="D6123">
        <v>10</v>
      </c>
      <c r="E6123">
        <v>1</v>
      </c>
      <c r="F6123" t="s">
        <v>1129</v>
      </c>
      <c r="G6123" t="s">
        <v>32</v>
      </c>
      <c r="H6123" t="s">
        <v>33</v>
      </c>
      <c r="I6123" t="s">
        <v>58</v>
      </c>
      <c r="J6123" t="s">
        <v>92</v>
      </c>
      <c r="AB6123" t="s">
        <v>47</v>
      </c>
      <c r="AC6123" t="s">
        <v>76</v>
      </c>
    </row>
    <row r="6124" spans="1:30" x14ac:dyDescent="0.35">
      <c r="A6124" s="7">
        <v>43232</v>
      </c>
      <c r="B6124" t="s">
        <v>30</v>
      </c>
      <c r="C6124">
        <v>503</v>
      </c>
      <c r="D6124">
        <v>6</v>
      </c>
      <c r="E6124">
        <v>1</v>
      </c>
      <c r="F6124" t="s">
        <v>1129</v>
      </c>
      <c r="G6124" t="s">
        <v>32</v>
      </c>
      <c r="H6124" t="s">
        <v>33</v>
      </c>
      <c r="I6124" t="s">
        <v>58</v>
      </c>
      <c r="J6124" t="s">
        <v>35</v>
      </c>
      <c r="K6124" t="s">
        <v>36</v>
      </c>
      <c r="L6124" t="s">
        <v>45</v>
      </c>
      <c r="M6124">
        <v>0</v>
      </c>
      <c r="N6124">
        <v>1</v>
      </c>
      <c r="P6124">
        <v>2908</v>
      </c>
      <c r="Q6124">
        <f>42-15</f>
        <v>27</v>
      </c>
      <c r="R6124" t="s">
        <v>46</v>
      </c>
      <c r="S6124" t="s">
        <v>39</v>
      </c>
      <c r="AB6124" t="s">
        <v>47</v>
      </c>
      <c r="AC6124" t="s">
        <v>76</v>
      </c>
      <c r="AD6124" t="s">
        <v>1133</v>
      </c>
    </row>
    <row r="6125" spans="1:30" x14ac:dyDescent="0.35">
      <c r="A6125" s="7">
        <v>43232</v>
      </c>
      <c r="B6125" t="s">
        <v>30</v>
      </c>
      <c r="C6125">
        <v>701</v>
      </c>
      <c r="D6125">
        <v>10</v>
      </c>
      <c r="E6125">
        <v>1</v>
      </c>
      <c r="F6125" t="s">
        <v>1020</v>
      </c>
      <c r="G6125" t="s">
        <v>32</v>
      </c>
      <c r="H6125" t="s">
        <v>33</v>
      </c>
      <c r="I6125" t="s">
        <v>65</v>
      </c>
      <c r="J6125" t="s">
        <v>35</v>
      </c>
      <c r="K6125" t="s">
        <v>36</v>
      </c>
      <c r="L6125" t="s">
        <v>37</v>
      </c>
      <c r="M6125">
        <v>0</v>
      </c>
      <c r="N6125">
        <v>1</v>
      </c>
      <c r="O6125">
        <v>2565</v>
      </c>
      <c r="Q6125">
        <f>266-124</f>
        <v>142</v>
      </c>
      <c r="R6125" t="s">
        <v>38</v>
      </c>
      <c r="AB6125" t="s">
        <v>47</v>
      </c>
      <c r="AC6125" t="s">
        <v>76</v>
      </c>
      <c r="AD6125" t="s">
        <v>1134</v>
      </c>
    </row>
    <row r="6126" spans="1:30" x14ac:dyDescent="0.35">
      <c r="A6126" s="7">
        <v>43232</v>
      </c>
      <c r="B6126" t="s">
        <v>30</v>
      </c>
      <c r="C6126">
        <v>303</v>
      </c>
      <c r="D6126">
        <v>2</v>
      </c>
      <c r="E6126">
        <v>1</v>
      </c>
      <c r="F6126" t="s">
        <v>1129</v>
      </c>
      <c r="G6126" t="s">
        <v>32</v>
      </c>
      <c r="H6126" t="s">
        <v>33</v>
      </c>
      <c r="I6126" t="s">
        <v>59</v>
      </c>
      <c r="AB6126" t="s">
        <v>47</v>
      </c>
      <c r="AC6126" t="s">
        <v>76</v>
      </c>
    </row>
    <row r="6127" spans="1:30" x14ac:dyDescent="0.35">
      <c r="A6127" s="7">
        <v>43232</v>
      </c>
      <c r="B6127" t="s">
        <v>30</v>
      </c>
      <c r="C6127">
        <v>401</v>
      </c>
      <c r="D6127">
        <v>5</v>
      </c>
      <c r="E6127">
        <v>1</v>
      </c>
      <c r="F6127" t="s">
        <v>1129</v>
      </c>
      <c r="G6127" t="s">
        <v>32</v>
      </c>
      <c r="H6127" t="s">
        <v>33</v>
      </c>
      <c r="I6127" t="s">
        <v>59</v>
      </c>
      <c r="AB6127" t="s">
        <v>47</v>
      </c>
      <c r="AC6127" t="s">
        <v>76</v>
      </c>
    </row>
    <row r="6128" spans="1:30" x14ac:dyDescent="0.35">
      <c r="A6128" s="7">
        <v>43232</v>
      </c>
      <c r="B6128" t="s">
        <v>30</v>
      </c>
      <c r="C6128">
        <v>503</v>
      </c>
      <c r="D6128">
        <v>3</v>
      </c>
      <c r="E6128">
        <v>1</v>
      </c>
      <c r="F6128" t="s">
        <v>1129</v>
      </c>
      <c r="G6128" t="s">
        <v>32</v>
      </c>
      <c r="H6128" t="s">
        <v>33</v>
      </c>
      <c r="I6128" t="s">
        <v>59</v>
      </c>
      <c r="AB6128" t="s">
        <v>47</v>
      </c>
      <c r="AC6128" t="s">
        <v>76</v>
      </c>
    </row>
    <row r="6129" spans="1:30" x14ac:dyDescent="0.35">
      <c r="A6129" s="7">
        <v>43232</v>
      </c>
      <c r="B6129" t="s">
        <v>30</v>
      </c>
      <c r="C6129">
        <v>503</v>
      </c>
      <c r="D6129">
        <v>3</v>
      </c>
      <c r="E6129">
        <v>2</v>
      </c>
      <c r="F6129" t="s">
        <v>1129</v>
      </c>
      <c r="G6129" t="s">
        <v>32</v>
      </c>
      <c r="H6129" t="s">
        <v>33</v>
      </c>
      <c r="I6129" t="s">
        <v>59</v>
      </c>
      <c r="AB6129" t="s">
        <v>47</v>
      </c>
      <c r="AC6129" t="s">
        <v>76</v>
      </c>
    </row>
    <row r="6130" spans="1:30" x14ac:dyDescent="0.35">
      <c r="A6130" s="7">
        <v>43232</v>
      </c>
      <c r="B6130" t="s">
        <v>30</v>
      </c>
      <c r="C6130">
        <v>503</v>
      </c>
      <c r="D6130">
        <v>5</v>
      </c>
      <c r="E6130">
        <v>1</v>
      </c>
      <c r="F6130" t="s">
        <v>1129</v>
      </c>
      <c r="G6130" t="s">
        <v>32</v>
      </c>
      <c r="H6130" t="s">
        <v>33</v>
      </c>
      <c r="I6130" t="s">
        <v>59</v>
      </c>
      <c r="AB6130" t="s">
        <v>47</v>
      </c>
      <c r="AC6130" t="s">
        <v>76</v>
      </c>
    </row>
    <row r="6131" spans="1:30" x14ac:dyDescent="0.35">
      <c r="A6131" s="7">
        <v>43232</v>
      </c>
      <c r="B6131" t="s">
        <v>30</v>
      </c>
      <c r="C6131">
        <v>503</v>
      </c>
      <c r="D6131">
        <v>7</v>
      </c>
      <c r="E6131">
        <v>1</v>
      </c>
      <c r="F6131" t="s">
        <v>1129</v>
      </c>
      <c r="G6131" t="s">
        <v>32</v>
      </c>
      <c r="H6131" t="s">
        <v>33</v>
      </c>
      <c r="I6131" t="s">
        <v>59</v>
      </c>
      <c r="AB6131" t="s">
        <v>47</v>
      </c>
      <c r="AC6131" t="s">
        <v>76</v>
      </c>
    </row>
    <row r="6132" spans="1:30" x14ac:dyDescent="0.35">
      <c r="A6132" s="7">
        <v>43232</v>
      </c>
      <c r="B6132" t="s">
        <v>30</v>
      </c>
      <c r="C6132">
        <v>703</v>
      </c>
      <c r="D6132">
        <v>9</v>
      </c>
      <c r="E6132">
        <v>1</v>
      </c>
      <c r="F6132" t="s">
        <v>1020</v>
      </c>
      <c r="G6132" t="s">
        <v>32</v>
      </c>
      <c r="H6132" t="s">
        <v>33</v>
      </c>
      <c r="I6132" t="s">
        <v>59</v>
      </c>
      <c r="AB6132" t="s">
        <v>47</v>
      </c>
      <c r="AC6132" t="s">
        <v>76</v>
      </c>
    </row>
    <row r="6133" spans="1:30" x14ac:dyDescent="0.35">
      <c r="A6133" s="7">
        <v>43233</v>
      </c>
      <c r="B6133" t="s">
        <v>30</v>
      </c>
      <c r="C6133">
        <v>303</v>
      </c>
      <c r="D6133">
        <v>3</v>
      </c>
      <c r="E6133">
        <v>1</v>
      </c>
      <c r="F6133" t="s">
        <v>1129</v>
      </c>
      <c r="G6133" t="s">
        <v>32</v>
      </c>
      <c r="H6133" t="s">
        <v>33</v>
      </c>
      <c r="I6133" t="s">
        <v>43</v>
      </c>
      <c r="J6133" t="s">
        <v>44</v>
      </c>
      <c r="K6133" t="s">
        <v>36</v>
      </c>
      <c r="L6133" t="s">
        <v>45</v>
      </c>
      <c r="M6133">
        <v>0</v>
      </c>
      <c r="N6133">
        <v>0</v>
      </c>
      <c r="O6133">
        <v>2903</v>
      </c>
      <c r="P6133">
        <v>2901</v>
      </c>
      <c r="Q6133">
        <f>35-12</f>
        <v>23</v>
      </c>
      <c r="R6133" t="s">
        <v>46</v>
      </c>
      <c r="S6133" t="s">
        <v>39</v>
      </c>
      <c r="AB6133" t="s">
        <v>47</v>
      </c>
      <c r="AC6133" t="s">
        <v>76</v>
      </c>
    </row>
    <row r="6134" spans="1:30" x14ac:dyDescent="0.35">
      <c r="A6134" s="7">
        <v>43233</v>
      </c>
      <c r="B6134" t="s">
        <v>30</v>
      </c>
      <c r="C6134">
        <v>303</v>
      </c>
      <c r="D6134">
        <v>8</v>
      </c>
      <c r="E6134">
        <v>1</v>
      </c>
      <c r="F6134" t="s">
        <v>1129</v>
      </c>
      <c r="G6134" t="s">
        <v>32</v>
      </c>
      <c r="H6134" t="s">
        <v>33</v>
      </c>
      <c r="I6134" t="s">
        <v>43</v>
      </c>
      <c r="J6134" t="s">
        <v>35</v>
      </c>
      <c r="K6134" t="s">
        <v>36</v>
      </c>
      <c r="L6134" t="s">
        <v>45</v>
      </c>
      <c r="M6134">
        <v>0</v>
      </c>
      <c r="N6134">
        <v>1</v>
      </c>
      <c r="O6134">
        <v>2913</v>
      </c>
      <c r="P6134">
        <v>2912</v>
      </c>
      <c r="Q6134">
        <f>33-13</f>
        <v>20</v>
      </c>
      <c r="R6134" t="s">
        <v>46</v>
      </c>
      <c r="S6134" t="s">
        <v>39</v>
      </c>
      <c r="AB6134" t="s">
        <v>47</v>
      </c>
      <c r="AC6134" t="s">
        <v>76</v>
      </c>
      <c r="AD6134" t="s">
        <v>1132</v>
      </c>
    </row>
    <row r="6135" spans="1:30" x14ac:dyDescent="0.35">
      <c r="A6135" s="7">
        <v>43233</v>
      </c>
      <c r="B6135" t="s">
        <v>30</v>
      </c>
      <c r="C6135">
        <v>401</v>
      </c>
      <c r="D6135">
        <v>8</v>
      </c>
      <c r="E6135">
        <v>1</v>
      </c>
      <c r="F6135" t="s">
        <v>1129</v>
      </c>
      <c r="G6135" t="s">
        <v>32</v>
      </c>
      <c r="H6135" t="s">
        <v>33</v>
      </c>
      <c r="I6135" t="s">
        <v>43</v>
      </c>
      <c r="J6135" t="s">
        <v>35</v>
      </c>
      <c r="K6135" t="s">
        <v>113</v>
      </c>
      <c r="L6135" t="s">
        <v>37</v>
      </c>
      <c r="M6135">
        <v>0</v>
      </c>
      <c r="N6135">
        <v>1</v>
      </c>
      <c r="O6135">
        <v>2911</v>
      </c>
      <c r="P6135">
        <v>2910</v>
      </c>
      <c r="Q6135">
        <f>29-13</f>
        <v>16</v>
      </c>
      <c r="R6135" t="s">
        <v>64</v>
      </c>
      <c r="AB6135" t="s">
        <v>47</v>
      </c>
      <c r="AC6135" t="s">
        <v>76</v>
      </c>
      <c r="AD6135" t="s">
        <v>1135</v>
      </c>
    </row>
    <row r="6136" spans="1:30" x14ac:dyDescent="0.35">
      <c r="A6136" s="7">
        <v>43233</v>
      </c>
      <c r="B6136" t="s">
        <v>30</v>
      </c>
      <c r="C6136">
        <v>501</v>
      </c>
      <c r="D6136">
        <v>8</v>
      </c>
      <c r="E6136">
        <v>1</v>
      </c>
      <c r="F6136" t="s">
        <v>1129</v>
      </c>
      <c r="G6136" t="s">
        <v>32</v>
      </c>
      <c r="H6136" t="s">
        <v>33</v>
      </c>
      <c r="I6136" t="s">
        <v>43</v>
      </c>
      <c r="J6136" t="s">
        <v>44</v>
      </c>
      <c r="K6136" t="s">
        <v>36</v>
      </c>
      <c r="L6136" t="s">
        <v>45</v>
      </c>
      <c r="M6136">
        <v>0</v>
      </c>
      <c r="N6136">
        <v>0</v>
      </c>
      <c r="O6136">
        <v>2907</v>
      </c>
      <c r="P6136">
        <v>2906</v>
      </c>
      <c r="R6136" t="s">
        <v>46</v>
      </c>
      <c r="S6136" t="s">
        <v>39</v>
      </c>
      <c r="AB6136" t="s">
        <v>47</v>
      </c>
      <c r="AC6136" t="s">
        <v>76</v>
      </c>
    </row>
    <row r="6137" spans="1:30" x14ac:dyDescent="0.35">
      <c r="A6137" s="7">
        <v>43233</v>
      </c>
      <c r="B6137" t="s">
        <v>30</v>
      </c>
      <c r="C6137">
        <v>503</v>
      </c>
      <c r="D6137">
        <v>3</v>
      </c>
      <c r="E6137">
        <v>1</v>
      </c>
      <c r="F6137" t="s">
        <v>1129</v>
      </c>
      <c r="G6137" t="s">
        <v>32</v>
      </c>
      <c r="H6137" t="s">
        <v>33</v>
      </c>
      <c r="I6137" t="s">
        <v>65</v>
      </c>
      <c r="J6137" t="s">
        <v>35</v>
      </c>
      <c r="K6137" t="s">
        <v>36</v>
      </c>
      <c r="M6137">
        <v>0</v>
      </c>
      <c r="N6137">
        <v>1</v>
      </c>
      <c r="O6137">
        <v>2916</v>
      </c>
      <c r="Q6137">
        <f>200-108</f>
        <v>92</v>
      </c>
      <c r="AB6137" t="s">
        <v>47</v>
      </c>
      <c r="AC6137" t="s">
        <v>76</v>
      </c>
    </row>
    <row r="6138" spans="1:30" x14ac:dyDescent="0.35">
      <c r="A6138" s="7">
        <v>43233</v>
      </c>
      <c r="B6138" t="s">
        <v>30</v>
      </c>
      <c r="C6138">
        <v>401</v>
      </c>
      <c r="D6138">
        <v>4</v>
      </c>
      <c r="E6138">
        <v>1</v>
      </c>
      <c r="F6138" t="s">
        <v>1129</v>
      </c>
      <c r="G6138" t="s">
        <v>32</v>
      </c>
      <c r="H6138" t="s">
        <v>33</v>
      </c>
      <c r="I6138" t="s">
        <v>59</v>
      </c>
      <c r="AB6138" t="s">
        <v>47</v>
      </c>
      <c r="AC6138" t="s">
        <v>76</v>
      </c>
    </row>
    <row r="6139" spans="1:30" x14ac:dyDescent="0.35">
      <c r="A6139" s="7">
        <v>43233</v>
      </c>
      <c r="B6139" t="s">
        <v>30</v>
      </c>
      <c r="C6139">
        <v>703</v>
      </c>
      <c r="D6139">
        <v>1</v>
      </c>
      <c r="E6139">
        <v>1</v>
      </c>
      <c r="F6139" t="s">
        <v>1020</v>
      </c>
      <c r="G6139" t="s">
        <v>32</v>
      </c>
      <c r="H6139" t="s">
        <v>33</v>
      </c>
      <c r="I6139" t="s">
        <v>59</v>
      </c>
      <c r="AB6139" t="s">
        <v>60</v>
      </c>
      <c r="AC6139" t="s">
        <v>76</v>
      </c>
    </row>
    <row r="6140" spans="1:30" x14ac:dyDescent="0.35">
      <c r="A6140" s="7">
        <v>43233</v>
      </c>
      <c r="B6140" t="s">
        <v>30</v>
      </c>
      <c r="C6140">
        <v>703</v>
      </c>
      <c r="D6140">
        <v>4</v>
      </c>
      <c r="E6140">
        <v>1</v>
      </c>
      <c r="F6140" t="s">
        <v>1020</v>
      </c>
      <c r="G6140" t="s">
        <v>32</v>
      </c>
      <c r="H6140" t="s">
        <v>33</v>
      </c>
      <c r="I6140" t="s">
        <v>59</v>
      </c>
      <c r="AB6140" t="s">
        <v>60</v>
      </c>
      <c r="AC6140" t="s">
        <v>76</v>
      </c>
    </row>
    <row r="6141" spans="1:30" x14ac:dyDescent="0.35">
      <c r="A6141" s="7">
        <v>43235</v>
      </c>
      <c r="B6141" t="s">
        <v>30</v>
      </c>
      <c r="C6141">
        <v>111</v>
      </c>
      <c r="D6141">
        <v>10</v>
      </c>
      <c r="E6141">
        <v>1</v>
      </c>
      <c r="F6141" t="s">
        <v>1020</v>
      </c>
      <c r="G6141" t="s">
        <v>32</v>
      </c>
      <c r="H6141" t="s">
        <v>33</v>
      </c>
      <c r="I6141" t="s">
        <v>34</v>
      </c>
      <c r="J6141" t="s">
        <v>35</v>
      </c>
      <c r="K6141" t="s">
        <v>36</v>
      </c>
      <c r="L6141" t="s">
        <v>37</v>
      </c>
      <c r="M6141">
        <v>0</v>
      </c>
      <c r="N6141">
        <v>1</v>
      </c>
      <c r="O6141">
        <v>2551</v>
      </c>
      <c r="R6141" t="s">
        <v>38</v>
      </c>
      <c r="AB6141" t="s">
        <v>742</v>
      </c>
      <c r="AC6141" t="s">
        <v>87</v>
      </c>
    </row>
    <row r="6142" spans="1:30" x14ac:dyDescent="0.35">
      <c r="A6142" s="7">
        <v>43235</v>
      </c>
      <c r="B6142" t="s">
        <v>30</v>
      </c>
      <c r="C6142">
        <v>111</v>
      </c>
      <c r="D6142">
        <v>2</v>
      </c>
      <c r="E6142">
        <v>1</v>
      </c>
      <c r="F6142" t="s">
        <v>1020</v>
      </c>
      <c r="G6142" t="s">
        <v>32</v>
      </c>
      <c r="H6142" t="s">
        <v>33</v>
      </c>
      <c r="I6142" t="s">
        <v>59</v>
      </c>
      <c r="AB6142" t="s">
        <v>742</v>
      </c>
      <c r="AC6142" t="s">
        <v>87</v>
      </c>
    </row>
    <row r="6143" spans="1:30" x14ac:dyDescent="0.35">
      <c r="A6143" s="7">
        <v>43235</v>
      </c>
      <c r="B6143" t="s">
        <v>30</v>
      </c>
      <c r="C6143">
        <v>111</v>
      </c>
      <c r="D6143">
        <v>2</v>
      </c>
      <c r="E6143">
        <v>2</v>
      </c>
      <c r="F6143" t="s">
        <v>1020</v>
      </c>
      <c r="G6143" t="s">
        <v>32</v>
      </c>
      <c r="H6143" t="s">
        <v>33</v>
      </c>
      <c r="I6143" t="s">
        <v>59</v>
      </c>
      <c r="AB6143" t="s">
        <v>742</v>
      </c>
      <c r="AC6143" t="s">
        <v>87</v>
      </c>
    </row>
    <row r="6144" spans="1:30" x14ac:dyDescent="0.35">
      <c r="A6144" s="7">
        <v>43235</v>
      </c>
      <c r="B6144" t="s">
        <v>30</v>
      </c>
      <c r="C6144">
        <v>111</v>
      </c>
      <c r="D6144">
        <v>4</v>
      </c>
      <c r="E6144">
        <v>1</v>
      </c>
      <c r="F6144" t="s">
        <v>1020</v>
      </c>
      <c r="G6144" t="s">
        <v>32</v>
      </c>
      <c r="H6144" t="s">
        <v>33</v>
      </c>
      <c r="I6144" t="s">
        <v>59</v>
      </c>
      <c r="AB6144" t="s">
        <v>742</v>
      </c>
      <c r="AC6144" t="s">
        <v>87</v>
      </c>
    </row>
    <row r="6145" spans="1:29" x14ac:dyDescent="0.35">
      <c r="A6145" s="7">
        <v>43235</v>
      </c>
      <c r="B6145" t="s">
        <v>30</v>
      </c>
      <c r="C6145">
        <v>111</v>
      </c>
      <c r="D6145">
        <v>4</v>
      </c>
      <c r="E6145">
        <v>2</v>
      </c>
      <c r="F6145" t="s">
        <v>1020</v>
      </c>
      <c r="G6145" t="s">
        <v>32</v>
      </c>
      <c r="H6145" t="s">
        <v>33</v>
      </c>
      <c r="I6145" t="s">
        <v>59</v>
      </c>
      <c r="AB6145" t="s">
        <v>742</v>
      </c>
      <c r="AC6145" t="s">
        <v>87</v>
      </c>
    </row>
    <row r="6146" spans="1:29" x14ac:dyDescent="0.35">
      <c r="A6146" s="7">
        <v>43235</v>
      </c>
      <c r="B6146" t="s">
        <v>30</v>
      </c>
      <c r="C6146">
        <v>112</v>
      </c>
      <c r="D6146">
        <v>1</v>
      </c>
      <c r="E6146">
        <v>1</v>
      </c>
      <c r="F6146" t="s">
        <v>1020</v>
      </c>
      <c r="G6146" t="s">
        <v>32</v>
      </c>
      <c r="H6146" t="s">
        <v>33</v>
      </c>
      <c r="I6146" t="s">
        <v>59</v>
      </c>
      <c r="AB6146" t="s">
        <v>742</v>
      </c>
      <c r="AC6146" t="s">
        <v>87</v>
      </c>
    </row>
    <row r="6147" spans="1:29" x14ac:dyDescent="0.35">
      <c r="A6147" s="7">
        <v>43235</v>
      </c>
      <c r="B6147" t="s">
        <v>30</v>
      </c>
      <c r="C6147">
        <v>113</v>
      </c>
      <c r="D6147">
        <v>2</v>
      </c>
      <c r="E6147">
        <v>1</v>
      </c>
      <c r="F6147" t="s">
        <v>1020</v>
      </c>
      <c r="G6147" t="s">
        <v>32</v>
      </c>
      <c r="H6147" t="s">
        <v>33</v>
      </c>
      <c r="I6147" t="s">
        <v>59</v>
      </c>
      <c r="AB6147" t="s">
        <v>742</v>
      </c>
      <c r="AC6147" t="s">
        <v>87</v>
      </c>
    </row>
    <row r="6148" spans="1:29" x14ac:dyDescent="0.35">
      <c r="A6148" s="7">
        <v>43235</v>
      </c>
      <c r="B6148" t="s">
        <v>30</v>
      </c>
      <c r="C6148">
        <v>113</v>
      </c>
      <c r="D6148">
        <v>8</v>
      </c>
      <c r="E6148">
        <v>1</v>
      </c>
      <c r="F6148" t="s">
        <v>1020</v>
      </c>
      <c r="G6148" t="s">
        <v>32</v>
      </c>
      <c r="H6148" t="s">
        <v>33</v>
      </c>
      <c r="I6148" t="s">
        <v>59</v>
      </c>
      <c r="AB6148" t="s">
        <v>742</v>
      </c>
      <c r="AC6148" t="s">
        <v>87</v>
      </c>
    </row>
    <row r="6149" spans="1:29" x14ac:dyDescent="0.35">
      <c r="A6149" s="7">
        <v>43235</v>
      </c>
      <c r="B6149" t="s">
        <v>30</v>
      </c>
      <c r="C6149">
        <v>402</v>
      </c>
      <c r="D6149">
        <v>6</v>
      </c>
      <c r="E6149">
        <v>1</v>
      </c>
      <c r="F6149" t="s">
        <v>1020</v>
      </c>
      <c r="G6149" t="s">
        <v>32</v>
      </c>
      <c r="H6149" t="s">
        <v>33</v>
      </c>
      <c r="I6149" t="s">
        <v>59</v>
      </c>
      <c r="AB6149" t="s">
        <v>742</v>
      </c>
      <c r="AC6149" t="s">
        <v>87</v>
      </c>
    </row>
    <row r="6150" spans="1:29" x14ac:dyDescent="0.35">
      <c r="A6150" s="7">
        <v>43236</v>
      </c>
      <c r="B6150" t="s">
        <v>30</v>
      </c>
      <c r="C6150">
        <v>111</v>
      </c>
      <c r="D6150">
        <v>3</v>
      </c>
      <c r="E6150">
        <v>1</v>
      </c>
      <c r="F6150" t="s">
        <v>1020</v>
      </c>
      <c r="G6150" t="s">
        <v>32</v>
      </c>
      <c r="H6150" t="s">
        <v>33</v>
      </c>
      <c r="I6150" t="s">
        <v>59</v>
      </c>
      <c r="AB6150" t="s">
        <v>47</v>
      </c>
      <c r="AC6150" t="s">
        <v>41</v>
      </c>
    </row>
    <row r="6151" spans="1:29" x14ac:dyDescent="0.35">
      <c r="A6151" s="7">
        <v>43236</v>
      </c>
      <c r="B6151" t="s">
        <v>30</v>
      </c>
      <c r="C6151">
        <v>113</v>
      </c>
      <c r="D6151">
        <v>10</v>
      </c>
      <c r="E6151">
        <v>1</v>
      </c>
      <c r="F6151" t="s">
        <v>1020</v>
      </c>
      <c r="G6151" t="s">
        <v>32</v>
      </c>
      <c r="H6151" t="s">
        <v>33</v>
      </c>
      <c r="I6151" t="s">
        <v>59</v>
      </c>
      <c r="AB6151" t="s">
        <v>47</v>
      </c>
      <c r="AC6151" t="s">
        <v>41</v>
      </c>
    </row>
    <row r="6152" spans="1:29" x14ac:dyDescent="0.35">
      <c r="A6152" s="7">
        <v>43236</v>
      </c>
      <c r="B6152" t="s">
        <v>30</v>
      </c>
      <c r="C6152">
        <v>402</v>
      </c>
      <c r="D6152">
        <v>4</v>
      </c>
      <c r="E6152">
        <v>1</v>
      </c>
      <c r="F6152" t="s">
        <v>1020</v>
      </c>
      <c r="G6152" t="s">
        <v>32</v>
      </c>
      <c r="H6152" t="s">
        <v>33</v>
      </c>
      <c r="I6152" t="s">
        <v>59</v>
      </c>
      <c r="AB6152" t="s">
        <v>47</v>
      </c>
      <c r="AC6152" t="s">
        <v>41</v>
      </c>
    </row>
    <row r="6153" spans="1:29" x14ac:dyDescent="0.35">
      <c r="A6153" s="7">
        <v>43237</v>
      </c>
      <c r="B6153" t="s">
        <v>30</v>
      </c>
      <c r="C6153">
        <v>111</v>
      </c>
      <c r="D6153">
        <v>2</v>
      </c>
      <c r="E6153">
        <v>1</v>
      </c>
      <c r="F6153" t="s">
        <v>1020</v>
      </c>
      <c r="G6153" t="s">
        <v>32</v>
      </c>
      <c r="H6153" t="s">
        <v>33</v>
      </c>
      <c r="I6153" t="s">
        <v>59</v>
      </c>
      <c r="AB6153" t="s">
        <v>1136</v>
      </c>
      <c r="AC6153" t="s">
        <v>87</v>
      </c>
    </row>
    <row r="6154" spans="1:29" x14ac:dyDescent="0.35">
      <c r="A6154" s="7">
        <v>43237</v>
      </c>
      <c r="B6154" t="s">
        <v>30</v>
      </c>
      <c r="C6154">
        <v>111</v>
      </c>
      <c r="D6154">
        <v>3</v>
      </c>
      <c r="E6154">
        <v>1</v>
      </c>
      <c r="F6154" t="s">
        <v>1020</v>
      </c>
      <c r="G6154" t="s">
        <v>32</v>
      </c>
      <c r="H6154" t="s">
        <v>33</v>
      </c>
      <c r="I6154" t="s">
        <v>59</v>
      </c>
      <c r="AB6154" t="s">
        <v>1136</v>
      </c>
      <c r="AC6154" t="s">
        <v>87</v>
      </c>
    </row>
    <row r="6155" spans="1:29" x14ac:dyDescent="0.35">
      <c r="A6155" s="7">
        <v>43237</v>
      </c>
      <c r="B6155" t="s">
        <v>30</v>
      </c>
      <c r="C6155">
        <v>111</v>
      </c>
      <c r="D6155">
        <v>4</v>
      </c>
      <c r="E6155">
        <v>1</v>
      </c>
      <c r="F6155" t="s">
        <v>1020</v>
      </c>
      <c r="G6155" t="s">
        <v>32</v>
      </c>
      <c r="H6155" t="s">
        <v>33</v>
      </c>
      <c r="I6155" t="s">
        <v>59</v>
      </c>
      <c r="AB6155" t="s">
        <v>1136</v>
      </c>
      <c r="AC6155" t="s">
        <v>87</v>
      </c>
    </row>
    <row r="6156" spans="1:29" x14ac:dyDescent="0.35">
      <c r="A6156" s="7">
        <v>43237</v>
      </c>
      <c r="B6156" t="s">
        <v>30</v>
      </c>
      <c r="C6156">
        <v>111</v>
      </c>
      <c r="D6156">
        <v>4</v>
      </c>
      <c r="E6156">
        <v>2</v>
      </c>
      <c r="F6156" t="s">
        <v>1020</v>
      </c>
      <c r="G6156" t="s">
        <v>32</v>
      </c>
      <c r="H6156" t="s">
        <v>33</v>
      </c>
      <c r="I6156" t="s">
        <v>59</v>
      </c>
      <c r="AB6156" t="s">
        <v>1136</v>
      </c>
      <c r="AC6156" t="s">
        <v>87</v>
      </c>
    </row>
    <row r="6157" spans="1:29" x14ac:dyDescent="0.35">
      <c r="A6157" s="7">
        <v>43237</v>
      </c>
      <c r="B6157" t="s">
        <v>30</v>
      </c>
      <c r="C6157">
        <v>112</v>
      </c>
      <c r="D6157">
        <v>2</v>
      </c>
      <c r="E6157">
        <v>1</v>
      </c>
      <c r="F6157" t="s">
        <v>1020</v>
      </c>
      <c r="G6157" t="s">
        <v>32</v>
      </c>
      <c r="H6157" t="s">
        <v>33</v>
      </c>
      <c r="I6157" t="s">
        <v>59</v>
      </c>
      <c r="AB6157" t="s">
        <v>1136</v>
      </c>
      <c r="AC6157" t="s">
        <v>87</v>
      </c>
    </row>
    <row r="6158" spans="1:29" x14ac:dyDescent="0.35">
      <c r="A6158" s="7">
        <v>43237</v>
      </c>
      <c r="B6158" t="s">
        <v>30</v>
      </c>
      <c r="C6158">
        <v>112</v>
      </c>
      <c r="D6158">
        <v>6</v>
      </c>
      <c r="E6158">
        <v>1</v>
      </c>
      <c r="F6158" t="s">
        <v>1020</v>
      </c>
      <c r="G6158" t="s">
        <v>32</v>
      </c>
      <c r="H6158" t="s">
        <v>33</v>
      </c>
      <c r="I6158" t="s">
        <v>59</v>
      </c>
      <c r="AB6158" t="s">
        <v>1136</v>
      </c>
      <c r="AC6158" t="s">
        <v>87</v>
      </c>
    </row>
    <row r="6159" spans="1:29" x14ac:dyDescent="0.35">
      <c r="A6159" s="7">
        <v>43237</v>
      </c>
      <c r="B6159" t="s">
        <v>30</v>
      </c>
      <c r="C6159">
        <v>402</v>
      </c>
      <c r="D6159">
        <v>8</v>
      </c>
      <c r="E6159">
        <v>1</v>
      </c>
      <c r="F6159" t="s">
        <v>1020</v>
      </c>
      <c r="G6159" t="s">
        <v>32</v>
      </c>
      <c r="H6159" t="s">
        <v>33</v>
      </c>
      <c r="I6159" t="s">
        <v>59</v>
      </c>
      <c r="AB6159" t="s">
        <v>1136</v>
      </c>
      <c r="AC6159" t="s">
        <v>87</v>
      </c>
    </row>
    <row r="6160" spans="1:29" x14ac:dyDescent="0.35">
      <c r="A6160" s="7">
        <v>43238</v>
      </c>
      <c r="B6160" t="s">
        <v>30</v>
      </c>
      <c r="C6160">
        <v>201</v>
      </c>
      <c r="D6160">
        <v>1</v>
      </c>
      <c r="E6160">
        <v>1</v>
      </c>
      <c r="F6160" t="s">
        <v>1020</v>
      </c>
      <c r="G6160" t="s">
        <v>32</v>
      </c>
      <c r="H6160" t="s">
        <v>33</v>
      </c>
      <c r="I6160" t="s">
        <v>43</v>
      </c>
      <c r="J6160" t="s">
        <v>35</v>
      </c>
      <c r="K6160" t="s">
        <v>36</v>
      </c>
      <c r="L6160" t="s">
        <v>37</v>
      </c>
      <c r="M6160">
        <v>0</v>
      </c>
      <c r="N6160">
        <v>1</v>
      </c>
      <c r="O6160">
        <v>2564</v>
      </c>
      <c r="P6160">
        <v>2563</v>
      </c>
      <c r="Q6160">
        <f>36-13</f>
        <v>23</v>
      </c>
      <c r="R6160" t="s">
        <v>38</v>
      </c>
      <c r="AB6160" t="s">
        <v>1137</v>
      </c>
      <c r="AC6160" t="s">
        <v>41</v>
      </c>
    </row>
    <row r="6161" spans="1:30" x14ac:dyDescent="0.35">
      <c r="A6161" s="7">
        <v>43238</v>
      </c>
      <c r="B6161" t="s">
        <v>30</v>
      </c>
      <c r="C6161">
        <v>201</v>
      </c>
      <c r="D6161">
        <v>3</v>
      </c>
      <c r="E6161">
        <v>1</v>
      </c>
      <c r="F6161" t="s">
        <v>1020</v>
      </c>
      <c r="G6161" t="s">
        <v>32</v>
      </c>
      <c r="H6161" t="s">
        <v>33</v>
      </c>
      <c r="I6161" t="s">
        <v>43</v>
      </c>
      <c r="J6161" t="s">
        <v>35</v>
      </c>
      <c r="K6161" t="s">
        <v>36</v>
      </c>
      <c r="L6161" t="s">
        <v>45</v>
      </c>
      <c r="M6161">
        <v>0</v>
      </c>
      <c r="N6161">
        <v>1</v>
      </c>
      <c r="O6161">
        <v>2562</v>
      </c>
      <c r="P6161">
        <v>2561</v>
      </c>
      <c r="Q6161">
        <f>35.5-15</f>
        <v>20.5</v>
      </c>
      <c r="R6161" t="s">
        <v>46</v>
      </c>
      <c r="S6161" t="s">
        <v>39</v>
      </c>
      <c r="AB6161" t="s">
        <v>1137</v>
      </c>
      <c r="AC6161" t="s">
        <v>41</v>
      </c>
    </row>
    <row r="6162" spans="1:30" x14ac:dyDescent="0.35">
      <c r="A6162" s="7">
        <v>43238</v>
      </c>
      <c r="B6162" t="s">
        <v>30</v>
      </c>
      <c r="C6162">
        <v>202</v>
      </c>
      <c r="D6162">
        <v>5</v>
      </c>
      <c r="E6162">
        <v>1</v>
      </c>
      <c r="F6162" t="s">
        <v>1020</v>
      </c>
      <c r="G6162" t="s">
        <v>32</v>
      </c>
      <c r="H6162" t="s">
        <v>33</v>
      </c>
      <c r="I6162" t="s">
        <v>43</v>
      </c>
      <c r="J6162" t="s">
        <v>35</v>
      </c>
      <c r="K6162" t="s">
        <v>36</v>
      </c>
      <c r="L6162" t="s">
        <v>45</v>
      </c>
      <c r="M6162">
        <v>0</v>
      </c>
      <c r="N6162">
        <v>1</v>
      </c>
      <c r="O6162">
        <v>2560</v>
      </c>
      <c r="P6162">
        <v>2559</v>
      </c>
      <c r="R6162" t="s">
        <v>1028</v>
      </c>
      <c r="S6162" t="s">
        <v>102</v>
      </c>
      <c r="AB6162" t="s">
        <v>1137</v>
      </c>
      <c r="AC6162" t="s">
        <v>41</v>
      </c>
      <c r="AD6162" t="s">
        <v>1138</v>
      </c>
    </row>
    <row r="6163" spans="1:30" x14ac:dyDescent="0.35">
      <c r="A6163" s="7">
        <v>43238</v>
      </c>
      <c r="B6163" t="s">
        <v>30</v>
      </c>
      <c r="C6163">
        <v>202</v>
      </c>
      <c r="D6163">
        <v>10</v>
      </c>
      <c r="E6163">
        <v>1</v>
      </c>
      <c r="F6163" t="s">
        <v>1020</v>
      </c>
      <c r="G6163" t="s">
        <v>32</v>
      </c>
      <c r="H6163" t="s">
        <v>33</v>
      </c>
      <c r="I6163" t="s">
        <v>43</v>
      </c>
      <c r="J6163" t="s">
        <v>92</v>
      </c>
      <c r="K6163" t="s">
        <v>36</v>
      </c>
      <c r="AB6163" t="s">
        <v>1137</v>
      </c>
      <c r="AC6163" t="s">
        <v>41</v>
      </c>
    </row>
    <row r="6164" spans="1:30" x14ac:dyDescent="0.35">
      <c r="A6164" s="7">
        <v>43238</v>
      </c>
      <c r="B6164" t="s">
        <v>30</v>
      </c>
      <c r="C6164">
        <v>203</v>
      </c>
      <c r="D6164">
        <v>4</v>
      </c>
      <c r="E6164">
        <v>1</v>
      </c>
      <c r="F6164" t="s">
        <v>1020</v>
      </c>
      <c r="G6164" t="s">
        <v>32</v>
      </c>
      <c r="H6164" t="s">
        <v>33</v>
      </c>
      <c r="I6164" t="s">
        <v>43</v>
      </c>
      <c r="J6164" t="s">
        <v>44</v>
      </c>
      <c r="K6164" t="s">
        <v>36</v>
      </c>
      <c r="L6164" t="s">
        <v>45</v>
      </c>
      <c r="M6164">
        <v>0</v>
      </c>
      <c r="N6164">
        <v>0</v>
      </c>
      <c r="O6164">
        <v>2571</v>
      </c>
      <c r="P6164">
        <v>2568</v>
      </c>
      <c r="Q6164">
        <f>38.5-13</f>
        <v>25.5</v>
      </c>
      <c r="R6164" t="s">
        <v>77</v>
      </c>
      <c r="S6164" t="s">
        <v>39</v>
      </c>
      <c r="AB6164" t="s">
        <v>1137</v>
      </c>
      <c r="AC6164" t="s">
        <v>41</v>
      </c>
    </row>
    <row r="6165" spans="1:30" x14ac:dyDescent="0.35">
      <c r="A6165" s="7">
        <v>43238</v>
      </c>
      <c r="B6165" t="s">
        <v>30</v>
      </c>
      <c r="C6165">
        <v>304</v>
      </c>
      <c r="D6165">
        <v>1</v>
      </c>
      <c r="E6165">
        <v>1</v>
      </c>
      <c r="F6165" t="s">
        <v>1020</v>
      </c>
      <c r="G6165" t="s">
        <v>32</v>
      </c>
      <c r="H6165" t="s">
        <v>33</v>
      </c>
      <c r="I6165" t="s">
        <v>43</v>
      </c>
      <c r="J6165" t="s">
        <v>35</v>
      </c>
      <c r="K6165" t="s">
        <v>88</v>
      </c>
      <c r="L6165" t="s">
        <v>37</v>
      </c>
      <c r="M6165">
        <v>0</v>
      </c>
      <c r="N6165">
        <v>1</v>
      </c>
      <c r="O6165">
        <v>2558</v>
      </c>
      <c r="P6165">
        <v>2557</v>
      </c>
      <c r="Q6165">
        <f>26-13</f>
        <v>13</v>
      </c>
      <c r="R6165" t="s">
        <v>64</v>
      </c>
      <c r="AB6165" t="s">
        <v>1137</v>
      </c>
      <c r="AC6165" t="s">
        <v>41</v>
      </c>
    </row>
    <row r="6166" spans="1:30" x14ac:dyDescent="0.35">
      <c r="A6166" s="7">
        <v>43238</v>
      </c>
      <c r="B6166" t="s">
        <v>30</v>
      </c>
      <c r="C6166">
        <v>304</v>
      </c>
      <c r="D6166">
        <v>4</v>
      </c>
      <c r="E6166">
        <v>1</v>
      </c>
      <c r="F6166" t="s">
        <v>1020</v>
      </c>
      <c r="G6166" t="s">
        <v>32</v>
      </c>
      <c r="H6166" t="s">
        <v>33</v>
      </c>
      <c r="I6166" t="s">
        <v>75</v>
      </c>
      <c r="J6166" t="s">
        <v>35</v>
      </c>
      <c r="K6166" t="s">
        <v>36</v>
      </c>
      <c r="L6166" t="s">
        <v>45</v>
      </c>
      <c r="M6166">
        <v>0</v>
      </c>
      <c r="N6166">
        <v>1</v>
      </c>
      <c r="O6166">
        <v>2556</v>
      </c>
      <c r="Q6166">
        <f>218.5-123</f>
        <v>95.5</v>
      </c>
      <c r="R6166" t="s">
        <v>46</v>
      </c>
      <c r="S6166" t="s">
        <v>39</v>
      </c>
      <c r="AB6166" t="s">
        <v>1137</v>
      </c>
      <c r="AC6166" t="s">
        <v>41</v>
      </c>
    </row>
    <row r="6167" spans="1:30" x14ac:dyDescent="0.35">
      <c r="A6167" s="7">
        <v>43238</v>
      </c>
      <c r="B6167" t="s">
        <v>30</v>
      </c>
      <c r="C6167">
        <v>201</v>
      </c>
      <c r="D6167">
        <v>7</v>
      </c>
      <c r="E6167">
        <v>1</v>
      </c>
      <c r="F6167" t="s">
        <v>1020</v>
      </c>
      <c r="G6167" t="s">
        <v>32</v>
      </c>
      <c r="H6167" t="s">
        <v>33</v>
      </c>
      <c r="I6167" t="s">
        <v>59</v>
      </c>
      <c r="AB6167" t="s">
        <v>1137</v>
      </c>
      <c r="AC6167" t="s">
        <v>41</v>
      </c>
    </row>
    <row r="6168" spans="1:30" x14ac:dyDescent="0.35">
      <c r="A6168" s="7">
        <v>43238</v>
      </c>
      <c r="B6168" t="s">
        <v>30</v>
      </c>
      <c r="C6168">
        <v>201</v>
      </c>
      <c r="D6168">
        <v>9</v>
      </c>
      <c r="E6168">
        <v>1</v>
      </c>
      <c r="F6168" t="s">
        <v>1020</v>
      </c>
      <c r="G6168" t="s">
        <v>32</v>
      </c>
      <c r="H6168" t="s">
        <v>33</v>
      </c>
      <c r="I6168" t="s">
        <v>59</v>
      </c>
      <c r="AB6168" t="s">
        <v>1137</v>
      </c>
      <c r="AC6168" t="s">
        <v>41</v>
      </c>
    </row>
    <row r="6169" spans="1:30" x14ac:dyDescent="0.35">
      <c r="A6169" s="7">
        <v>43238</v>
      </c>
      <c r="B6169" t="s">
        <v>30</v>
      </c>
      <c r="C6169">
        <v>201</v>
      </c>
      <c r="D6169">
        <v>10</v>
      </c>
      <c r="E6169">
        <v>1</v>
      </c>
      <c r="F6169" t="s">
        <v>1020</v>
      </c>
      <c r="G6169" t="s">
        <v>32</v>
      </c>
      <c r="H6169" t="s">
        <v>33</v>
      </c>
      <c r="I6169" t="s">
        <v>59</v>
      </c>
      <c r="AB6169" t="s">
        <v>1137</v>
      </c>
      <c r="AC6169" t="s">
        <v>41</v>
      </c>
    </row>
    <row r="6170" spans="1:30" x14ac:dyDescent="0.35">
      <c r="A6170" s="7">
        <v>43238</v>
      </c>
      <c r="B6170" t="s">
        <v>30</v>
      </c>
      <c r="C6170">
        <v>202</v>
      </c>
      <c r="D6170">
        <v>7</v>
      </c>
      <c r="E6170">
        <v>1</v>
      </c>
      <c r="F6170" t="s">
        <v>1020</v>
      </c>
      <c r="G6170" t="s">
        <v>32</v>
      </c>
      <c r="H6170" t="s">
        <v>33</v>
      </c>
      <c r="I6170" t="s">
        <v>59</v>
      </c>
      <c r="AB6170" t="s">
        <v>1137</v>
      </c>
      <c r="AC6170" t="s">
        <v>41</v>
      </c>
    </row>
    <row r="6171" spans="1:30" x14ac:dyDescent="0.35">
      <c r="A6171" s="7">
        <v>43238</v>
      </c>
      <c r="B6171" t="s">
        <v>30</v>
      </c>
      <c r="C6171">
        <v>202</v>
      </c>
      <c r="D6171">
        <v>8</v>
      </c>
      <c r="E6171">
        <v>1</v>
      </c>
      <c r="F6171" t="s">
        <v>1020</v>
      </c>
      <c r="G6171" t="s">
        <v>32</v>
      </c>
      <c r="H6171" t="s">
        <v>33</v>
      </c>
      <c r="I6171" t="s">
        <v>59</v>
      </c>
      <c r="AB6171" t="s">
        <v>1137</v>
      </c>
      <c r="AC6171" t="s">
        <v>41</v>
      </c>
    </row>
    <row r="6172" spans="1:30" x14ac:dyDescent="0.35">
      <c r="A6172" s="7">
        <v>43238</v>
      </c>
      <c r="B6172" t="s">
        <v>30</v>
      </c>
      <c r="C6172">
        <v>202</v>
      </c>
      <c r="D6172">
        <v>9</v>
      </c>
      <c r="E6172">
        <v>1</v>
      </c>
      <c r="F6172" t="s">
        <v>1020</v>
      </c>
      <c r="G6172" t="s">
        <v>32</v>
      </c>
      <c r="H6172" t="s">
        <v>33</v>
      </c>
      <c r="I6172" t="s">
        <v>59</v>
      </c>
      <c r="AB6172" t="s">
        <v>1137</v>
      </c>
      <c r="AC6172" t="s">
        <v>41</v>
      </c>
    </row>
    <row r="6173" spans="1:30" x14ac:dyDescent="0.35">
      <c r="A6173" s="7">
        <v>43238</v>
      </c>
      <c r="B6173" t="s">
        <v>30</v>
      </c>
      <c r="C6173">
        <v>203</v>
      </c>
      <c r="D6173">
        <v>7</v>
      </c>
      <c r="E6173">
        <v>1</v>
      </c>
      <c r="F6173" t="s">
        <v>1020</v>
      </c>
      <c r="G6173" t="s">
        <v>32</v>
      </c>
      <c r="H6173" t="s">
        <v>33</v>
      </c>
      <c r="I6173" t="s">
        <v>59</v>
      </c>
      <c r="AB6173" t="s">
        <v>1137</v>
      </c>
      <c r="AC6173" t="s">
        <v>41</v>
      </c>
    </row>
    <row r="6174" spans="1:30" x14ac:dyDescent="0.35">
      <c r="A6174" s="7">
        <v>43239</v>
      </c>
      <c r="B6174" t="s">
        <v>30</v>
      </c>
      <c r="C6174">
        <v>201</v>
      </c>
      <c r="D6174">
        <v>1</v>
      </c>
      <c r="E6174">
        <v>1</v>
      </c>
      <c r="F6174" t="s">
        <v>1139</v>
      </c>
      <c r="G6174" t="s">
        <v>32</v>
      </c>
      <c r="H6174" t="s">
        <v>33</v>
      </c>
      <c r="I6174" t="s">
        <v>43</v>
      </c>
      <c r="J6174" t="s">
        <v>44</v>
      </c>
      <c r="K6174" t="s">
        <v>36</v>
      </c>
      <c r="L6174" t="s">
        <v>37</v>
      </c>
      <c r="M6174">
        <v>0</v>
      </c>
      <c r="N6174">
        <v>0</v>
      </c>
      <c r="O6174">
        <v>39415</v>
      </c>
      <c r="P6174">
        <v>39414</v>
      </c>
      <c r="Q6174">
        <f>35-13</f>
        <v>22</v>
      </c>
      <c r="R6174" t="s">
        <v>38</v>
      </c>
      <c r="AB6174" t="s">
        <v>1136</v>
      </c>
      <c r="AC6174" t="s">
        <v>41</v>
      </c>
    </row>
    <row r="6175" spans="1:30" x14ac:dyDescent="0.35">
      <c r="A6175" s="7">
        <v>43239</v>
      </c>
      <c r="B6175" t="s">
        <v>30</v>
      </c>
      <c r="C6175">
        <v>201</v>
      </c>
      <c r="D6175">
        <v>3</v>
      </c>
      <c r="E6175">
        <v>1</v>
      </c>
      <c r="F6175" t="s">
        <v>1139</v>
      </c>
      <c r="G6175" t="s">
        <v>32</v>
      </c>
      <c r="H6175" t="s">
        <v>33</v>
      </c>
      <c r="I6175" t="s">
        <v>43</v>
      </c>
      <c r="J6175" t="s">
        <v>92</v>
      </c>
      <c r="K6175" t="s">
        <v>36</v>
      </c>
      <c r="L6175" t="s">
        <v>45</v>
      </c>
      <c r="AB6175" t="s">
        <v>1136</v>
      </c>
      <c r="AC6175" t="s">
        <v>41</v>
      </c>
    </row>
    <row r="6176" spans="1:30" x14ac:dyDescent="0.35">
      <c r="A6176" s="7">
        <v>43239</v>
      </c>
      <c r="B6176" t="s">
        <v>30</v>
      </c>
      <c r="C6176">
        <v>201</v>
      </c>
      <c r="D6176">
        <v>7</v>
      </c>
      <c r="E6176">
        <v>2</v>
      </c>
      <c r="F6176" t="s">
        <v>1139</v>
      </c>
      <c r="G6176" t="s">
        <v>32</v>
      </c>
      <c r="H6176" t="s">
        <v>33</v>
      </c>
      <c r="I6176" t="s">
        <v>43</v>
      </c>
      <c r="J6176" t="s">
        <v>44</v>
      </c>
      <c r="K6176" t="s">
        <v>36</v>
      </c>
      <c r="L6176" t="s">
        <v>45</v>
      </c>
      <c r="M6176">
        <v>0</v>
      </c>
      <c r="N6176">
        <v>0</v>
      </c>
      <c r="O6176">
        <v>2562</v>
      </c>
      <c r="P6176">
        <v>2561</v>
      </c>
      <c r="Q6176">
        <f>35-13</f>
        <v>22</v>
      </c>
      <c r="R6176" t="s">
        <v>1028</v>
      </c>
      <c r="S6176" t="s">
        <v>102</v>
      </c>
      <c r="AB6176" t="s">
        <v>1136</v>
      </c>
      <c r="AC6176" t="s">
        <v>41</v>
      </c>
    </row>
    <row r="6177" spans="1:29" x14ac:dyDescent="0.35">
      <c r="A6177" s="7">
        <v>43239</v>
      </c>
      <c r="B6177" t="s">
        <v>30</v>
      </c>
      <c r="C6177">
        <v>201</v>
      </c>
      <c r="D6177">
        <v>10</v>
      </c>
      <c r="E6177">
        <v>1</v>
      </c>
      <c r="F6177" t="s">
        <v>1139</v>
      </c>
      <c r="G6177" t="s">
        <v>32</v>
      </c>
      <c r="H6177" t="s">
        <v>33</v>
      </c>
      <c r="I6177" t="s">
        <v>43</v>
      </c>
      <c r="J6177" t="s">
        <v>35</v>
      </c>
      <c r="K6177" t="s">
        <v>36</v>
      </c>
      <c r="L6177" t="s">
        <v>45</v>
      </c>
      <c r="M6177">
        <v>0</v>
      </c>
      <c r="N6177">
        <v>1</v>
      </c>
      <c r="O6177">
        <v>39723</v>
      </c>
      <c r="P6177">
        <v>39722</v>
      </c>
      <c r="Q6177">
        <f>34-13</f>
        <v>21</v>
      </c>
      <c r="R6177" t="s">
        <v>1028</v>
      </c>
      <c r="S6177" t="s">
        <v>102</v>
      </c>
      <c r="AB6177" t="s">
        <v>1136</v>
      </c>
      <c r="AC6177" t="s">
        <v>41</v>
      </c>
    </row>
    <row r="6178" spans="1:29" x14ac:dyDescent="0.35">
      <c r="A6178" s="7">
        <v>43239</v>
      </c>
      <c r="B6178" t="s">
        <v>30</v>
      </c>
      <c r="C6178">
        <v>202</v>
      </c>
      <c r="D6178">
        <v>5</v>
      </c>
      <c r="E6178">
        <v>1</v>
      </c>
      <c r="F6178" t="s">
        <v>1139</v>
      </c>
      <c r="G6178" t="s">
        <v>32</v>
      </c>
      <c r="H6178" t="s">
        <v>33</v>
      </c>
      <c r="I6178" t="s">
        <v>43</v>
      </c>
      <c r="J6178" t="s">
        <v>35</v>
      </c>
      <c r="K6178" t="s">
        <v>36</v>
      </c>
      <c r="L6178" t="s">
        <v>37</v>
      </c>
      <c r="M6178">
        <v>0</v>
      </c>
      <c r="N6178">
        <v>1</v>
      </c>
      <c r="O6178">
        <v>39720</v>
      </c>
      <c r="P6178">
        <v>39721</v>
      </c>
      <c r="Q6178">
        <f>36-13</f>
        <v>23</v>
      </c>
      <c r="R6178" t="s">
        <v>38</v>
      </c>
      <c r="AB6178" t="s">
        <v>1136</v>
      </c>
      <c r="AC6178" t="s">
        <v>41</v>
      </c>
    </row>
    <row r="6179" spans="1:29" x14ac:dyDescent="0.35">
      <c r="A6179" s="7">
        <v>43239</v>
      </c>
      <c r="B6179" t="s">
        <v>30</v>
      </c>
      <c r="C6179">
        <v>202</v>
      </c>
      <c r="D6179">
        <v>5</v>
      </c>
      <c r="E6179">
        <v>2</v>
      </c>
      <c r="F6179" t="s">
        <v>1139</v>
      </c>
      <c r="G6179" t="s">
        <v>32</v>
      </c>
      <c r="H6179" t="s">
        <v>33</v>
      </c>
      <c r="I6179" t="s">
        <v>43</v>
      </c>
      <c r="J6179" t="s">
        <v>44</v>
      </c>
      <c r="K6179" t="s">
        <v>36</v>
      </c>
      <c r="L6179" t="s">
        <v>45</v>
      </c>
      <c r="M6179">
        <v>0</v>
      </c>
      <c r="N6179">
        <v>0</v>
      </c>
      <c r="O6179">
        <v>2560</v>
      </c>
      <c r="P6179">
        <v>2559</v>
      </c>
      <c r="Q6179">
        <f>31-13</f>
        <v>18</v>
      </c>
      <c r="R6179" t="s">
        <v>77</v>
      </c>
      <c r="S6179" t="s">
        <v>39</v>
      </c>
      <c r="AB6179" t="s">
        <v>1136</v>
      </c>
      <c r="AC6179" t="s">
        <v>41</v>
      </c>
    </row>
    <row r="6180" spans="1:29" x14ac:dyDescent="0.35">
      <c r="A6180" s="7">
        <v>43239</v>
      </c>
      <c r="B6180" t="s">
        <v>30</v>
      </c>
      <c r="C6180">
        <v>203</v>
      </c>
      <c r="D6180">
        <v>9</v>
      </c>
      <c r="E6180">
        <v>1</v>
      </c>
      <c r="F6180" t="s">
        <v>1139</v>
      </c>
      <c r="G6180" t="s">
        <v>32</v>
      </c>
      <c r="H6180" t="s">
        <v>33</v>
      </c>
      <c r="I6180" t="s">
        <v>43</v>
      </c>
      <c r="J6180" t="s">
        <v>44</v>
      </c>
      <c r="K6180" t="s">
        <v>36</v>
      </c>
      <c r="L6180" t="s">
        <v>45</v>
      </c>
      <c r="M6180">
        <v>0</v>
      </c>
      <c r="N6180">
        <v>0</v>
      </c>
      <c r="O6180">
        <v>2571</v>
      </c>
      <c r="P6180">
        <v>2568</v>
      </c>
      <c r="R6180" t="s">
        <v>77</v>
      </c>
      <c r="S6180" t="s">
        <v>39</v>
      </c>
      <c r="AB6180" t="s">
        <v>1136</v>
      </c>
      <c r="AC6180" t="s">
        <v>41</v>
      </c>
    </row>
    <row r="6181" spans="1:29" x14ac:dyDescent="0.35">
      <c r="A6181" s="7">
        <v>43239</v>
      </c>
      <c r="B6181" t="s">
        <v>30</v>
      </c>
      <c r="C6181">
        <v>203</v>
      </c>
      <c r="D6181">
        <v>9</v>
      </c>
      <c r="E6181">
        <v>1</v>
      </c>
      <c r="F6181" t="s">
        <v>1139</v>
      </c>
      <c r="G6181" t="s">
        <v>32</v>
      </c>
      <c r="H6181" t="s">
        <v>33</v>
      </c>
      <c r="I6181" t="s">
        <v>43</v>
      </c>
      <c r="J6181" t="s">
        <v>92</v>
      </c>
      <c r="AB6181" t="s">
        <v>1136</v>
      </c>
      <c r="AC6181" t="s">
        <v>41</v>
      </c>
    </row>
    <row r="6182" spans="1:29" x14ac:dyDescent="0.35">
      <c r="A6182" s="7">
        <v>43239</v>
      </c>
      <c r="B6182" t="s">
        <v>30</v>
      </c>
      <c r="C6182">
        <v>202</v>
      </c>
      <c r="D6182">
        <v>2</v>
      </c>
      <c r="E6182">
        <v>1</v>
      </c>
      <c r="F6182" t="s">
        <v>1139</v>
      </c>
      <c r="G6182" t="s">
        <v>32</v>
      </c>
      <c r="H6182" t="s">
        <v>33</v>
      </c>
      <c r="I6182" t="s">
        <v>34</v>
      </c>
      <c r="J6182" t="s">
        <v>56</v>
      </c>
      <c r="K6182" t="s">
        <v>36</v>
      </c>
      <c r="AB6182" t="s">
        <v>1136</v>
      </c>
      <c r="AC6182" t="s">
        <v>41</v>
      </c>
    </row>
    <row r="6183" spans="1:29" x14ac:dyDescent="0.35">
      <c r="A6183" s="7">
        <v>43239</v>
      </c>
      <c r="B6183" t="s">
        <v>30</v>
      </c>
      <c r="C6183">
        <v>201</v>
      </c>
      <c r="D6183">
        <v>4</v>
      </c>
      <c r="E6183">
        <v>2</v>
      </c>
      <c r="F6183" t="s">
        <v>1139</v>
      </c>
      <c r="G6183" t="s">
        <v>32</v>
      </c>
      <c r="H6183" t="s">
        <v>33</v>
      </c>
      <c r="I6183" t="s">
        <v>58</v>
      </c>
      <c r="J6183" t="s">
        <v>35</v>
      </c>
      <c r="K6183" t="s">
        <v>36</v>
      </c>
      <c r="L6183" t="s">
        <v>45</v>
      </c>
      <c r="M6183">
        <v>0</v>
      </c>
      <c r="N6183">
        <v>1</v>
      </c>
      <c r="O6183">
        <v>39727</v>
      </c>
      <c r="P6183">
        <v>39726</v>
      </c>
      <c r="Q6183">
        <f>55-14</f>
        <v>41</v>
      </c>
      <c r="R6183" t="s">
        <v>77</v>
      </c>
      <c r="S6183" t="s">
        <v>39</v>
      </c>
      <c r="AB6183" t="s">
        <v>1136</v>
      </c>
      <c r="AC6183" t="s">
        <v>41</v>
      </c>
    </row>
    <row r="6184" spans="1:29" x14ac:dyDescent="0.35">
      <c r="A6184" s="7">
        <v>43239</v>
      </c>
      <c r="B6184" t="s">
        <v>30</v>
      </c>
      <c r="C6184">
        <v>201</v>
      </c>
      <c r="D6184">
        <v>7</v>
      </c>
      <c r="E6184">
        <v>1</v>
      </c>
      <c r="F6184" t="s">
        <v>1139</v>
      </c>
      <c r="G6184" t="s">
        <v>32</v>
      </c>
      <c r="H6184" t="s">
        <v>33</v>
      </c>
      <c r="I6184" t="s">
        <v>58</v>
      </c>
      <c r="J6184" t="s">
        <v>35</v>
      </c>
      <c r="K6184" t="s">
        <v>36</v>
      </c>
      <c r="L6184" t="s">
        <v>37</v>
      </c>
      <c r="M6184">
        <v>0</v>
      </c>
      <c r="N6184">
        <v>1</v>
      </c>
      <c r="O6184">
        <v>39725</v>
      </c>
      <c r="P6184">
        <v>39724</v>
      </c>
      <c r="Q6184">
        <f>40-14</f>
        <v>26</v>
      </c>
      <c r="R6184" t="s">
        <v>38</v>
      </c>
      <c r="AB6184" t="s">
        <v>1136</v>
      </c>
      <c r="AC6184" t="s">
        <v>41</v>
      </c>
    </row>
    <row r="6185" spans="1:29" x14ac:dyDescent="0.35">
      <c r="A6185" s="7">
        <v>43239</v>
      </c>
      <c r="B6185" t="s">
        <v>30</v>
      </c>
      <c r="C6185">
        <v>201</v>
      </c>
      <c r="D6185">
        <v>4</v>
      </c>
      <c r="E6185">
        <v>1</v>
      </c>
      <c r="F6185" t="s">
        <v>1139</v>
      </c>
      <c r="G6185" t="s">
        <v>32</v>
      </c>
      <c r="H6185" t="s">
        <v>33</v>
      </c>
      <c r="I6185" t="s">
        <v>59</v>
      </c>
      <c r="M6185">
        <v>0</v>
      </c>
      <c r="AB6185" t="s">
        <v>1136</v>
      </c>
      <c r="AC6185" t="s">
        <v>41</v>
      </c>
    </row>
    <row r="6186" spans="1:29" x14ac:dyDescent="0.35">
      <c r="A6186" s="7">
        <v>43239</v>
      </c>
      <c r="B6186" t="s">
        <v>30</v>
      </c>
      <c r="C6186">
        <v>202</v>
      </c>
      <c r="D6186">
        <v>6</v>
      </c>
      <c r="E6186">
        <v>1</v>
      </c>
      <c r="F6186" t="s">
        <v>1139</v>
      </c>
      <c r="G6186" t="s">
        <v>32</v>
      </c>
      <c r="H6186" t="s">
        <v>33</v>
      </c>
      <c r="I6186" t="s">
        <v>59</v>
      </c>
      <c r="AB6186" t="s">
        <v>1136</v>
      </c>
      <c r="AC6186" t="s">
        <v>41</v>
      </c>
    </row>
    <row r="6187" spans="1:29" x14ac:dyDescent="0.35">
      <c r="A6187" s="7">
        <v>43239</v>
      </c>
      <c r="B6187" t="s">
        <v>30</v>
      </c>
      <c r="C6187">
        <v>203</v>
      </c>
      <c r="D6187">
        <v>3</v>
      </c>
      <c r="E6187">
        <v>1</v>
      </c>
      <c r="F6187" t="s">
        <v>1139</v>
      </c>
      <c r="G6187" t="s">
        <v>32</v>
      </c>
      <c r="H6187" t="s">
        <v>33</v>
      </c>
      <c r="I6187" t="s">
        <v>59</v>
      </c>
      <c r="AB6187" t="s">
        <v>1136</v>
      </c>
      <c r="AC6187" t="s">
        <v>41</v>
      </c>
    </row>
    <row r="6188" spans="1:29" x14ac:dyDescent="0.35">
      <c r="A6188" s="7">
        <v>43239</v>
      </c>
      <c r="B6188" t="s">
        <v>30</v>
      </c>
      <c r="C6188">
        <v>203</v>
      </c>
      <c r="D6188">
        <v>3</v>
      </c>
      <c r="E6188">
        <v>2</v>
      </c>
      <c r="F6188" t="s">
        <v>1139</v>
      </c>
      <c r="G6188" t="s">
        <v>32</v>
      </c>
      <c r="H6188" t="s">
        <v>33</v>
      </c>
      <c r="I6188" t="s">
        <v>59</v>
      </c>
      <c r="AB6188" t="s">
        <v>1136</v>
      </c>
      <c r="AC6188" t="s">
        <v>41</v>
      </c>
    </row>
    <row r="6189" spans="1:29" x14ac:dyDescent="0.35">
      <c r="A6189" s="7">
        <v>43239</v>
      </c>
      <c r="B6189" t="s">
        <v>30</v>
      </c>
      <c r="C6189">
        <v>304</v>
      </c>
      <c r="D6189">
        <v>4</v>
      </c>
      <c r="E6189">
        <v>1</v>
      </c>
      <c r="F6189" t="s">
        <v>1139</v>
      </c>
      <c r="G6189" t="s">
        <v>32</v>
      </c>
      <c r="H6189" t="s">
        <v>33</v>
      </c>
      <c r="I6189" t="s">
        <v>59</v>
      </c>
      <c r="AB6189" t="s">
        <v>1136</v>
      </c>
      <c r="AC6189" t="s">
        <v>41</v>
      </c>
    </row>
    <row r="6190" spans="1:29" x14ac:dyDescent="0.35">
      <c r="A6190" s="7">
        <v>43239</v>
      </c>
      <c r="B6190" t="s">
        <v>30</v>
      </c>
      <c r="C6190">
        <v>304</v>
      </c>
      <c r="D6190">
        <v>7</v>
      </c>
      <c r="E6190">
        <v>1</v>
      </c>
      <c r="F6190" t="s">
        <v>1139</v>
      </c>
      <c r="G6190" t="s">
        <v>32</v>
      </c>
      <c r="H6190" t="s">
        <v>33</v>
      </c>
      <c r="I6190" t="s">
        <v>59</v>
      </c>
      <c r="AB6190" t="s">
        <v>1136</v>
      </c>
      <c r="AC6190" t="s">
        <v>41</v>
      </c>
    </row>
    <row r="6191" spans="1:29" x14ac:dyDescent="0.35">
      <c r="A6191" s="7">
        <v>43240</v>
      </c>
      <c r="B6191" t="s">
        <v>30</v>
      </c>
      <c r="C6191">
        <v>203</v>
      </c>
      <c r="D6191">
        <v>5</v>
      </c>
      <c r="E6191">
        <v>1</v>
      </c>
      <c r="F6191" t="s">
        <v>1139</v>
      </c>
      <c r="G6191" t="s">
        <v>32</v>
      </c>
      <c r="H6191" t="s">
        <v>33</v>
      </c>
      <c r="I6191" t="s">
        <v>43</v>
      </c>
      <c r="J6191" t="s">
        <v>44</v>
      </c>
      <c r="K6191" t="s">
        <v>36</v>
      </c>
      <c r="L6191" t="s">
        <v>45</v>
      </c>
      <c r="M6191">
        <v>0</v>
      </c>
      <c r="N6191">
        <v>0</v>
      </c>
      <c r="O6191">
        <v>2571</v>
      </c>
      <c r="P6191">
        <v>2568</v>
      </c>
      <c r="Q6191">
        <f>39-14</f>
        <v>25</v>
      </c>
      <c r="R6191" t="s">
        <v>77</v>
      </c>
      <c r="S6191" t="s">
        <v>39</v>
      </c>
      <c r="AB6191" t="s">
        <v>1136</v>
      </c>
      <c r="AC6191" t="s">
        <v>41</v>
      </c>
    </row>
    <row r="6192" spans="1:29" x14ac:dyDescent="0.35">
      <c r="A6192" s="7">
        <v>43240</v>
      </c>
      <c r="B6192" t="s">
        <v>30</v>
      </c>
      <c r="C6192">
        <v>304</v>
      </c>
      <c r="D6192">
        <v>4</v>
      </c>
      <c r="E6192">
        <v>1</v>
      </c>
      <c r="F6192" t="s">
        <v>1139</v>
      </c>
      <c r="G6192" t="s">
        <v>32</v>
      </c>
      <c r="H6192" t="s">
        <v>33</v>
      </c>
      <c r="I6192" t="s">
        <v>43</v>
      </c>
      <c r="J6192" t="s">
        <v>35</v>
      </c>
      <c r="K6192" t="s">
        <v>36</v>
      </c>
      <c r="L6192" t="s">
        <v>45</v>
      </c>
      <c r="M6192">
        <v>0</v>
      </c>
      <c r="N6192">
        <v>1</v>
      </c>
      <c r="O6192">
        <v>39711</v>
      </c>
      <c r="P6192">
        <v>39710</v>
      </c>
      <c r="Q6192">
        <f>48-14</f>
        <v>34</v>
      </c>
      <c r="R6192" t="s">
        <v>1028</v>
      </c>
      <c r="S6192" t="s">
        <v>102</v>
      </c>
      <c r="AB6192" t="s">
        <v>1136</v>
      </c>
      <c r="AC6192" t="s">
        <v>41</v>
      </c>
    </row>
    <row r="6193" spans="1:29" x14ac:dyDescent="0.35">
      <c r="A6193" s="7">
        <v>43240</v>
      </c>
      <c r="B6193" t="s">
        <v>30</v>
      </c>
      <c r="C6193">
        <v>304</v>
      </c>
      <c r="D6193">
        <v>9</v>
      </c>
      <c r="E6193">
        <v>1</v>
      </c>
      <c r="F6193" t="s">
        <v>1139</v>
      </c>
      <c r="G6193" t="s">
        <v>32</v>
      </c>
      <c r="H6193" t="s">
        <v>33</v>
      </c>
      <c r="I6193" t="s">
        <v>43</v>
      </c>
      <c r="J6193" t="s">
        <v>35</v>
      </c>
      <c r="K6193" t="s">
        <v>36</v>
      </c>
      <c r="L6193" t="s">
        <v>37</v>
      </c>
      <c r="M6193">
        <v>0</v>
      </c>
      <c r="N6193">
        <v>1</v>
      </c>
      <c r="O6193">
        <v>39709</v>
      </c>
      <c r="P6193">
        <v>39708</v>
      </c>
      <c r="Q6193">
        <f>36-14</f>
        <v>22</v>
      </c>
      <c r="R6193" t="s">
        <v>38</v>
      </c>
      <c r="AB6193" t="s">
        <v>1136</v>
      </c>
      <c r="AC6193" t="s">
        <v>41</v>
      </c>
    </row>
    <row r="6194" spans="1:29" x14ac:dyDescent="0.35">
      <c r="A6194" s="7">
        <v>43240</v>
      </c>
      <c r="B6194" t="s">
        <v>30</v>
      </c>
      <c r="C6194">
        <v>201</v>
      </c>
      <c r="D6194">
        <v>4</v>
      </c>
      <c r="E6194">
        <v>1</v>
      </c>
      <c r="F6194" t="s">
        <v>1139</v>
      </c>
      <c r="G6194" t="s">
        <v>32</v>
      </c>
      <c r="H6194" t="s">
        <v>33</v>
      </c>
      <c r="I6194" t="s">
        <v>58</v>
      </c>
      <c r="J6194" t="s">
        <v>44</v>
      </c>
      <c r="K6194" t="s">
        <v>36</v>
      </c>
      <c r="L6194" t="s">
        <v>37</v>
      </c>
      <c r="M6194">
        <v>0</v>
      </c>
      <c r="N6194">
        <v>0</v>
      </c>
      <c r="O6194">
        <v>39725</v>
      </c>
      <c r="P6194">
        <v>39724</v>
      </c>
      <c r="Q6194">
        <f>39-15</f>
        <v>24</v>
      </c>
      <c r="R6194" t="s">
        <v>38</v>
      </c>
      <c r="AB6194" t="s">
        <v>1136</v>
      </c>
      <c r="AC6194" t="s">
        <v>41</v>
      </c>
    </row>
    <row r="6195" spans="1:29" x14ac:dyDescent="0.35">
      <c r="A6195" s="7">
        <v>43240</v>
      </c>
      <c r="B6195" t="s">
        <v>30</v>
      </c>
      <c r="C6195">
        <v>304</v>
      </c>
      <c r="D6195">
        <v>2</v>
      </c>
      <c r="E6195">
        <v>1</v>
      </c>
      <c r="F6195" t="s">
        <v>1139</v>
      </c>
      <c r="G6195" t="s">
        <v>32</v>
      </c>
      <c r="H6195" t="s">
        <v>33</v>
      </c>
      <c r="I6195" t="s">
        <v>58</v>
      </c>
      <c r="J6195" t="s">
        <v>35</v>
      </c>
      <c r="K6195" t="s">
        <v>36</v>
      </c>
      <c r="L6195" t="s">
        <v>37</v>
      </c>
      <c r="M6195">
        <v>0</v>
      </c>
      <c r="N6195">
        <v>1</v>
      </c>
      <c r="O6195">
        <v>39712</v>
      </c>
      <c r="Q6195">
        <f>45-16</f>
        <v>29</v>
      </c>
      <c r="R6195" t="s">
        <v>38</v>
      </c>
      <c r="AB6195" t="s">
        <v>1136</v>
      </c>
      <c r="AC6195" t="s">
        <v>41</v>
      </c>
    </row>
    <row r="6196" spans="1:29" x14ac:dyDescent="0.35">
      <c r="A6196" s="7">
        <v>43240</v>
      </c>
      <c r="B6196" t="s">
        <v>30</v>
      </c>
      <c r="C6196">
        <v>304</v>
      </c>
      <c r="D6196">
        <v>8</v>
      </c>
      <c r="E6196">
        <v>1</v>
      </c>
      <c r="F6196" t="s">
        <v>1139</v>
      </c>
      <c r="G6196" t="s">
        <v>32</v>
      </c>
      <c r="H6196" t="s">
        <v>33</v>
      </c>
      <c r="I6196" t="s">
        <v>1029</v>
      </c>
      <c r="J6196" t="s">
        <v>66</v>
      </c>
      <c r="K6196" t="s">
        <v>36</v>
      </c>
      <c r="L6196" t="s">
        <v>45</v>
      </c>
      <c r="AB6196" t="s">
        <v>1136</v>
      </c>
      <c r="AC6196" t="s">
        <v>41</v>
      </c>
    </row>
    <row r="6197" spans="1:29" x14ac:dyDescent="0.35">
      <c r="A6197" s="7">
        <v>43240</v>
      </c>
      <c r="B6197" t="s">
        <v>30</v>
      </c>
      <c r="C6197">
        <v>201</v>
      </c>
      <c r="D6197">
        <v>5</v>
      </c>
      <c r="E6197">
        <v>1</v>
      </c>
      <c r="F6197" t="s">
        <v>1139</v>
      </c>
      <c r="G6197" t="s">
        <v>32</v>
      </c>
      <c r="H6197" t="s">
        <v>33</v>
      </c>
      <c r="I6197" t="s">
        <v>84</v>
      </c>
      <c r="AB6197" t="s">
        <v>1136</v>
      </c>
      <c r="AC6197" t="s">
        <v>41</v>
      </c>
    </row>
    <row r="6198" spans="1:29" x14ac:dyDescent="0.35">
      <c r="A6198" s="7">
        <v>43240</v>
      </c>
      <c r="B6198" t="s">
        <v>30</v>
      </c>
      <c r="C6198">
        <v>201</v>
      </c>
      <c r="D6198">
        <v>7</v>
      </c>
      <c r="E6198">
        <v>1</v>
      </c>
      <c r="F6198" t="s">
        <v>1139</v>
      </c>
      <c r="G6198" t="s">
        <v>32</v>
      </c>
      <c r="H6198" t="s">
        <v>33</v>
      </c>
      <c r="I6198" t="s">
        <v>84</v>
      </c>
      <c r="AB6198" t="s">
        <v>1136</v>
      </c>
      <c r="AC6198" t="s">
        <v>41</v>
      </c>
    </row>
    <row r="6199" spans="1:29" x14ac:dyDescent="0.35">
      <c r="A6199" s="7">
        <v>43240</v>
      </c>
      <c r="B6199" t="s">
        <v>30</v>
      </c>
      <c r="C6199">
        <v>201</v>
      </c>
      <c r="D6199">
        <v>9</v>
      </c>
      <c r="E6199">
        <v>1</v>
      </c>
      <c r="F6199" t="s">
        <v>1139</v>
      </c>
      <c r="G6199" t="s">
        <v>32</v>
      </c>
      <c r="H6199" t="s">
        <v>33</v>
      </c>
      <c r="I6199" t="s">
        <v>84</v>
      </c>
      <c r="AB6199" t="s">
        <v>1136</v>
      </c>
      <c r="AC6199" t="s">
        <v>41</v>
      </c>
    </row>
    <row r="6200" spans="1:29" x14ac:dyDescent="0.35">
      <c r="A6200" s="7">
        <v>43240</v>
      </c>
      <c r="B6200" t="s">
        <v>30</v>
      </c>
      <c r="C6200">
        <v>202</v>
      </c>
      <c r="D6200">
        <v>1</v>
      </c>
      <c r="E6200">
        <v>1</v>
      </c>
      <c r="F6200" t="s">
        <v>1139</v>
      </c>
      <c r="G6200" t="s">
        <v>32</v>
      </c>
      <c r="H6200" t="s">
        <v>33</v>
      </c>
      <c r="I6200" t="s">
        <v>59</v>
      </c>
      <c r="AB6200" t="s">
        <v>1136</v>
      </c>
      <c r="AC6200" t="s">
        <v>41</v>
      </c>
    </row>
    <row r="6201" spans="1:29" x14ac:dyDescent="0.35">
      <c r="A6201" s="7">
        <v>43240</v>
      </c>
      <c r="B6201" t="s">
        <v>30</v>
      </c>
      <c r="C6201">
        <v>202</v>
      </c>
      <c r="D6201">
        <v>4</v>
      </c>
      <c r="E6201">
        <v>1</v>
      </c>
      <c r="F6201" t="s">
        <v>1139</v>
      </c>
      <c r="G6201" t="s">
        <v>32</v>
      </c>
      <c r="H6201" t="s">
        <v>33</v>
      </c>
      <c r="I6201" t="s">
        <v>59</v>
      </c>
      <c r="AB6201" t="s">
        <v>1136</v>
      </c>
      <c r="AC6201" t="s">
        <v>41</v>
      </c>
    </row>
    <row r="6202" spans="1:29" x14ac:dyDescent="0.35">
      <c r="A6202" s="7">
        <v>43240</v>
      </c>
      <c r="B6202" t="s">
        <v>30</v>
      </c>
      <c r="C6202">
        <v>202</v>
      </c>
      <c r="D6202">
        <v>5</v>
      </c>
      <c r="E6202">
        <v>1</v>
      </c>
      <c r="F6202" t="s">
        <v>1139</v>
      </c>
      <c r="G6202" t="s">
        <v>32</v>
      </c>
      <c r="H6202" t="s">
        <v>33</v>
      </c>
      <c r="I6202" t="s">
        <v>59</v>
      </c>
      <c r="AB6202" t="s">
        <v>1136</v>
      </c>
      <c r="AC6202" t="s">
        <v>41</v>
      </c>
    </row>
    <row r="6203" spans="1:29" x14ac:dyDescent="0.35">
      <c r="A6203" s="7">
        <v>43240</v>
      </c>
      <c r="B6203" t="s">
        <v>30</v>
      </c>
      <c r="C6203">
        <v>203</v>
      </c>
      <c r="D6203">
        <v>9</v>
      </c>
      <c r="E6203">
        <v>1</v>
      </c>
      <c r="F6203" t="s">
        <v>1139</v>
      </c>
      <c r="G6203" t="s">
        <v>32</v>
      </c>
      <c r="H6203" t="s">
        <v>33</v>
      </c>
      <c r="I6203" t="s">
        <v>59</v>
      </c>
      <c r="AB6203" t="s">
        <v>1136</v>
      </c>
      <c r="AC6203" t="s">
        <v>41</v>
      </c>
    </row>
    <row r="6204" spans="1:29" x14ac:dyDescent="0.35">
      <c r="A6204" s="7">
        <v>43240</v>
      </c>
      <c r="B6204" t="s">
        <v>30</v>
      </c>
      <c r="C6204">
        <v>304</v>
      </c>
      <c r="D6204">
        <v>6</v>
      </c>
      <c r="E6204">
        <v>1</v>
      </c>
      <c r="F6204" t="s">
        <v>1139</v>
      </c>
      <c r="G6204" t="s">
        <v>32</v>
      </c>
      <c r="H6204" t="s">
        <v>33</v>
      </c>
      <c r="I6204" t="s">
        <v>59</v>
      </c>
      <c r="AB6204" t="s">
        <v>1136</v>
      </c>
      <c r="AC6204" t="s">
        <v>41</v>
      </c>
    </row>
    <row r="6205" spans="1:29" x14ac:dyDescent="0.35">
      <c r="A6205" s="7">
        <v>43242</v>
      </c>
      <c r="B6205" t="s">
        <v>30</v>
      </c>
      <c r="C6205">
        <v>111</v>
      </c>
      <c r="D6205">
        <v>3</v>
      </c>
      <c r="E6205">
        <v>1</v>
      </c>
      <c r="F6205" t="s">
        <v>1139</v>
      </c>
      <c r="G6205" t="s">
        <v>32</v>
      </c>
      <c r="H6205" t="s">
        <v>33</v>
      </c>
      <c r="I6205" t="s">
        <v>43</v>
      </c>
      <c r="J6205" t="s">
        <v>35</v>
      </c>
      <c r="K6205" t="s">
        <v>36</v>
      </c>
      <c r="L6205" t="s">
        <v>45</v>
      </c>
      <c r="M6205">
        <v>0</v>
      </c>
      <c r="N6205">
        <v>1</v>
      </c>
      <c r="O6205">
        <v>39714</v>
      </c>
      <c r="P6205">
        <v>39713</v>
      </c>
      <c r="Q6205">
        <f>43.5-13</f>
        <v>30.5</v>
      </c>
      <c r="R6205" t="s">
        <v>1028</v>
      </c>
      <c r="S6205" t="s">
        <v>102</v>
      </c>
      <c r="AB6205" t="s">
        <v>1136</v>
      </c>
      <c r="AC6205" t="s">
        <v>1140</v>
      </c>
    </row>
    <row r="6206" spans="1:29" x14ac:dyDescent="0.35">
      <c r="A6206" s="7">
        <v>43242</v>
      </c>
      <c r="B6206" t="s">
        <v>30</v>
      </c>
      <c r="C6206">
        <v>113</v>
      </c>
      <c r="D6206">
        <v>9</v>
      </c>
      <c r="E6206">
        <v>1</v>
      </c>
      <c r="F6206" t="s">
        <v>1139</v>
      </c>
      <c r="G6206" t="s">
        <v>32</v>
      </c>
      <c r="H6206" t="s">
        <v>33</v>
      </c>
      <c r="I6206" t="s">
        <v>43</v>
      </c>
      <c r="J6206" t="s">
        <v>35</v>
      </c>
      <c r="K6206" t="s">
        <v>36</v>
      </c>
      <c r="L6206" t="s">
        <v>37</v>
      </c>
      <c r="M6206">
        <v>0</v>
      </c>
      <c r="N6206">
        <v>1</v>
      </c>
      <c r="O6206">
        <v>39717</v>
      </c>
      <c r="P6206">
        <v>39716</v>
      </c>
      <c r="Q6206">
        <f>36.5-13</f>
        <v>23.5</v>
      </c>
      <c r="R6206" t="s">
        <v>38</v>
      </c>
      <c r="AB6206" t="s">
        <v>1136</v>
      </c>
      <c r="AC6206" t="s">
        <v>1140</v>
      </c>
    </row>
    <row r="6207" spans="1:29" x14ac:dyDescent="0.35">
      <c r="A6207" s="7">
        <v>43242</v>
      </c>
      <c r="B6207" t="s">
        <v>30</v>
      </c>
      <c r="C6207">
        <v>303</v>
      </c>
      <c r="D6207">
        <v>4</v>
      </c>
      <c r="E6207">
        <v>2</v>
      </c>
      <c r="F6207" t="s">
        <v>1129</v>
      </c>
      <c r="G6207" t="s">
        <v>32</v>
      </c>
      <c r="H6207" t="s">
        <v>33</v>
      </c>
      <c r="I6207" t="s">
        <v>43</v>
      </c>
      <c r="J6207" t="s">
        <v>44</v>
      </c>
      <c r="K6207" t="s">
        <v>36</v>
      </c>
      <c r="L6207" t="s">
        <v>45</v>
      </c>
      <c r="M6207">
        <v>0</v>
      </c>
      <c r="N6207">
        <v>0</v>
      </c>
      <c r="O6207">
        <v>2903</v>
      </c>
      <c r="P6207">
        <v>2901</v>
      </c>
      <c r="Q6207">
        <f>33-12</f>
        <v>21</v>
      </c>
      <c r="R6207" t="s">
        <v>1028</v>
      </c>
      <c r="S6207" t="s">
        <v>102</v>
      </c>
      <c r="AB6207" t="s">
        <v>60</v>
      </c>
      <c r="AC6207" t="s">
        <v>87</v>
      </c>
    </row>
    <row r="6208" spans="1:29" x14ac:dyDescent="0.35">
      <c r="A6208" s="7">
        <v>43242</v>
      </c>
      <c r="B6208" t="s">
        <v>30</v>
      </c>
      <c r="C6208">
        <v>401</v>
      </c>
      <c r="D6208">
        <v>3</v>
      </c>
      <c r="E6208">
        <v>1</v>
      </c>
      <c r="F6208" t="s">
        <v>1129</v>
      </c>
      <c r="G6208" t="s">
        <v>32</v>
      </c>
      <c r="H6208" t="s">
        <v>33</v>
      </c>
      <c r="I6208" t="s">
        <v>43</v>
      </c>
      <c r="J6208" t="s">
        <v>44</v>
      </c>
      <c r="K6208" t="s">
        <v>36</v>
      </c>
      <c r="L6208" t="s">
        <v>45</v>
      </c>
      <c r="M6208">
        <v>0</v>
      </c>
      <c r="N6208">
        <v>0</v>
      </c>
      <c r="O6208">
        <v>2911</v>
      </c>
      <c r="P6208">
        <v>2910</v>
      </c>
      <c r="Q6208">
        <f>30-14</f>
        <v>16</v>
      </c>
      <c r="R6208" t="s">
        <v>46</v>
      </c>
      <c r="S6208" t="s">
        <v>39</v>
      </c>
      <c r="AB6208" t="s">
        <v>60</v>
      </c>
      <c r="AC6208" t="s">
        <v>87</v>
      </c>
    </row>
    <row r="6209" spans="1:29" x14ac:dyDescent="0.35">
      <c r="A6209" s="7">
        <v>43242</v>
      </c>
      <c r="B6209" t="s">
        <v>30</v>
      </c>
      <c r="C6209">
        <v>501</v>
      </c>
      <c r="D6209">
        <v>5</v>
      </c>
      <c r="E6209">
        <v>2</v>
      </c>
      <c r="F6209" t="s">
        <v>1129</v>
      </c>
      <c r="G6209" t="s">
        <v>32</v>
      </c>
      <c r="H6209" t="s">
        <v>33</v>
      </c>
      <c r="I6209" t="s">
        <v>43</v>
      </c>
      <c r="J6209" t="s">
        <v>35</v>
      </c>
      <c r="K6209" t="s">
        <v>36</v>
      </c>
      <c r="L6209" t="s">
        <v>45</v>
      </c>
      <c r="M6209">
        <v>0</v>
      </c>
      <c r="N6209">
        <v>1</v>
      </c>
      <c r="O6209">
        <v>2953</v>
      </c>
      <c r="P6209">
        <v>2952</v>
      </c>
      <c r="Q6209">
        <f>35-13</f>
        <v>22</v>
      </c>
      <c r="R6209" t="s">
        <v>46</v>
      </c>
      <c r="S6209" t="s">
        <v>39</v>
      </c>
      <c r="AB6209" t="s">
        <v>60</v>
      </c>
      <c r="AC6209" t="s">
        <v>87</v>
      </c>
    </row>
    <row r="6210" spans="1:29" x14ac:dyDescent="0.35">
      <c r="A6210" s="7">
        <v>43242</v>
      </c>
      <c r="B6210" t="s">
        <v>30</v>
      </c>
      <c r="C6210">
        <v>503</v>
      </c>
      <c r="D6210">
        <v>5</v>
      </c>
      <c r="E6210">
        <v>1</v>
      </c>
      <c r="F6210" t="s">
        <v>1129</v>
      </c>
      <c r="G6210" t="s">
        <v>32</v>
      </c>
      <c r="H6210" t="s">
        <v>33</v>
      </c>
      <c r="I6210" t="s">
        <v>43</v>
      </c>
      <c r="J6210" t="s">
        <v>44</v>
      </c>
      <c r="K6210" t="s">
        <v>36</v>
      </c>
      <c r="L6210" t="s">
        <v>37</v>
      </c>
      <c r="M6210">
        <v>0</v>
      </c>
      <c r="N6210">
        <v>1</v>
      </c>
      <c r="O6210">
        <v>2902</v>
      </c>
      <c r="P6210">
        <v>2954</v>
      </c>
      <c r="Q6210">
        <f>37-13</f>
        <v>24</v>
      </c>
      <c r="R6210" t="s">
        <v>64</v>
      </c>
      <c r="AB6210" t="s">
        <v>60</v>
      </c>
      <c r="AC6210" t="s">
        <v>87</v>
      </c>
    </row>
    <row r="6211" spans="1:29" x14ac:dyDescent="0.35">
      <c r="A6211" s="7">
        <v>43242</v>
      </c>
      <c r="B6211" t="s">
        <v>30</v>
      </c>
      <c r="C6211">
        <v>701</v>
      </c>
      <c r="D6211">
        <v>4</v>
      </c>
      <c r="E6211">
        <v>2</v>
      </c>
      <c r="F6211" t="s">
        <v>1020</v>
      </c>
      <c r="G6211" t="s">
        <v>32</v>
      </c>
      <c r="H6211" t="s">
        <v>33</v>
      </c>
      <c r="I6211" t="s">
        <v>43</v>
      </c>
      <c r="J6211" t="s">
        <v>35</v>
      </c>
      <c r="K6211" t="s">
        <v>36</v>
      </c>
      <c r="L6211" t="s">
        <v>45</v>
      </c>
      <c r="M6211">
        <v>0</v>
      </c>
      <c r="N6211">
        <v>1</v>
      </c>
      <c r="O6211">
        <v>2471</v>
      </c>
      <c r="P6211">
        <v>2470</v>
      </c>
      <c r="Q6211">
        <f>39-13</f>
        <v>26</v>
      </c>
      <c r="R6211" t="s">
        <v>1028</v>
      </c>
      <c r="S6211" t="s">
        <v>102</v>
      </c>
      <c r="AB6211" t="s">
        <v>60</v>
      </c>
      <c r="AC6211" t="s">
        <v>87</v>
      </c>
    </row>
    <row r="6212" spans="1:29" x14ac:dyDescent="0.35">
      <c r="A6212" s="7">
        <v>43242</v>
      </c>
      <c r="B6212" t="s">
        <v>30</v>
      </c>
      <c r="C6212">
        <v>113</v>
      </c>
      <c r="D6212">
        <v>10</v>
      </c>
      <c r="E6212">
        <v>1</v>
      </c>
      <c r="F6212" t="s">
        <v>1139</v>
      </c>
      <c r="G6212" t="s">
        <v>32</v>
      </c>
      <c r="H6212" t="s">
        <v>33</v>
      </c>
      <c r="I6212" t="s">
        <v>34</v>
      </c>
      <c r="J6212" t="s">
        <v>35</v>
      </c>
      <c r="K6212" t="s">
        <v>36</v>
      </c>
      <c r="L6212" t="s">
        <v>45</v>
      </c>
      <c r="M6212">
        <v>0</v>
      </c>
      <c r="N6212">
        <v>1</v>
      </c>
      <c r="O6212">
        <v>39715</v>
      </c>
      <c r="Q6212">
        <f>220-120</f>
        <v>100</v>
      </c>
      <c r="R6212" t="s">
        <v>79</v>
      </c>
      <c r="S6212" t="s">
        <v>39</v>
      </c>
      <c r="AB6212" t="s">
        <v>1136</v>
      </c>
      <c r="AC6212" t="s">
        <v>1140</v>
      </c>
    </row>
    <row r="6213" spans="1:29" x14ac:dyDescent="0.35">
      <c r="A6213" s="7">
        <v>43242</v>
      </c>
      <c r="B6213" t="s">
        <v>30</v>
      </c>
      <c r="C6213">
        <v>503</v>
      </c>
      <c r="D6213">
        <v>6</v>
      </c>
      <c r="E6213">
        <v>1</v>
      </c>
      <c r="F6213" t="s">
        <v>1129</v>
      </c>
      <c r="G6213" t="s">
        <v>32</v>
      </c>
      <c r="H6213" t="s">
        <v>33</v>
      </c>
      <c r="I6213" t="s">
        <v>58</v>
      </c>
      <c r="J6213" t="s">
        <v>44</v>
      </c>
      <c r="K6213" t="s">
        <v>36</v>
      </c>
      <c r="L6213" t="s">
        <v>45</v>
      </c>
      <c r="M6213">
        <v>0</v>
      </c>
      <c r="N6213">
        <v>0</v>
      </c>
      <c r="P6213">
        <v>2908</v>
      </c>
      <c r="Q6213">
        <f>41-13</f>
        <v>28</v>
      </c>
      <c r="R6213" t="s">
        <v>79</v>
      </c>
      <c r="S6213" t="s">
        <v>39</v>
      </c>
      <c r="AB6213" t="s">
        <v>60</v>
      </c>
      <c r="AC6213" t="s">
        <v>87</v>
      </c>
    </row>
    <row r="6214" spans="1:29" x14ac:dyDescent="0.35">
      <c r="A6214" s="7">
        <v>43242</v>
      </c>
      <c r="B6214" t="s">
        <v>30</v>
      </c>
      <c r="C6214">
        <v>401</v>
      </c>
      <c r="D6214">
        <v>9</v>
      </c>
      <c r="E6214">
        <v>1</v>
      </c>
      <c r="F6214" t="s">
        <v>1129</v>
      </c>
      <c r="G6214" t="s">
        <v>32</v>
      </c>
      <c r="H6214" t="s">
        <v>33</v>
      </c>
      <c r="I6214" t="s">
        <v>65</v>
      </c>
      <c r="J6214" t="s">
        <v>56</v>
      </c>
      <c r="AB6214" t="s">
        <v>60</v>
      </c>
      <c r="AC6214" t="s">
        <v>87</v>
      </c>
    </row>
    <row r="6215" spans="1:29" x14ac:dyDescent="0.35">
      <c r="A6215" s="7">
        <v>43242</v>
      </c>
      <c r="B6215" t="s">
        <v>30</v>
      </c>
      <c r="C6215">
        <v>703</v>
      </c>
      <c r="D6215">
        <v>5</v>
      </c>
      <c r="E6215">
        <v>2</v>
      </c>
      <c r="F6215" t="s">
        <v>1020</v>
      </c>
      <c r="G6215" t="s">
        <v>32</v>
      </c>
      <c r="H6215" t="s">
        <v>33</v>
      </c>
      <c r="I6215" t="s">
        <v>84</v>
      </c>
      <c r="AB6215" t="s">
        <v>60</v>
      </c>
      <c r="AC6215" t="s">
        <v>87</v>
      </c>
    </row>
    <row r="6216" spans="1:29" x14ac:dyDescent="0.35">
      <c r="A6216" s="7">
        <v>43242</v>
      </c>
      <c r="B6216" t="s">
        <v>30</v>
      </c>
      <c r="C6216">
        <v>303</v>
      </c>
      <c r="D6216">
        <v>2</v>
      </c>
      <c r="E6216">
        <v>1</v>
      </c>
      <c r="F6216" t="s">
        <v>1129</v>
      </c>
      <c r="G6216" t="s">
        <v>32</v>
      </c>
      <c r="H6216" t="s">
        <v>33</v>
      </c>
      <c r="I6216" t="s">
        <v>59</v>
      </c>
      <c r="AB6216" t="s">
        <v>60</v>
      </c>
      <c r="AC6216" t="s">
        <v>87</v>
      </c>
    </row>
    <row r="6217" spans="1:29" x14ac:dyDescent="0.35">
      <c r="A6217" s="7">
        <v>43242</v>
      </c>
      <c r="B6217" t="s">
        <v>30</v>
      </c>
      <c r="C6217">
        <v>303</v>
      </c>
      <c r="D6217">
        <v>2</v>
      </c>
      <c r="E6217">
        <v>2</v>
      </c>
      <c r="F6217" t="s">
        <v>1129</v>
      </c>
      <c r="G6217" t="s">
        <v>32</v>
      </c>
      <c r="H6217" t="s">
        <v>33</v>
      </c>
      <c r="I6217" t="s">
        <v>59</v>
      </c>
      <c r="AB6217" t="s">
        <v>60</v>
      </c>
      <c r="AC6217" t="s">
        <v>87</v>
      </c>
    </row>
    <row r="6218" spans="1:29" x14ac:dyDescent="0.35">
      <c r="A6218" s="7">
        <v>43242</v>
      </c>
      <c r="B6218" t="s">
        <v>30</v>
      </c>
      <c r="C6218">
        <v>303</v>
      </c>
      <c r="D6218">
        <v>3</v>
      </c>
      <c r="E6218">
        <v>1</v>
      </c>
      <c r="F6218" t="s">
        <v>1129</v>
      </c>
      <c r="G6218" t="s">
        <v>32</v>
      </c>
      <c r="H6218" t="s">
        <v>33</v>
      </c>
      <c r="I6218" t="s">
        <v>59</v>
      </c>
      <c r="AB6218" t="s">
        <v>60</v>
      </c>
      <c r="AC6218" t="s">
        <v>87</v>
      </c>
    </row>
    <row r="6219" spans="1:29" x14ac:dyDescent="0.35">
      <c r="A6219" s="7">
        <v>43242</v>
      </c>
      <c r="B6219" t="s">
        <v>30</v>
      </c>
      <c r="C6219">
        <v>303</v>
      </c>
      <c r="D6219">
        <v>4</v>
      </c>
      <c r="E6219">
        <v>1</v>
      </c>
      <c r="F6219" t="s">
        <v>1129</v>
      </c>
      <c r="G6219" t="s">
        <v>32</v>
      </c>
      <c r="H6219" t="s">
        <v>33</v>
      </c>
      <c r="I6219" t="s">
        <v>59</v>
      </c>
      <c r="AB6219" t="s">
        <v>60</v>
      </c>
      <c r="AC6219" t="s">
        <v>87</v>
      </c>
    </row>
    <row r="6220" spans="1:29" x14ac:dyDescent="0.35">
      <c r="A6220" s="7">
        <v>43242</v>
      </c>
      <c r="B6220" t="s">
        <v>30</v>
      </c>
      <c r="C6220">
        <v>303</v>
      </c>
      <c r="D6220">
        <v>10</v>
      </c>
      <c r="E6220">
        <v>1</v>
      </c>
      <c r="F6220" t="s">
        <v>1129</v>
      </c>
      <c r="G6220" t="s">
        <v>32</v>
      </c>
      <c r="H6220" t="s">
        <v>33</v>
      </c>
      <c r="I6220" t="s">
        <v>59</v>
      </c>
      <c r="AB6220" t="s">
        <v>60</v>
      </c>
      <c r="AC6220" t="s">
        <v>87</v>
      </c>
    </row>
    <row r="6221" spans="1:29" x14ac:dyDescent="0.35">
      <c r="A6221" s="7">
        <v>43242</v>
      </c>
      <c r="B6221" t="s">
        <v>30</v>
      </c>
      <c r="C6221">
        <v>304</v>
      </c>
      <c r="D6221">
        <v>5</v>
      </c>
      <c r="E6221">
        <v>1</v>
      </c>
      <c r="F6221" t="s">
        <v>1139</v>
      </c>
      <c r="G6221" t="s">
        <v>32</v>
      </c>
      <c r="H6221" t="s">
        <v>33</v>
      </c>
      <c r="I6221" t="s">
        <v>59</v>
      </c>
      <c r="AB6221" t="s">
        <v>1136</v>
      </c>
      <c r="AC6221" t="s">
        <v>1140</v>
      </c>
    </row>
    <row r="6222" spans="1:29" x14ac:dyDescent="0.35">
      <c r="A6222" s="7">
        <v>43242</v>
      </c>
      <c r="B6222" t="s">
        <v>30</v>
      </c>
      <c r="C6222">
        <v>401</v>
      </c>
      <c r="D6222">
        <v>3</v>
      </c>
      <c r="E6222">
        <v>2</v>
      </c>
      <c r="F6222" t="s">
        <v>1129</v>
      </c>
      <c r="G6222" t="s">
        <v>32</v>
      </c>
      <c r="H6222" t="s">
        <v>33</v>
      </c>
      <c r="I6222" t="s">
        <v>59</v>
      </c>
      <c r="AB6222" t="s">
        <v>60</v>
      </c>
      <c r="AC6222" t="s">
        <v>87</v>
      </c>
    </row>
    <row r="6223" spans="1:29" x14ac:dyDescent="0.35">
      <c r="A6223" s="7">
        <v>43242</v>
      </c>
      <c r="B6223" t="s">
        <v>30</v>
      </c>
      <c r="C6223">
        <v>501</v>
      </c>
      <c r="D6223">
        <v>3</v>
      </c>
      <c r="E6223">
        <v>1</v>
      </c>
      <c r="F6223" t="s">
        <v>1129</v>
      </c>
      <c r="G6223" t="s">
        <v>32</v>
      </c>
      <c r="H6223" t="s">
        <v>33</v>
      </c>
      <c r="I6223" t="s">
        <v>59</v>
      </c>
      <c r="AB6223" t="s">
        <v>60</v>
      </c>
      <c r="AC6223" t="s">
        <v>87</v>
      </c>
    </row>
    <row r="6224" spans="1:29" x14ac:dyDescent="0.35">
      <c r="A6224" s="7">
        <v>43242</v>
      </c>
      <c r="B6224" t="s">
        <v>30</v>
      </c>
      <c r="C6224">
        <v>501</v>
      </c>
      <c r="D6224">
        <v>4</v>
      </c>
      <c r="E6224">
        <v>1</v>
      </c>
      <c r="F6224" t="s">
        <v>1129</v>
      </c>
      <c r="G6224" t="s">
        <v>32</v>
      </c>
      <c r="H6224" t="s">
        <v>33</v>
      </c>
      <c r="I6224" t="s">
        <v>59</v>
      </c>
      <c r="AB6224" t="s">
        <v>60</v>
      </c>
      <c r="AC6224" t="s">
        <v>87</v>
      </c>
    </row>
    <row r="6225" spans="1:29" x14ac:dyDescent="0.35">
      <c r="A6225" s="7">
        <v>43242</v>
      </c>
      <c r="B6225" t="s">
        <v>30</v>
      </c>
      <c r="C6225">
        <v>501</v>
      </c>
      <c r="D6225">
        <v>5</v>
      </c>
      <c r="E6225">
        <v>1</v>
      </c>
      <c r="F6225" t="s">
        <v>1129</v>
      </c>
      <c r="G6225" t="s">
        <v>32</v>
      </c>
      <c r="H6225" t="s">
        <v>33</v>
      </c>
      <c r="I6225" t="s">
        <v>59</v>
      </c>
      <c r="AB6225" t="s">
        <v>60</v>
      </c>
      <c r="AC6225" t="s">
        <v>87</v>
      </c>
    </row>
    <row r="6226" spans="1:29" x14ac:dyDescent="0.35">
      <c r="A6226" s="7">
        <v>43242</v>
      </c>
      <c r="B6226" t="s">
        <v>30</v>
      </c>
      <c r="C6226">
        <v>501</v>
      </c>
      <c r="D6226">
        <v>9</v>
      </c>
      <c r="E6226">
        <v>1</v>
      </c>
      <c r="F6226" t="s">
        <v>1129</v>
      </c>
      <c r="G6226" t="s">
        <v>32</v>
      </c>
      <c r="H6226" t="s">
        <v>33</v>
      </c>
      <c r="I6226" t="s">
        <v>59</v>
      </c>
      <c r="AB6226" t="s">
        <v>60</v>
      </c>
      <c r="AC6226" t="s">
        <v>87</v>
      </c>
    </row>
    <row r="6227" spans="1:29" x14ac:dyDescent="0.35">
      <c r="A6227" s="7">
        <v>43242</v>
      </c>
      <c r="B6227" t="s">
        <v>30</v>
      </c>
      <c r="C6227">
        <v>501</v>
      </c>
      <c r="D6227">
        <v>9</v>
      </c>
      <c r="E6227">
        <v>2</v>
      </c>
      <c r="F6227" t="s">
        <v>1129</v>
      </c>
      <c r="G6227" t="s">
        <v>32</v>
      </c>
      <c r="H6227" t="s">
        <v>33</v>
      </c>
      <c r="I6227" t="s">
        <v>59</v>
      </c>
      <c r="AB6227" t="s">
        <v>60</v>
      </c>
      <c r="AC6227" t="s">
        <v>87</v>
      </c>
    </row>
    <row r="6228" spans="1:29" x14ac:dyDescent="0.35">
      <c r="A6228" s="7">
        <v>43242</v>
      </c>
      <c r="B6228" t="s">
        <v>30</v>
      </c>
      <c r="C6228">
        <v>501</v>
      </c>
      <c r="D6228">
        <v>10</v>
      </c>
      <c r="E6228">
        <v>1</v>
      </c>
      <c r="F6228" t="s">
        <v>1129</v>
      </c>
      <c r="G6228" t="s">
        <v>32</v>
      </c>
      <c r="H6228" t="s">
        <v>33</v>
      </c>
      <c r="I6228" t="s">
        <v>59</v>
      </c>
      <c r="AB6228" t="s">
        <v>60</v>
      </c>
      <c r="AC6228" t="s">
        <v>87</v>
      </c>
    </row>
    <row r="6229" spans="1:29" x14ac:dyDescent="0.35">
      <c r="A6229" s="7">
        <v>43242</v>
      </c>
      <c r="B6229" t="s">
        <v>30</v>
      </c>
      <c r="C6229">
        <v>503</v>
      </c>
      <c r="D6229">
        <v>5</v>
      </c>
      <c r="E6229">
        <v>2</v>
      </c>
      <c r="F6229" t="s">
        <v>1129</v>
      </c>
      <c r="G6229" t="s">
        <v>32</v>
      </c>
      <c r="H6229" t="s">
        <v>33</v>
      </c>
      <c r="I6229" t="s">
        <v>59</v>
      </c>
      <c r="AB6229" t="s">
        <v>60</v>
      </c>
      <c r="AC6229" t="s">
        <v>87</v>
      </c>
    </row>
    <row r="6230" spans="1:29" x14ac:dyDescent="0.35">
      <c r="A6230" s="7">
        <v>43242</v>
      </c>
      <c r="B6230" t="s">
        <v>30</v>
      </c>
      <c r="C6230">
        <v>503</v>
      </c>
      <c r="D6230">
        <v>7</v>
      </c>
      <c r="E6230">
        <v>1</v>
      </c>
      <c r="F6230" t="s">
        <v>1129</v>
      </c>
      <c r="G6230" t="s">
        <v>32</v>
      </c>
      <c r="H6230" t="s">
        <v>33</v>
      </c>
      <c r="I6230" t="s">
        <v>59</v>
      </c>
      <c r="AB6230" t="s">
        <v>60</v>
      </c>
      <c r="AC6230" t="s">
        <v>87</v>
      </c>
    </row>
    <row r="6231" spans="1:29" x14ac:dyDescent="0.35">
      <c r="A6231" s="7">
        <v>43242</v>
      </c>
      <c r="B6231" t="s">
        <v>30</v>
      </c>
      <c r="C6231">
        <v>503</v>
      </c>
      <c r="D6231">
        <v>8</v>
      </c>
      <c r="E6231">
        <v>1</v>
      </c>
      <c r="F6231" t="s">
        <v>1129</v>
      </c>
      <c r="G6231" t="s">
        <v>32</v>
      </c>
      <c r="H6231" t="s">
        <v>33</v>
      </c>
      <c r="I6231" t="s">
        <v>59</v>
      </c>
      <c r="AB6231" t="s">
        <v>60</v>
      </c>
      <c r="AC6231" t="s">
        <v>87</v>
      </c>
    </row>
    <row r="6232" spans="1:29" x14ac:dyDescent="0.35">
      <c r="A6232" s="7">
        <v>43242</v>
      </c>
      <c r="B6232" t="s">
        <v>30</v>
      </c>
      <c r="C6232">
        <v>701</v>
      </c>
      <c r="D6232">
        <v>1</v>
      </c>
      <c r="E6232">
        <v>1</v>
      </c>
      <c r="F6232" t="s">
        <v>1020</v>
      </c>
      <c r="G6232" t="s">
        <v>32</v>
      </c>
      <c r="H6232" t="s">
        <v>33</v>
      </c>
      <c r="I6232" t="s">
        <v>59</v>
      </c>
      <c r="AB6232" t="s">
        <v>60</v>
      </c>
      <c r="AC6232" t="s">
        <v>87</v>
      </c>
    </row>
    <row r="6233" spans="1:29" x14ac:dyDescent="0.35">
      <c r="A6233" s="7">
        <v>43242</v>
      </c>
      <c r="B6233" t="s">
        <v>30</v>
      </c>
      <c r="C6233">
        <v>701</v>
      </c>
      <c r="D6233">
        <v>1</v>
      </c>
      <c r="E6233">
        <v>2</v>
      </c>
      <c r="F6233" t="s">
        <v>1020</v>
      </c>
      <c r="G6233" t="s">
        <v>32</v>
      </c>
      <c r="H6233" t="s">
        <v>33</v>
      </c>
      <c r="I6233" t="s">
        <v>59</v>
      </c>
      <c r="AB6233" t="s">
        <v>60</v>
      </c>
      <c r="AC6233" t="s">
        <v>87</v>
      </c>
    </row>
    <row r="6234" spans="1:29" x14ac:dyDescent="0.35">
      <c r="A6234" s="7">
        <v>43242</v>
      </c>
      <c r="B6234" t="s">
        <v>30</v>
      </c>
      <c r="C6234">
        <v>701</v>
      </c>
      <c r="D6234">
        <v>2</v>
      </c>
      <c r="E6234">
        <v>1</v>
      </c>
      <c r="F6234" t="s">
        <v>1020</v>
      </c>
      <c r="G6234" t="s">
        <v>32</v>
      </c>
      <c r="H6234" t="s">
        <v>33</v>
      </c>
      <c r="I6234" t="s">
        <v>59</v>
      </c>
      <c r="AB6234" t="s">
        <v>60</v>
      </c>
      <c r="AC6234" t="s">
        <v>87</v>
      </c>
    </row>
    <row r="6235" spans="1:29" x14ac:dyDescent="0.35">
      <c r="A6235" s="7">
        <v>43242</v>
      </c>
      <c r="B6235" t="s">
        <v>30</v>
      </c>
      <c r="C6235">
        <v>701</v>
      </c>
      <c r="D6235">
        <v>3</v>
      </c>
      <c r="E6235">
        <v>1</v>
      </c>
      <c r="F6235" t="s">
        <v>1020</v>
      </c>
      <c r="G6235" t="s">
        <v>32</v>
      </c>
      <c r="H6235" t="s">
        <v>33</v>
      </c>
      <c r="I6235" t="s">
        <v>59</v>
      </c>
      <c r="AB6235" t="s">
        <v>60</v>
      </c>
      <c r="AC6235" t="s">
        <v>87</v>
      </c>
    </row>
    <row r="6236" spans="1:29" x14ac:dyDescent="0.35">
      <c r="A6236" s="7">
        <v>43242</v>
      </c>
      <c r="B6236" t="s">
        <v>30</v>
      </c>
      <c r="C6236">
        <v>701</v>
      </c>
      <c r="D6236">
        <v>3</v>
      </c>
      <c r="E6236">
        <v>2</v>
      </c>
      <c r="F6236" t="s">
        <v>1020</v>
      </c>
      <c r="G6236" t="s">
        <v>32</v>
      </c>
      <c r="H6236" t="s">
        <v>33</v>
      </c>
      <c r="I6236" t="s">
        <v>59</v>
      </c>
      <c r="AB6236" t="s">
        <v>60</v>
      </c>
      <c r="AC6236" t="s">
        <v>87</v>
      </c>
    </row>
    <row r="6237" spans="1:29" x14ac:dyDescent="0.35">
      <c r="A6237" s="7">
        <v>43242</v>
      </c>
      <c r="B6237" t="s">
        <v>30</v>
      </c>
      <c r="C6237">
        <v>701</v>
      </c>
      <c r="D6237">
        <v>4</v>
      </c>
      <c r="E6237">
        <v>1</v>
      </c>
      <c r="F6237" t="s">
        <v>1020</v>
      </c>
      <c r="G6237" t="s">
        <v>32</v>
      </c>
      <c r="H6237" t="s">
        <v>33</v>
      </c>
      <c r="I6237" t="s">
        <v>59</v>
      </c>
      <c r="AB6237" t="s">
        <v>60</v>
      </c>
      <c r="AC6237" t="s">
        <v>87</v>
      </c>
    </row>
    <row r="6238" spans="1:29" x14ac:dyDescent="0.35">
      <c r="A6238" s="7">
        <v>43242</v>
      </c>
      <c r="B6238" t="s">
        <v>30</v>
      </c>
      <c r="C6238">
        <v>703</v>
      </c>
      <c r="D6238">
        <v>5</v>
      </c>
      <c r="E6238">
        <v>1</v>
      </c>
      <c r="F6238" t="s">
        <v>1020</v>
      </c>
      <c r="G6238" t="s">
        <v>32</v>
      </c>
      <c r="H6238" t="s">
        <v>33</v>
      </c>
      <c r="I6238" t="s">
        <v>59</v>
      </c>
      <c r="AB6238" t="s">
        <v>60</v>
      </c>
      <c r="AC6238" t="s">
        <v>87</v>
      </c>
    </row>
    <row r="6239" spans="1:29" x14ac:dyDescent="0.35">
      <c r="A6239" s="7">
        <v>43242</v>
      </c>
      <c r="B6239" t="s">
        <v>30</v>
      </c>
      <c r="C6239">
        <v>304</v>
      </c>
      <c r="D6239">
        <v>2</v>
      </c>
      <c r="E6239">
        <v>1</v>
      </c>
      <c r="F6239" t="s">
        <v>1139</v>
      </c>
      <c r="G6239" t="s">
        <v>32</v>
      </c>
      <c r="H6239" t="s">
        <v>33</v>
      </c>
      <c r="I6239" t="s">
        <v>94</v>
      </c>
      <c r="J6239" t="s">
        <v>35</v>
      </c>
      <c r="K6239" t="s">
        <v>36</v>
      </c>
      <c r="L6239" t="s">
        <v>37</v>
      </c>
      <c r="M6239">
        <v>0</v>
      </c>
      <c r="N6239">
        <v>1</v>
      </c>
      <c r="O6239">
        <v>39718</v>
      </c>
      <c r="Q6239">
        <f>37-14</f>
        <v>23</v>
      </c>
      <c r="R6239" t="s">
        <v>38</v>
      </c>
      <c r="AB6239" t="s">
        <v>1136</v>
      </c>
      <c r="AC6239" t="s">
        <v>1140</v>
      </c>
    </row>
    <row r="6240" spans="1:29" x14ac:dyDescent="0.35">
      <c r="A6240" s="7">
        <v>43242</v>
      </c>
      <c r="B6240" t="s">
        <v>30</v>
      </c>
      <c r="C6240">
        <v>304</v>
      </c>
      <c r="D6240">
        <v>9</v>
      </c>
      <c r="E6240">
        <v>1</v>
      </c>
      <c r="F6240" t="s">
        <v>1139</v>
      </c>
      <c r="G6240" t="s">
        <v>32</v>
      </c>
      <c r="H6240" t="s">
        <v>33</v>
      </c>
      <c r="I6240" t="s">
        <v>94</v>
      </c>
      <c r="J6240" t="s">
        <v>35</v>
      </c>
      <c r="K6240" t="s">
        <v>36</v>
      </c>
      <c r="L6240" t="s">
        <v>37</v>
      </c>
      <c r="M6240">
        <v>0</v>
      </c>
      <c r="N6240">
        <v>1</v>
      </c>
      <c r="O6240">
        <v>39719</v>
      </c>
      <c r="Q6240">
        <f>30-13</f>
        <v>17</v>
      </c>
      <c r="R6240" t="s">
        <v>64</v>
      </c>
      <c r="AB6240" t="s">
        <v>1136</v>
      </c>
      <c r="AC6240" t="s">
        <v>1140</v>
      </c>
    </row>
    <row r="6241" spans="1:30" x14ac:dyDescent="0.35">
      <c r="A6241" s="7">
        <v>43242</v>
      </c>
      <c r="B6241" t="s">
        <v>30</v>
      </c>
      <c r="C6241">
        <v>501</v>
      </c>
      <c r="D6241">
        <v>8</v>
      </c>
      <c r="E6241">
        <v>1</v>
      </c>
      <c r="F6241" t="s">
        <v>1129</v>
      </c>
      <c r="G6241" t="s">
        <v>32</v>
      </c>
      <c r="H6241" t="s">
        <v>33</v>
      </c>
      <c r="I6241" t="s">
        <v>94</v>
      </c>
      <c r="J6241" t="s">
        <v>96</v>
      </c>
      <c r="K6241" t="s">
        <v>36</v>
      </c>
      <c r="L6241" t="s">
        <v>37</v>
      </c>
      <c r="M6241">
        <v>0</v>
      </c>
      <c r="N6241">
        <v>1</v>
      </c>
      <c r="O6241">
        <v>2951</v>
      </c>
      <c r="Q6241">
        <f>36-13</f>
        <v>23</v>
      </c>
      <c r="R6241" t="s">
        <v>38</v>
      </c>
      <c r="AB6241" t="s">
        <v>60</v>
      </c>
      <c r="AC6241" t="s">
        <v>87</v>
      </c>
    </row>
    <row r="6242" spans="1:30" x14ac:dyDescent="0.35">
      <c r="A6242" s="7">
        <v>43243</v>
      </c>
      <c r="B6242" t="s">
        <v>30</v>
      </c>
      <c r="C6242">
        <v>111</v>
      </c>
      <c r="D6242">
        <v>2</v>
      </c>
      <c r="E6242">
        <v>1</v>
      </c>
      <c r="F6242" t="s">
        <v>1139</v>
      </c>
      <c r="G6242" t="s">
        <v>32</v>
      </c>
      <c r="H6242" t="s">
        <v>33</v>
      </c>
      <c r="I6242" t="s">
        <v>43</v>
      </c>
      <c r="J6242" t="s">
        <v>44</v>
      </c>
      <c r="K6242" t="s">
        <v>36</v>
      </c>
      <c r="L6242" t="s">
        <v>45</v>
      </c>
      <c r="M6242">
        <v>0</v>
      </c>
      <c r="N6242">
        <v>0</v>
      </c>
      <c r="O6242">
        <v>39714</v>
      </c>
      <c r="P6242">
        <v>39713</v>
      </c>
      <c r="Q6242">
        <f>45-13</f>
        <v>32</v>
      </c>
      <c r="R6242" t="s">
        <v>1028</v>
      </c>
      <c r="S6242" t="s">
        <v>102</v>
      </c>
      <c r="AB6242" t="s">
        <v>47</v>
      </c>
      <c r="AC6242" t="s">
        <v>87</v>
      </c>
    </row>
    <row r="6243" spans="1:30" x14ac:dyDescent="0.35">
      <c r="A6243" s="7">
        <v>43243</v>
      </c>
      <c r="B6243" t="s">
        <v>30</v>
      </c>
      <c r="C6243">
        <v>113</v>
      </c>
      <c r="D6243">
        <v>9</v>
      </c>
      <c r="E6243">
        <v>1</v>
      </c>
      <c r="F6243" t="s">
        <v>1139</v>
      </c>
      <c r="G6243" t="s">
        <v>32</v>
      </c>
      <c r="H6243" t="s">
        <v>33</v>
      </c>
      <c r="I6243" t="s">
        <v>43</v>
      </c>
      <c r="J6243" t="s">
        <v>44</v>
      </c>
      <c r="K6243" t="s">
        <v>36</v>
      </c>
      <c r="L6243" t="s">
        <v>37</v>
      </c>
      <c r="M6243">
        <v>0</v>
      </c>
      <c r="N6243">
        <v>0</v>
      </c>
      <c r="O6243">
        <v>39717</v>
      </c>
      <c r="P6243">
        <v>39716</v>
      </c>
      <c r="Q6243">
        <f>36.5-13</f>
        <v>23.5</v>
      </c>
      <c r="R6243" t="s">
        <v>38</v>
      </c>
      <c r="AB6243" t="s">
        <v>47</v>
      </c>
      <c r="AC6243" t="s">
        <v>87</v>
      </c>
    </row>
    <row r="6244" spans="1:30" x14ac:dyDescent="0.35">
      <c r="A6244" s="7">
        <v>43243</v>
      </c>
      <c r="B6244" t="s">
        <v>30</v>
      </c>
      <c r="C6244">
        <v>303</v>
      </c>
      <c r="D6244">
        <v>1</v>
      </c>
      <c r="E6244">
        <v>1</v>
      </c>
      <c r="F6244" t="s">
        <v>1129</v>
      </c>
      <c r="G6244" t="s">
        <v>32</v>
      </c>
      <c r="H6244" t="s">
        <v>33</v>
      </c>
      <c r="I6244" t="s">
        <v>43</v>
      </c>
      <c r="J6244" t="s">
        <v>44</v>
      </c>
      <c r="K6244" t="s">
        <v>36</v>
      </c>
      <c r="L6244" t="s">
        <v>45</v>
      </c>
      <c r="M6244">
        <v>0</v>
      </c>
      <c r="N6244">
        <v>0</v>
      </c>
      <c r="O6244">
        <v>2903</v>
      </c>
      <c r="P6244">
        <v>2901</v>
      </c>
      <c r="Q6244">
        <f>32-13</f>
        <v>19</v>
      </c>
      <c r="R6244" t="s">
        <v>1028</v>
      </c>
      <c r="S6244" t="s">
        <v>102</v>
      </c>
      <c r="AB6244" t="s">
        <v>47</v>
      </c>
      <c r="AC6244" t="s">
        <v>87</v>
      </c>
    </row>
    <row r="6245" spans="1:30" x14ac:dyDescent="0.35">
      <c r="A6245" s="7">
        <v>43243</v>
      </c>
      <c r="B6245" t="s">
        <v>30</v>
      </c>
      <c r="C6245">
        <v>401</v>
      </c>
      <c r="D6245">
        <v>3</v>
      </c>
      <c r="E6245">
        <v>1</v>
      </c>
      <c r="F6245" t="s">
        <v>1129</v>
      </c>
      <c r="G6245" t="s">
        <v>32</v>
      </c>
      <c r="H6245" t="s">
        <v>33</v>
      </c>
      <c r="I6245" t="s">
        <v>43</v>
      </c>
      <c r="J6245" t="s">
        <v>44</v>
      </c>
      <c r="K6245" t="s">
        <v>36</v>
      </c>
      <c r="L6245" t="s">
        <v>45</v>
      </c>
      <c r="M6245">
        <v>0</v>
      </c>
      <c r="N6245">
        <v>0</v>
      </c>
      <c r="O6245">
        <v>2911</v>
      </c>
      <c r="P6245">
        <v>2910</v>
      </c>
      <c r="Q6245">
        <f>29-13</f>
        <v>16</v>
      </c>
      <c r="R6245" t="s">
        <v>46</v>
      </c>
      <c r="S6245" t="s">
        <v>39</v>
      </c>
      <c r="AB6245" t="s">
        <v>47</v>
      </c>
      <c r="AC6245" t="s">
        <v>87</v>
      </c>
      <c r="AD6245" t="s">
        <v>1141</v>
      </c>
    </row>
    <row r="6246" spans="1:30" x14ac:dyDescent="0.35">
      <c r="A6246" s="7">
        <v>43243</v>
      </c>
      <c r="B6246" t="s">
        <v>30</v>
      </c>
      <c r="C6246">
        <v>402</v>
      </c>
      <c r="D6246">
        <v>1</v>
      </c>
      <c r="E6246">
        <v>1</v>
      </c>
      <c r="F6246" t="s">
        <v>1139</v>
      </c>
      <c r="G6246" t="s">
        <v>32</v>
      </c>
      <c r="H6246" t="s">
        <v>33</v>
      </c>
      <c r="I6246" t="s">
        <v>43</v>
      </c>
      <c r="J6246" t="s">
        <v>35</v>
      </c>
      <c r="K6246" t="s">
        <v>36</v>
      </c>
      <c r="L6246" t="s">
        <v>37</v>
      </c>
      <c r="M6246">
        <v>0</v>
      </c>
      <c r="N6246">
        <v>1</v>
      </c>
      <c r="O6246">
        <v>2805</v>
      </c>
      <c r="P6246">
        <v>2804</v>
      </c>
      <c r="Q6246">
        <f>32-13.5</f>
        <v>18.5</v>
      </c>
      <c r="R6246" t="s">
        <v>38</v>
      </c>
      <c r="AB6246" t="s">
        <v>47</v>
      </c>
      <c r="AC6246" t="s">
        <v>87</v>
      </c>
    </row>
    <row r="6247" spans="1:30" x14ac:dyDescent="0.35">
      <c r="A6247" s="7">
        <v>43243</v>
      </c>
      <c r="B6247" t="s">
        <v>30</v>
      </c>
      <c r="C6247">
        <v>501</v>
      </c>
      <c r="D6247">
        <v>4</v>
      </c>
      <c r="E6247">
        <v>2</v>
      </c>
      <c r="F6247" t="s">
        <v>1129</v>
      </c>
      <c r="G6247" t="s">
        <v>32</v>
      </c>
      <c r="H6247" t="s">
        <v>33</v>
      </c>
      <c r="I6247" t="s">
        <v>43</v>
      </c>
      <c r="J6247" t="s">
        <v>44</v>
      </c>
      <c r="K6247" t="s">
        <v>36</v>
      </c>
      <c r="L6247" t="s">
        <v>45</v>
      </c>
      <c r="M6247">
        <v>0</v>
      </c>
      <c r="N6247">
        <v>0</v>
      </c>
      <c r="O6247">
        <v>2953</v>
      </c>
      <c r="P6247">
        <v>2952</v>
      </c>
      <c r="Q6247">
        <f>35-16</f>
        <v>19</v>
      </c>
      <c r="R6247" t="s">
        <v>46</v>
      </c>
      <c r="S6247" t="s">
        <v>39</v>
      </c>
      <c r="AB6247" t="s">
        <v>47</v>
      </c>
      <c r="AC6247" t="s">
        <v>87</v>
      </c>
    </row>
    <row r="6248" spans="1:30" x14ac:dyDescent="0.35">
      <c r="A6248" s="7">
        <v>43243</v>
      </c>
      <c r="B6248" t="s">
        <v>30</v>
      </c>
      <c r="C6248">
        <v>501</v>
      </c>
      <c r="D6248">
        <v>9</v>
      </c>
      <c r="E6248">
        <v>1</v>
      </c>
      <c r="F6248" t="s">
        <v>1129</v>
      </c>
      <c r="G6248" t="s">
        <v>32</v>
      </c>
      <c r="H6248" t="s">
        <v>33</v>
      </c>
      <c r="I6248" t="s">
        <v>43</v>
      </c>
      <c r="J6248" t="s">
        <v>35</v>
      </c>
      <c r="K6248" t="s">
        <v>36</v>
      </c>
      <c r="L6248" t="s">
        <v>45</v>
      </c>
      <c r="M6248">
        <v>0</v>
      </c>
      <c r="N6248">
        <v>1</v>
      </c>
      <c r="O6248">
        <v>2956</v>
      </c>
      <c r="P6248">
        <v>2955</v>
      </c>
      <c r="Q6248">
        <f>31-13</f>
        <v>18</v>
      </c>
      <c r="R6248" t="s">
        <v>46</v>
      </c>
      <c r="S6248" t="s">
        <v>39</v>
      </c>
      <c r="AB6248" t="s">
        <v>47</v>
      </c>
      <c r="AC6248" t="s">
        <v>87</v>
      </c>
    </row>
    <row r="6249" spans="1:30" x14ac:dyDescent="0.35">
      <c r="A6249" s="7">
        <v>43243</v>
      </c>
      <c r="B6249" t="s">
        <v>30</v>
      </c>
      <c r="C6249">
        <v>503</v>
      </c>
      <c r="D6249">
        <v>7</v>
      </c>
      <c r="E6249">
        <v>2</v>
      </c>
      <c r="F6249" t="s">
        <v>1129</v>
      </c>
      <c r="G6249" t="s">
        <v>32</v>
      </c>
      <c r="H6249" t="s">
        <v>33</v>
      </c>
      <c r="I6249" t="s">
        <v>43</v>
      </c>
      <c r="J6249" t="s">
        <v>44</v>
      </c>
      <c r="K6249" t="s">
        <v>36</v>
      </c>
      <c r="L6249" t="s">
        <v>37</v>
      </c>
      <c r="M6249">
        <v>0</v>
      </c>
      <c r="N6249">
        <v>0</v>
      </c>
      <c r="O6249">
        <v>2902</v>
      </c>
      <c r="P6249">
        <v>2954</v>
      </c>
      <c r="Q6249">
        <f>36.5-13</f>
        <v>23.5</v>
      </c>
      <c r="R6249" t="s">
        <v>64</v>
      </c>
      <c r="AB6249" t="s">
        <v>47</v>
      </c>
      <c r="AC6249" t="s">
        <v>87</v>
      </c>
    </row>
    <row r="6250" spans="1:30" x14ac:dyDescent="0.35">
      <c r="A6250" s="7">
        <v>43243</v>
      </c>
      <c r="B6250" t="s">
        <v>30</v>
      </c>
      <c r="C6250">
        <v>701</v>
      </c>
      <c r="D6250">
        <v>1</v>
      </c>
      <c r="E6250">
        <v>1</v>
      </c>
      <c r="F6250" t="s">
        <v>1020</v>
      </c>
      <c r="G6250" t="s">
        <v>32</v>
      </c>
      <c r="H6250" t="s">
        <v>33</v>
      </c>
      <c r="I6250" t="s">
        <v>43</v>
      </c>
      <c r="J6250" t="s">
        <v>44</v>
      </c>
      <c r="K6250" t="s">
        <v>36</v>
      </c>
      <c r="L6250" t="s">
        <v>45</v>
      </c>
      <c r="M6250">
        <v>0</v>
      </c>
      <c r="N6250">
        <v>0</v>
      </c>
      <c r="O6250">
        <v>2471</v>
      </c>
      <c r="P6250">
        <v>2470</v>
      </c>
      <c r="Q6250">
        <f>36-12</f>
        <v>24</v>
      </c>
      <c r="R6250" t="s">
        <v>1028</v>
      </c>
      <c r="S6250" t="s">
        <v>102</v>
      </c>
      <c r="AB6250" t="s">
        <v>60</v>
      </c>
      <c r="AC6250" t="s">
        <v>87</v>
      </c>
    </row>
    <row r="6251" spans="1:30" x14ac:dyDescent="0.35">
      <c r="A6251" s="7">
        <v>43243</v>
      </c>
      <c r="B6251" t="s">
        <v>30</v>
      </c>
      <c r="C6251">
        <v>703</v>
      </c>
      <c r="D6251">
        <v>2</v>
      </c>
      <c r="E6251">
        <v>1</v>
      </c>
      <c r="F6251" t="s">
        <v>1020</v>
      </c>
      <c r="G6251" t="s">
        <v>32</v>
      </c>
      <c r="H6251" t="s">
        <v>33</v>
      </c>
      <c r="I6251" t="s">
        <v>43</v>
      </c>
      <c r="J6251" t="s">
        <v>44</v>
      </c>
      <c r="K6251" t="s">
        <v>36</v>
      </c>
      <c r="L6251" t="s">
        <v>45</v>
      </c>
      <c r="M6251">
        <v>0</v>
      </c>
      <c r="N6251">
        <v>0</v>
      </c>
      <c r="O6251">
        <v>39771</v>
      </c>
      <c r="P6251">
        <v>39770</v>
      </c>
      <c r="Q6251">
        <f>33-13</f>
        <v>20</v>
      </c>
      <c r="R6251" t="s">
        <v>1028</v>
      </c>
      <c r="S6251" t="s">
        <v>102</v>
      </c>
      <c r="AB6251" t="s">
        <v>60</v>
      </c>
      <c r="AC6251" t="s">
        <v>87</v>
      </c>
    </row>
    <row r="6252" spans="1:30" x14ac:dyDescent="0.35">
      <c r="A6252" s="7">
        <v>43243</v>
      </c>
      <c r="B6252" t="s">
        <v>30</v>
      </c>
      <c r="C6252">
        <v>303</v>
      </c>
      <c r="D6252">
        <v>9</v>
      </c>
      <c r="E6252">
        <v>1</v>
      </c>
      <c r="F6252" t="s">
        <v>1129</v>
      </c>
      <c r="G6252" t="s">
        <v>32</v>
      </c>
      <c r="H6252" t="s">
        <v>33</v>
      </c>
      <c r="I6252" t="s">
        <v>58</v>
      </c>
      <c r="J6252" t="s">
        <v>44</v>
      </c>
      <c r="K6252" t="s">
        <v>36</v>
      </c>
      <c r="L6252" t="s">
        <v>45</v>
      </c>
      <c r="M6252">
        <v>0</v>
      </c>
      <c r="N6252">
        <v>0</v>
      </c>
      <c r="O6252">
        <v>2914</v>
      </c>
      <c r="Q6252">
        <f>40-13</f>
        <v>27</v>
      </c>
      <c r="R6252" t="s">
        <v>46</v>
      </c>
      <c r="S6252" t="s">
        <v>39</v>
      </c>
      <c r="AB6252" t="s">
        <v>47</v>
      </c>
      <c r="AC6252" t="s">
        <v>87</v>
      </c>
    </row>
    <row r="6253" spans="1:30" x14ac:dyDescent="0.35">
      <c r="A6253" s="7">
        <v>43243</v>
      </c>
      <c r="B6253" t="s">
        <v>30</v>
      </c>
      <c r="C6253">
        <v>503</v>
      </c>
      <c r="D6253">
        <v>5</v>
      </c>
      <c r="E6253">
        <v>2</v>
      </c>
      <c r="F6253" t="s">
        <v>1129</v>
      </c>
      <c r="G6253" t="s">
        <v>32</v>
      </c>
      <c r="H6253" t="s">
        <v>33</v>
      </c>
      <c r="I6253" t="s">
        <v>58</v>
      </c>
      <c r="J6253" t="s">
        <v>44</v>
      </c>
      <c r="K6253" t="s">
        <v>36</v>
      </c>
      <c r="L6253" t="s">
        <v>45</v>
      </c>
      <c r="M6253">
        <v>0</v>
      </c>
      <c r="N6253">
        <v>0</v>
      </c>
      <c r="P6253">
        <v>2908</v>
      </c>
      <c r="Q6253">
        <f>45-16</f>
        <v>29</v>
      </c>
      <c r="R6253" t="s">
        <v>46</v>
      </c>
      <c r="S6253" t="s">
        <v>39</v>
      </c>
      <c r="AB6253" t="s">
        <v>47</v>
      </c>
      <c r="AC6253" t="s">
        <v>87</v>
      </c>
    </row>
    <row r="6254" spans="1:30" x14ac:dyDescent="0.35">
      <c r="A6254" s="7">
        <v>43243</v>
      </c>
      <c r="B6254" t="s">
        <v>30</v>
      </c>
      <c r="C6254">
        <v>303</v>
      </c>
      <c r="D6254">
        <v>3</v>
      </c>
      <c r="E6254">
        <v>1</v>
      </c>
      <c r="F6254" t="s">
        <v>1129</v>
      </c>
      <c r="G6254" t="s">
        <v>32</v>
      </c>
      <c r="H6254" t="s">
        <v>33</v>
      </c>
      <c r="I6254" t="s">
        <v>65</v>
      </c>
      <c r="J6254" t="s">
        <v>56</v>
      </c>
      <c r="K6254" t="s">
        <v>36</v>
      </c>
      <c r="AB6254" t="s">
        <v>47</v>
      </c>
      <c r="AC6254" t="s">
        <v>87</v>
      </c>
    </row>
    <row r="6255" spans="1:30" x14ac:dyDescent="0.35">
      <c r="A6255" s="7">
        <v>43243</v>
      </c>
      <c r="B6255" t="s">
        <v>30</v>
      </c>
      <c r="C6255">
        <v>701</v>
      </c>
      <c r="D6255">
        <v>5</v>
      </c>
      <c r="E6255">
        <v>1</v>
      </c>
      <c r="F6255" t="s">
        <v>1020</v>
      </c>
      <c r="G6255" t="s">
        <v>32</v>
      </c>
      <c r="H6255" t="s">
        <v>33</v>
      </c>
      <c r="I6255" t="s">
        <v>65</v>
      </c>
      <c r="J6255" t="s">
        <v>35</v>
      </c>
      <c r="K6255" t="s">
        <v>36</v>
      </c>
      <c r="L6255" t="s">
        <v>45</v>
      </c>
      <c r="M6255">
        <v>0</v>
      </c>
      <c r="N6255">
        <v>1</v>
      </c>
      <c r="O6255">
        <v>2567</v>
      </c>
      <c r="Q6255">
        <f>271-119</f>
        <v>152</v>
      </c>
      <c r="R6255" t="s">
        <v>46</v>
      </c>
      <c r="S6255" t="s">
        <v>39</v>
      </c>
      <c r="AB6255" t="s">
        <v>60</v>
      </c>
      <c r="AC6255" t="s">
        <v>87</v>
      </c>
    </row>
    <row r="6256" spans="1:30" x14ac:dyDescent="0.35">
      <c r="A6256" s="7">
        <v>43243</v>
      </c>
      <c r="B6256" t="s">
        <v>30</v>
      </c>
      <c r="C6256">
        <v>503</v>
      </c>
      <c r="D6256">
        <v>7</v>
      </c>
      <c r="E6256">
        <v>1</v>
      </c>
      <c r="F6256" t="s">
        <v>1129</v>
      </c>
      <c r="G6256" t="s">
        <v>32</v>
      </c>
      <c r="H6256" t="s">
        <v>33</v>
      </c>
      <c r="I6256" t="s">
        <v>84</v>
      </c>
      <c r="AB6256" t="s">
        <v>47</v>
      </c>
      <c r="AC6256" t="s">
        <v>87</v>
      </c>
    </row>
    <row r="6257" spans="1:29" x14ac:dyDescent="0.35">
      <c r="A6257" s="7">
        <v>43243</v>
      </c>
      <c r="B6257" t="s">
        <v>30</v>
      </c>
      <c r="C6257">
        <v>111</v>
      </c>
      <c r="D6257">
        <v>3</v>
      </c>
      <c r="E6257">
        <v>1</v>
      </c>
      <c r="F6257" t="s">
        <v>1139</v>
      </c>
      <c r="G6257" t="s">
        <v>32</v>
      </c>
      <c r="H6257" t="s">
        <v>33</v>
      </c>
      <c r="I6257" t="s">
        <v>59</v>
      </c>
      <c r="AB6257" t="s">
        <v>47</v>
      </c>
      <c r="AC6257" t="s">
        <v>87</v>
      </c>
    </row>
    <row r="6258" spans="1:29" x14ac:dyDescent="0.35">
      <c r="A6258" s="7">
        <v>43243</v>
      </c>
      <c r="B6258" t="s">
        <v>30</v>
      </c>
      <c r="C6258">
        <v>113</v>
      </c>
      <c r="D6258">
        <v>7</v>
      </c>
      <c r="E6258">
        <v>1</v>
      </c>
      <c r="F6258" t="s">
        <v>1139</v>
      </c>
      <c r="G6258" t="s">
        <v>32</v>
      </c>
      <c r="H6258" t="s">
        <v>33</v>
      </c>
      <c r="I6258" t="s">
        <v>59</v>
      </c>
      <c r="AB6258" t="s">
        <v>47</v>
      </c>
      <c r="AC6258" t="s">
        <v>87</v>
      </c>
    </row>
    <row r="6259" spans="1:29" x14ac:dyDescent="0.35">
      <c r="A6259" s="7">
        <v>43243</v>
      </c>
      <c r="B6259" t="s">
        <v>30</v>
      </c>
      <c r="C6259">
        <v>303</v>
      </c>
      <c r="D6259">
        <v>2</v>
      </c>
      <c r="E6259">
        <v>1</v>
      </c>
      <c r="F6259" t="s">
        <v>1129</v>
      </c>
      <c r="G6259" t="s">
        <v>32</v>
      </c>
      <c r="H6259" t="s">
        <v>33</v>
      </c>
      <c r="I6259" t="s">
        <v>59</v>
      </c>
      <c r="AB6259" t="s">
        <v>47</v>
      </c>
      <c r="AC6259" t="s">
        <v>87</v>
      </c>
    </row>
    <row r="6260" spans="1:29" x14ac:dyDescent="0.35">
      <c r="A6260" s="7">
        <v>43243</v>
      </c>
      <c r="B6260" t="s">
        <v>30</v>
      </c>
      <c r="C6260">
        <v>303</v>
      </c>
      <c r="D6260">
        <v>4</v>
      </c>
      <c r="E6260">
        <v>1</v>
      </c>
      <c r="F6260" t="s">
        <v>1129</v>
      </c>
      <c r="G6260" t="s">
        <v>32</v>
      </c>
      <c r="H6260" t="s">
        <v>33</v>
      </c>
      <c r="I6260" t="s">
        <v>59</v>
      </c>
      <c r="AB6260" t="s">
        <v>47</v>
      </c>
      <c r="AC6260" t="s">
        <v>87</v>
      </c>
    </row>
    <row r="6261" spans="1:29" x14ac:dyDescent="0.35">
      <c r="A6261" s="7">
        <v>43243</v>
      </c>
      <c r="B6261" t="s">
        <v>30</v>
      </c>
      <c r="C6261">
        <v>401</v>
      </c>
      <c r="D6261">
        <v>5</v>
      </c>
      <c r="E6261">
        <v>1</v>
      </c>
      <c r="F6261" t="s">
        <v>1129</v>
      </c>
      <c r="G6261" t="s">
        <v>32</v>
      </c>
      <c r="H6261" t="s">
        <v>33</v>
      </c>
      <c r="I6261" t="s">
        <v>59</v>
      </c>
      <c r="AB6261" t="s">
        <v>47</v>
      </c>
      <c r="AC6261" t="s">
        <v>87</v>
      </c>
    </row>
    <row r="6262" spans="1:29" x14ac:dyDescent="0.35">
      <c r="A6262" s="7">
        <v>43243</v>
      </c>
      <c r="B6262" t="s">
        <v>30</v>
      </c>
      <c r="C6262">
        <v>501</v>
      </c>
      <c r="D6262">
        <v>4</v>
      </c>
      <c r="E6262">
        <v>1</v>
      </c>
      <c r="F6262" t="s">
        <v>1129</v>
      </c>
      <c r="G6262" t="s">
        <v>32</v>
      </c>
      <c r="H6262" t="s">
        <v>33</v>
      </c>
      <c r="I6262" t="s">
        <v>59</v>
      </c>
      <c r="AB6262" t="s">
        <v>47</v>
      </c>
      <c r="AC6262" t="s">
        <v>87</v>
      </c>
    </row>
    <row r="6263" spans="1:29" x14ac:dyDescent="0.35">
      <c r="A6263" s="7">
        <v>43243</v>
      </c>
      <c r="B6263" t="s">
        <v>30</v>
      </c>
      <c r="C6263">
        <v>501</v>
      </c>
      <c r="D6263">
        <v>10</v>
      </c>
      <c r="E6263">
        <v>1</v>
      </c>
      <c r="F6263" t="s">
        <v>1129</v>
      </c>
      <c r="G6263" t="s">
        <v>32</v>
      </c>
      <c r="H6263" t="s">
        <v>33</v>
      </c>
      <c r="I6263" t="s">
        <v>59</v>
      </c>
      <c r="AB6263" t="s">
        <v>47</v>
      </c>
      <c r="AC6263" t="s">
        <v>87</v>
      </c>
    </row>
    <row r="6264" spans="1:29" x14ac:dyDescent="0.35">
      <c r="A6264" s="7">
        <v>43243</v>
      </c>
      <c r="B6264" t="s">
        <v>30</v>
      </c>
      <c r="C6264">
        <v>501</v>
      </c>
      <c r="D6264">
        <v>10</v>
      </c>
      <c r="E6264">
        <v>2</v>
      </c>
      <c r="F6264" t="s">
        <v>1129</v>
      </c>
      <c r="G6264" t="s">
        <v>32</v>
      </c>
      <c r="H6264" t="s">
        <v>33</v>
      </c>
      <c r="I6264" t="s">
        <v>59</v>
      </c>
      <c r="AB6264" t="s">
        <v>47</v>
      </c>
      <c r="AC6264" t="s">
        <v>87</v>
      </c>
    </row>
    <row r="6265" spans="1:29" x14ac:dyDescent="0.35">
      <c r="A6265" s="7">
        <v>43243</v>
      </c>
      <c r="B6265" t="s">
        <v>30</v>
      </c>
      <c r="C6265">
        <v>503</v>
      </c>
      <c r="D6265">
        <v>4</v>
      </c>
      <c r="E6265">
        <v>1</v>
      </c>
      <c r="F6265" t="s">
        <v>1129</v>
      </c>
      <c r="G6265" t="s">
        <v>32</v>
      </c>
      <c r="H6265" t="s">
        <v>33</v>
      </c>
      <c r="I6265" t="s">
        <v>59</v>
      </c>
      <c r="AB6265" t="s">
        <v>47</v>
      </c>
      <c r="AC6265" t="s">
        <v>87</v>
      </c>
    </row>
    <row r="6266" spans="1:29" x14ac:dyDescent="0.35">
      <c r="A6266" s="7">
        <v>43243</v>
      </c>
      <c r="B6266" t="s">
        <v>30</v>
      </c>
      <c r="C6266">
        <v>503</v>
      </c>
      <c r="D6266">
        <v>5</v>
      </c>
      <c r="E6266">
        <v>1</v>
      </c>
      <c r="F6266" t="s">
        <v>1129</v>
      </c>
      <c r="G6266" t="s">
        <v>32</v>
      </c>
      <c r="H6266" t="s">
        <v>33</v>
      </c>
      <c r="I6266" t="s">
        <v>59</v>
      </c>
      <c r="AB6266" t="s">
        <v>47</v>
      </c>
      <c r="AC6266" t="s">
        <v>87</v>
      </c>
    </row>
    <row r="6267" spans="1:29" x14ac:dyDescent="0.35">
      <c r="A6267" s="7">
        <v>43243</v>
      </c>
      <c r="B6267" t="s">
        <v>30</v>
      </c>
      <c r="C6267">
        <v>701</v>
      </c>
      <c r="D6267">
        <v>3</v>
      </c>
      <c r="E6267">
        <v>1</v>
      </c>
      <c r="F6267" t="s">
        <v>1020</v>
      </c>
      <c r="G6267" t="s">
        <v>32</v>
      </c>
      <c r="H6267" t="s">
        <v>33</v>
      </c>
      <c r="I6267" t="s">
        <v>59</v>
      </c>
      <c r="AB6267" t="s">
        <v>60</v>
      </c>
      <c r="AC6267" t="s">
        <v>87</v>
      </c>
    </row>
    <row r="6268" spans="1:29" x14ac:dyDescent="0.35">
      <c r="A6268" s="7">
        <v>43243</v>
      </c>
      <c r="B6268" t="s">
        <v>30</v>
      </c>
      <c r="C6268">
        <v>701</v>
      </c>
      <c r="D6268">
        <v>4</v>
      </c>
      <c r="E6268">
        <v>1</v>
      </c>
      <c r="F6268" t="s">
        <v>1020</v>
      </c>
      <c r="G6268" t="s">
        <v>32</v>
      </c>
      <c r="H6268" t="s">
        <v>33</v>
      </c>
      <c r="I6268" t="s">
        <v>59</v>
      </c>
      <c r="AB6268" t="s">
        <v>60</v>
      </c>
      <c r="AC6268" t="s">
        <v>87</v>
      </c>
    </row>
    <row r="6269" spans="1:29" x14ac:dyDescent="0.35">
      <c r="A6269" s="7">
        <v>43243</v>
      </c>
      <c r="B6269" t="s">
        <v>30</v>
      </c>
      <c r="C6269">
        <v>701</v>
      </c>
      <c r="D6269">
        <v>4</v>
      </c>
      <c r="E6269">
        <v>2</v>
      </c>
      <c r="F6269" t="s">
        <v>1020</v>
      </c>
      <c r="G6269" t="s">
        <v>32</v>
      </c>
      <c r="H6269" t="s">
        <v>33</v>
      </c>
      <c r="I6269" t="s">
        <v>59</v>
      </c>
      <c r="AB6269" t="s">
        <v>60</v>
      </c>
      <c r="AC6269" t="s">
        <v>87</v>
      </c>
    </row>
    <row r="6270" spans="1:29" x14ac:dyDescent="0.35">
      <c r="A6270" s="7">
        <v>43243</v>
      </c>
      <c r="B6270" t="s">
        <v>30</v>
      </c>
      <c r="C6270">
        <v>703</v>
      </c>
      <c r="D6270">
        <v>6</v>
      </c>
      <c r="E6270">
        <v>1</v>
      </c>
      <c r="F6270" t="s">
        <v>1020</v>
      </c>
      <c r="G6270" t="s">
        <v>32</v>
      </c>
      <c r="H6270" t="s">
        <v>33</v>
      </c>
      <c r="I6270" t="s">
        <v>59</v>
      </c>
      <c r="AB6270" t="s">
        <v>60</v>
      </c>
      <c r="AC6270" t="s">
        <v>87</v>
      </c>
    </row>
    <row r="6271" spans="1:29" x14ac:dyDescent="0.35">
      <c r="A6271" s="7">
        <v>43243</v>
      </c>
      <c r="B6271" t="s">
        <v>30</v>
      </c>
      <c r="C6271">
        <v>703</v>
      </c>
      <c r="D6271">
        <v>8</v>
      </c>
      <c r="E6271">
        <v>1</v>
      </c>
      <c r="F6271" t="s">
        <v>1020</v>
      </c>
      <c r="G6271" t="s">
        <v>32</v>
      </c>
      <c r="H6271" t="s">
        <v>33</v>
      </c>
      <c r="I6271" t="s">
        <v>59</v>
      </c>
      <c r="AB6271" t="s">
        <v>60</v>
      </c>
      <c r="AC6271" t="s">
        <v>87</v>
      </c>
    </row>
    <row r="6272" spans="1:29" x14ac:dyDescent="0.35">
      <c r="A6272" s="7">
        <v>43243</v>
      </c>
      <c r="B6272" t="s">
        <v>30</v>
      </c>
      <c r="C6272">
        <v>703</v>
      </c>
      <c r="D6272">
        <v>9</v>
      </c>
      <c r="E6272">
        <v>1</v>
      </c>
      <c r="F6272" t="s">
        <v>1020</v>
      </c>
      <c r="G6272" t="s">
        <v>32</v>
      </c>
      <c r="H6272" t="s">
        <v>33</v>
      </c>
      <c r="I6272" t="s">
        <v>59</v>
      </c>
      <c r="AB6272" t="s">
        <v>60</v>
      </c>
      <c r="AC6272" t="s">
        <v>87</v>
      </c>
    </row>
    <row r="6273" spans="1:30" x14ac:dyDescent="0.35">
      <c r="A6273" s="7">
        <v>43243</v>
      </c>
      <c r="B6273" t="s">
        <v>30</v>
      </c>
      <c r="C6273">
        <v>703</v>
      </c>
      <c r="D6273">
        <v>9</v>
      </c>
      <c r="E6273">
        <v>2</v>
      </c>
      <c r="F6273" t="s">
        <v>1020</v>
      </c>
      <c r="G6273" t="s">
        <v>32</v>
      </c>
      <c r="H6273" t="s">
        <v>33</v>
      </c>
      <c r="I6273" t="s">
        <v>59</v>
      </c>
      <c r="AB6273" t="s">
        <v>60</v>
      </c>
      <c r="AC6273" t="s">
        <v>87</v>
      </c>
    </row>
    <row r="6274" spans="1:30" x14ac:dyDescent="0.35">
      <c r="A6274" s="7">
        <v>43243</v>
      </c>
      <c r="B6274" t="s">
        <v>30</v>
      </c>
      <c r="C6274">
        <v>703</v>
      </c>
      <c r="D6274">
        <v>10</v>
      </c>
      <c r="E6274">
        <v>1</v>
      </c>
      <c r="F6274" t="s">
        <v>1020</v>
      </c>
      <c r="G6274" t="s">
        <v>32</v>
      </c>
      <c r="H6274" t="s">
        <v>33</v>
      </c>
      <c r="I6274" t="s">
        <v>59</v>
      </c>
      <c r="AB6274" t="s">
        <v>60</v>
      </c>
      <c r="AC6274" t="s">
        <v>87</v>
      </c>
    </row>
    <row r="6275" spans="1:30" x14ac:dyDescent="0.35">
      <c r="A6275" s="7">
        <v>43244</v>
      </c>
      <c r="B6275" t="s">
        <v>30</v>
      </c>
      <c r="C6275">
        <v>111</v>
      </c>
      <c r="D6275">
        <v>4</v>
      </c>
      <c r="E6275">
        <v>1</v>
      </c>
      <c r="F6275" t="s">
        <v>1139</v>
      </c>
      <c r="G6275" t="s">
        <v>32</v>
      </c>
      <c r="H6275" t="s">
        <v>33</v>
      </c>
      <c r="I6275" t="s">
        <v>43</v>
      </c>
      <c r="J6275" t="s">
        <v>44</v>
      </c>
      <c r="K6275" t="s">
        <v>36</v>
      </c>
      <c r="L6275" t="s">
        <v>45</v>
      </c>
      <c r="M6275">
        <v>0</v>
      </c>
      <c r="N6275">
        <v>0</v>
      </c>
      <c r="O6275">
        <v>39714</v>
      </c>
      <c r="P6275">
        <v>39713</v>
      </c>
      <c r="Q6275">
        <f>46-13</f>
        <v>33</v>
      </c>
      <c r="R6275" t="s">
        <v>1028</v>
      </c>
      <c r="S6275" t="s">
        <v>102</v>
      </c>
      <c r="AB6275" t="s">
        <v>47</v>
      </c>
      <c r="AC6275" t="s">
        <v>41</v>
      </c>
    </row>
    <row r="6276" spans="1:30" x14ac:dyDescent="0.35">
      <c r="A6276" s="7">
        <v>43244</v>
      </c>
      <c r="B6276" t="s">
        <v>30</v>
      </c>
      <c r="C6276">
        <v>113</v>
      </c>
      <c r="D6276">
        <v>2</v>
      </c>
      <c r="E6276">
        <v>1</v>
      </c>
      <c r="F6276" t="s">
        <v>1139</v>
      </c>
      <c r="G6276" t="s">
        <v>32</v>
      </c>
      <c r="H6276" t="s">
        <v>33</v>
      </c>
      <c r="I6276" t="s">
        <v>43</v>
      </c>
      <c r="J6276" t="s">
        <v>35</v>
      </c>
      <c r="K6276" t="s">
        <v>36</v>
      </c>
      <c r="L6276" t="s">
        <v>37</v>
      </c>
      <c r="M6276">
        <v>0</v>
      </c>
      <c r="N6276">
        <v>1</v>
      </c>
      <c r="O6276">
        <v>2822</v>
      </c>
      <c r="Q6276">
        <f>35-13.5</f>
        <v>21.5</v>
      </c>
      <c r="R6276" t="s">
        <v>64</v>
      </c>
      <c r="AB6276" t="s">
        <v>47</v>
      </c>
      <c r="AC6276" t="s">
        <v>41</v>
      </c>
    </row>
    <row r="6277" spans="1:30" x14ac:dyDescent="0.35">
      <c r="A6277" s="7">
        <v>43244</v>
      </c>
      <c r="B6277" t="s">
        <v>30</v>
      </c>
      <c r="C6277">
        <v>113</v>
      </c>
      <c r="D6277">
        <v>9</v>
      </c>
      <c r="E6277">
        <v>1</v>
      </c>
      <c r="F6277" t="s">
        <v>1139</v>
      </c>
      <c r="G6277" t="s">
        <v>32</v>
      </c>
      <c r="H6277" t="s">
        <v>33</v>
      </c>
      <c r="I6277" t="s">
        <v>43</v>
      </c>
      <c r="J6277" t="s">
        <v>44</v>
      </c>
      <c r="K6277" t="s">
        <v>36</v>
      </c>
      <c r="L6277" t="s">
        <v>37</v>
      </c>
      <c r="M6277">
        <v>0</v>
      </c>
      <c r="N6277">
        <v>0</v>
      </c>
      <c r="O6277">
        <v>39717</v>
      </c>
      <c r="P6277">
        <v>39716</v>
      </c>
      <c r="Q6277">
        <f>35-13.5</f>
        <v>21.5</v>
      </c>
      <c r="R6277" t="s">
        <v>38</v>
      </c>
      <c r="AB6277" t="s">
        <v>47</v>
      </c>
      <c r="AC6277" t="s">
        <v>41</v>
      </c>
    </row>
    <row r="6278" spans="1:30" x14ac:dyDescent="0.35">
      <c r="A6278" s="7">
        <v>43244</v>
      </c>
      <c r="B6278" t="s">
        <v>30</v>
      </c>
      <c r="C6278">
        <v>303</v>
      </c>
      <c r="D6278">
        <v>2</v>
      </c>
      <c r="E6278">
        <v>1</v>
      </c>
      <c r="F6278" t="s">
        <v>1129</v>
      </c>
      <c r="G6278" t="s">
        <v>32</v>
      </c>
      <c r="H6278" t="s">
        <v>33</v>
      </c>
      <c r="I6278" t="s">
        <v>43</v>
      </c>
      <c r="J6278" t="s">
        <v>44</v>
      </c>
      <c r="K6278" t="s">
        <v>36</v>
      </c>
      <c r="L6278" t="s">
        <v>45</v>
      </c>
      <c r="M6278">
        <v>0</v>
      </c>
      <c r="N6278">
        <v>0</v>
      </c>
      <c r="O6278">
        <v>2903</v>
      </c>
      <c r="P6278">
        <v>2901</v>
      </c>
      <c r="Q6278">
        <f>35-13.5</f>
        <v>21.5</v>
      </c>
      <c r="R6278" t="s">
        <v>1028</v>
      </c>
      <c r="S6278" t="s">
        <v>102</v>
      </c>
      <c r="AB6278" t="s">
        <v>47</v>
      </c>
      <c r="AC6278" t="s">
        <v>41</v>
      </c>
    </row>
    <row r="6279" spans="1:30" x14ac:dyDescent="0.35">
      <c r="A6279" s="7">
        <v>43244</v>
      </c>
      <c r="B6279" t="s">
        <v>30</v>
      </c>
      <c r="C6279">
        <v>401</v>
      </c>
      <c r="D6279">
        <v>4</v>
      </c>
      <c r="E6279">
        <v>1</v>
      </c>
      <c r="F6279" t="s">
        <v>1129</v>
      </c>
      <c r="G6279" t="s">
        <v>32</v>
      </c>
      <c r="H6279" t="s">
        <v>33</v>
      </c>
      <c r="I6279" t="s">
        <v>43</v>
      </c>
      <c r="J6279" t="s">
        <v>44</v>
      </c>
      <c r="K6279" t="s">
        <v>36</v>
      </c>
      <c r="L6279" t="s">
        <v>45</v>
      </c>
      <c r="M6279">
        <v>0</v>
      </c>
      <c r="N6279">
        <v>0</v>
      </c>
      <c r="O6279">
        <v>2911</v>
      </c>
      <c r="P6279">
        <v>2910</v>
      </c>
      <c r="Q6279">
        <f>30-14</f>
        <v>16</v>
      </c>
      <c r="R6279" t="s">
        <v>46</v>
      </c>
      <c r="S6279" t="s">
        <v>39</v>
      </c>
      <c r="AB6279" t="s">
        <v>47</v>
      </c>
      <c r="AC6279" t="s">
        <v>41</v>
      </c>
    </row>
    <row r="6280" spans="1:30" x14ac:dyDescent="0.35">
      <c r="A6280" s="7">
        <v>43244</v>
      </c>
      <c r="B6280" t="s">
        <v>30</v>
      </c>
      <c r="C6280">
        <v>501</v>
      </c>
      <c r="D6280">
        <v>3</v>
      </c>
      <c r="E6280">
        <v>1</v>
      </c>
      <c r="F6280" t="s">
        <v>1129</v>
      </c>
      <c r="G6280" t="s">
        <v>32</v>
      </c>
      <c r="H6280" t="s">
        <v>33</v>
      </c>
      <c r="I6280" t="s">
        <v>43</v>
      </c>
      <c r="J6280" t="s">
        <v>44</v>
      </c>
      <c r="K6280" t="s">
        <v>36</v>
      </c>
      <c r="L6280" t="s">
        <v>45</v>
      </c>
      <c r="M6280">
        <v>0</v>
      </c>
      <c r="N6280">
        <v>0</v>
      </c>
      <c r="O6280">
        <v>2953</v>
      </c>
      <c r="P6280">
        <v>2952</v>
      </c>
      <c r="Q6280">
        <f>32.5-13.5</f>
        <v>19</v>
      </c>
      <c r="R6280" t="s">
        <v>46</v>
      </c>
      <c r="S6280" t="s">
        <v>39</v>
      </c>
      <c r="AB6280" t="s">
        <v>47</v>
      </c>
      <c r="AC6280" t="s">
        <v>41</v>
      </c>
    </row>
    <row r="6281" spans="1:30" x14ac:dyDescent="0.35">
      <c r="A6281" s="7">
        <v>43244</v>
      </c>
      <c r="B6281" t="s">
        <v>30</v>
      </c>
      <c r="C6281">
        <v>501</v>
      </c>
      <c r="D6281">
        <v>9</v>
      </c>
      <c r="E6281">
        <v>2</v>
      </c>
      <c r="F6281" t="s">
        <v>1129</v>
      </c>
      <c r="G6281" t="s">
        <v>32</v>
      </c>
      <c r="H6281" t="s">
        <v>33</v>
      </c>
      <c r="I6281" t="s">
        <v>43</v>
      </c>
      <c r="J6281" t="s">
        <v>44</v>
      </c>
      <c r="K6281" t="s">
        <v>36</v>
      </c>
      <c r="L6281" t="s">
        <v>45</v>
      </c>
      <c r="M6281">
        <v>0</v>
      </c>
      <c r="N6281">
        <v>0</v>
      </c>
      <c r="O6281">
        <v>2956</v>
      </c>
      <c r="P6281">
        <v>2955</v>
      </c>
      <c r="Q6281">
        <f>32-14.5</f>
        <v>17.5</v>
      </c>
      <c r="R6281" t="s">
        <v>46</v>
      </c>
      <c r="S6281" t="s">
        <v>39</v>
      </c>
      <c r="AB6281" t="s">
        <v>47</v>
      </c>
      <c r="AC6281" t="s">
        <v>41</v>
      </c>
    </row>
    <row r="6282" spans="1:30" x14ac:dyDescent="0.35">
      <c r="A6282" s="7">
        <v>43244</v>
      </c>
      <c r="B6282" t="s">
        <v>30</v>
      </c>
      <c r="C6282">
        <v>503</v>
      </c>
      <c r="D6282">
        <v>5</v>
      </c>
      <c r="E6282">
        <v>1</v>
      </c>
      <c r="F6282" t="s">
        <v>1129</v>
      </c>
      <c r="G6282" t="s">
        <v>32</v>
      </c>
      <c r="H6282" t="s">
        <v>33</v>
      </c>
      <c r="I6282" t="s">
        <v>43</v>
      </c>
      <c r="J6282" t="s">
        <v>44</v>
      </c>
      <c r="K6282" t="s">
        <v>36</v>
      </c>
      <c r="L6282" t="s">
        <v>37</v>
      </c>
      <c r="M6282">
        <v>0</v>
      </c>
      <c r="N6282">
        <v>0</v>
      </c>
      <c r="O6282">
        <v>2902</v>
      </c>
      <c r="P6282">
        <v>2954</v>
      </c>
      <c r="Q6282">
        <f>34-13</f>
        <v>21</v>
      </c>
      <c r="R6282" t="s">
        <v>64</v>
      </c>
      <c r="AB6282" t="s">
        <v>47</v>
      </c>
      <c r="AC6282" t="s">
        <v>41</v>
      </c>
    </row>
    <row r="6283" spans="1:30" x14ac:dyDescent="0.35">
      <c r="A6283" s="7">
        <v>43244</v>
      </c>
      <c r="B6283" t="s">
        <v>30</v>
      </c>
      <c r="C6283">
        <v>701</v>
      </c>
      <c r="D6283">
        <v>1</v>
      </c>
      <c r="E6283">
        <v>2</v>
      </c>
      <c r="F6283" t="s">
        <v>1020</v>
      </c>
      <c r="G6283" t="s">
        <v>32</v>
      </c>
      <c r="H6283" t="s">
        <v>33</v>
      </c>
      <c r="I6283" t="s">
        <v>43</v>
      </c>
      <c r="J6283" t="s">
        <v>44</v>
      </c>
      <c r="K6283" t="s">
        <v>36</v>
      </c>
      <c r="L6283" t="s">
        <v>45</v>
      </c>
      <c r="M6283">
        <v>0</v>
      </c>
      <c r="N6283">
        <v>0</v>
      </c>
      <c r="O6283">
        <v>2471</v>
      </c>
      <c r="P6283">
        <v>2470</v>
      </c>
      <c r="Q6283">
        <f>36-13</f>
        <v>23</v>
      </c>
      <c r="R6283" t="s">
        <v>1028</v>
      </c>
      <c r="S6283" t="s">
        <v>102</v>
      </c>
      <c r="AB6283" t="s">
        <v>47</v>
      </c>
      <c r="AC6283" t="s">
        <v>41</v>
      </c>
    </row>
    <row r="6284" spans="1:30" x14ac:dyDescent="0.35">
      <c r="A6284" s="7">
        <v>43244</v>
      </c>
      <c r="B6284" t="s">
        <v>30</v>
      </c>
      <c r="C6284">
        <v>703</v>
      </c>
      <c r="D6284">
        <v>1</v>
      </c>
      <c r="E6284">
        <v>1</v>
      </c>
      <c r="F6284" t="s">
        <v>1020</v>
      </c>
      <c r="G6284" t="s">
        <v>32</v>
      </c>
      <c r="H6284" t="s">
        <v>33</v>
      </c>
      <c r="I6284" t="s">
        <v>43</v>
      </c>
      <c r="J6284" t="s">
        <v>44</v>
      </c>
      <c r="K6284" t="s">
        <v>36</v>
      </c>
      <c r="L6284" t="s">
        <v>45</v>
      </c>
      <c r="M6284">
        <v>0</v>
      </c>
      <c r="N6284">
        <v>0</v>
      </c>
      <c r="O6284">
        <v>39771</v>
      </c>
      <c r="P6284">
        <v>39770</v>
      </c>
      <c r="Q6284">
        <f>33-13.5</f>
        <v>19.5</v>
      </c>
      <c r="R6284" t="s">
        <v>1028</v>
      </c>
      <c r="S6284" t="s">
        <v>102</v>
      </c>
      <c r="AB6284" t="s">
        <v>47</v>
      </c>
      <c r="AC6284" t="s">
        <v>41</v>
      </c>
    </row>
    <row r="6285" spans="1:30" x14ac:dyDescent="0.35">
      <c r="A6285" s="7">
        <v>43244</v>
      </c>
      <c r="B6285" t="s">
        <v>30</v>
      </c>
      <c r="C6285">
        <v>703</v>
      </c>
      <c r="D6285">
        <v>9</v>
      </c>
      <c r="E6285">
        <v>1</v>
      </c>
      <c r="F6285" t="s">
        <v>1020</v>
      </c>
      <c r="G6285" t="s">
        <v>32</v>
      </c>
      <c r="H6285" t="s">
        <v>33</v>
      </c>
      <c r="I6285" t="s">
        <v>43</v>
      </c>
      <c r="J6285" t="s">
        <v>35</v>
      </c>
      <c r="K6285" t="s">
        <v>36</v>
      </c>
      <c r="L6285" t="s">
        <v>45</v>
      </c>
      <c r="M6285">
        <v>0</v>
      </c>
      <c r="N6285">
        <v>1</v>
      </c>
      <c r="O6285">
        <v>2469</v>
      </c>
      <c r="P6285">
        <v>2468</v>
      </c>
      <c r="Q6285">
        <f>30.5-13</f>
        <v>17.5</v>
      </c>
      <c r="R6285" t="s">
        <v>1028</v>
      </c>
      <c r="S6285" t="s">
        <v>102</v>
      </c>
      <c r="AB6285" t="s">
        <v>47</v>
      </c>
      <c r="AC6285" t="s">
        <v>41</v>
      </c>
    </row>
    <row r="6286" spans="1:30" x14ac:dyDescent="0.35">
      <c r="A6286" s="7">
        <v>43244</v>
      </c>
      <c r="B6286" t="s">
        <v>30</v>
      </c>
      <c r="C6286">
        <v>111</v>
      </c>
      <c r="D6286">
        <v>3</v>
      </c>
      <c r="E6286">
        <v>1</v>
      </c>
      <c r="F6286" t="s">
        <v>1139</v>
      </c>
      <c r="G6286" t="s">
        <v>32</v>
      </c>
      <c r="H6286" t="s">
        <v>33</v>
      </c>
      <c r="I6286" t="s">
        <v>34</v>
      </c>
      <c r="J6286" t="s">
        <v>56</v>
      </c>
      <c r="K6286" t="s">
        <v>36</v>
      </c>
      <c r="L6286" t="s">
        <v>37</v>
      </c>
      <c r="M6286">
        <v>0</v>
      </c>
      <c r="N6286">
        <v>0</v>
      </c>
      <c r="AB6286" t="s">
        <v>47</v>
      </c>
      <c r="AC6286" t="s">
        <v>41</v>
      </c>
      <c r="AD6286" t="s">
        <v>1142</v>
      </c>
    </row>
    <row r="6287" spans="1:30" x14ac:dyDescent="0.35">
      <c r="A6287" s="7">
        <v>43244</v>
      </c>
      <c r="B6287" t="s">
        <v>30</v>
      </c>
      <c r="C6287">
        <v>113</v>
      </c>
      <c r="D6287">
        <v>10</v>
      </c>
      <c r="E6287">
        <v>1</v>
      </c>
      <c r="F6287" t="s">
        <v>1139</v>
      </c>
      <c r="G6287" t="s">
        <v>32</v>
      </c>
      <c r="H6287" t="s">
        <v>33</v>
      </c>
      <c r="I6287" t="s">
        <v>34</v>
      </c>
      <c r="J6287" t="s">
        <v>92</v>
      </c>
      <c r="AB6287" t="s">
        <v>47</v>
      </c>
      <c r="AC6287" t="s">
        <v>41</v>
      </c>
    </row>
    <row r="6288" spans="1:30" x14ac:dyDescent="0.35">
      <c r="A6288" s="7">
        <v>43244</v>
      </c>
      <c r="B6288" t="s">
        <v>30</v>
      </c>
      <c r="C6288">
        <v>303</v>
      </c>
      <c r="D6288">
        <v>10</v>
      </c>
      <c r="E6288">
        <v>1</v>
      </c>
      <c r="F6288" t="s">
        <v>1129</v>
      </c>
      <c r="G6288" t="s">
        <v>32</v>
      </c>
      <c r="H6288" t="s">
        <v>33</v>
      </c>
      <c r="I6288" t="s">
        <v>58</v>
      </c>
      <c r="J6288" t="s">
        <v>44</v>
      </c>
      <c r="K6288" t="s">
        <v>36</v>
      </c>
      <c r="L6288" t="s">
        <v>45</v>
      </c>
      <c r="M6288">
        <v>0</v>
      </c>
      <c r="N6288">
        <v>0</v>
      </c>
      <c r="O6288">
        <v>2914</v>
      </c>
      <c r="Q6288">
        <f>40-13</f>
        <v>27</v>
      </c>
      <c r="R6288" t="s">
        <v>46</v>
      </c>
      <c r="S6288" t="s">
        <v>39</v>
      </c>
      <c r="AB6288" t="s">
        <v>47</v>
      </c>
      <c r="AC6288" t="s">
        <v>41</v>
      </c>
    </row>
    <row r="6289" spans="1:29" x14ac:dyDescent="0.35">
      <c r="A6289" s="7">
        <v>43244</v>
      </c>
      <c r="B6289" t="s">
        <v>30</v>
      </c>
      <c r="C6289">
        <v>501</v>
      </c>
      <c r="D6289">
        <v>10</v>
      </c>
      <c r="E6289">
        <v>1</v>
      </c>
      <c r="F6289" t="s">
        <v>1129</v>
      </c>
      <c r="G6289" t="s">
        <v>32</v>
      </c>
      <c r="H6289" t="s">
        <v>33</v>
      </c>
      <c r="I6289" t="s">
        <v>58</v>
      </c>
      <c r="J6289" t="s">
        <v>35</v>
      </c>
      <c r="K6289" t="s">
        <v>36</v>
      </c>
      <c r="L6289" t="s">
        <v>37</v>
      </c>
      <c r="M6289">
        <v>0</v>
      </c>
      <c r="N6289">
        <v>1</v>
      </c>
      <c r="O6289">
        <v>2958</v>
      </c>
      <c r="Q6289">
        <f>43-13</f>
        <v>30</v>
      </c>
      <c r="R6289" t="s">
        <v>38</v>
      </c>
      <c r="AB6289" t="s">
        <v>47</v>
      </c>
      <c r="AC6289" t="s">
        <v>41</v>
      </c>
    </row>
    <row r="6290" spans="1:29" x14ac:dyDescent="0.35">
      <c r="A6290" s="7">
        <v>43244</v>
      </c>
      <c r="B6290" t="s">
        <v>30</v>
      </c>
      <c r="C6290">
        <v>503</v>
      </c>
      <c r="D6290">
        <v>7</v>
      </c>
      <c r="E6290">
        <v>1</v>
      </c>
      <c r="F6290" t="s">
        <v>1129</v>
      </c>
      <c r="G6290" t="s">
        <v>32</v>
      </c>
      <c r="H6290" t="s">
        <v>33</v>
      </c>
      <c r="I6290" t="s">
        <v>65</v>
      </c>
      <c r="J6290" t="s">
        <v>56</v>
      </c>
      <c r="K6290" t="s">
        <v>36</v>
      </c>
      <c r="AB6290" t="s">
        <v>47</v>
      </c>
      <c r="AC6290" t="s">
        <v>41</v>
      </c>
    </row>
    <row r="6291" spans="1:29" x14ac:dyDescent="0.35">
      <c r="A6291" s="7">
        <v>43244</v>
      </c>
      <c r="B6291" t="s">
        <v>30</v>
      </c>
      <c r="C6291">
        <v>701</v>
      </c>
      <c r="D6291">
        <v>1</v>
      </c>
      <c r="E6291">
        <v>1</v>
      </c>
      <c r="F6291" t="s">
        <v>1020</v>
      </c>
      <c r="G6291" t="s">
        <v>32</v>
      </c>
      <c r="H6291" t="s">
        <v>33</v>
      </c>
      <c r="I6291" t="s">
        <v>65</v>
      </c>
      <c r="J6291" t="s">
        <v>35</v>
      </c>
      <c r="K6291" t="s">
        <v>36</v>
      </c>
      <c r="L6291" t="s">
        <v>45</v>
      </c>
      <c r="M6291">
        <v>0</v>
      </c>
      <c r="N6291">
        <v>1</v>
      </c>
      <c r="O6291">
        <v>2466</v>
      </c>
      <c r="Q6291">
        <f>288-123</f>
        <v>165</v>
      </c>
      <c r="R6291" t="s">
        <v>79</v>
      </c>
      <c r="S6291" t="s">
        <v>39</v>
      </c>
      <c r="AB6291" t="s">
        <v>47</v>
      </c>
      <c r="AC6291" t="s">
        <v>41</v>
      </c>
    </row>
    <row r="6292" spans="1:29" x14ac:dyDescent="0.35">
      <c r="A6292" s="7">
        <v>43244</v>
      </c>
      <c r="B6292" t="s">
        <v>30</v>
      </c>
      <c r="C6292">
        <v>701</v>
      </c>
      <c r="D6292">
        <v>5</v>
      </c>
      <c r="E6292">
        <v>1</v>
      </c>
      <c r="F6292" t="s">
        <v>1020</v>
      </c>
      <c r="G6292" t="s">
        <v>32</v>
      </c>
      <c r="H6292" t="s">
        <v>33</v>
      </c>
      <c r="I6292" t="s">
        <v>65</v>
      </c>
      <c r="J6292" t="s">
        <v>44</v>
      </c>
      <c r="K6292" t="s">
        <v>36</v>
      </c>
      <c r="L6292" t="s">
        <v>45</v>
      </c>
      <c r="M6292">
        <v>0</v>
      </c>
      <c r="N6292">
        <v>0</v>
      </c>
      <c r="O6292">
        <v>2567</v>
      </c>
      <c r="Q6292">
        <f>278-123</f>
        <v>155</v>
      </c>
      <c r="R6292" t="s">
        <v>79</v>
      </c>
      <c r="S6292" t="s">
        <v>39</v>
      </c>
      <c r="AB6292" t="s">
        <v>47</v>
      </c>
      <c r="AC6292" t="s">
        <v>41</v>
      </c>
    </row>
    <row r="6293" spans="1:29" x14ac:dyDescent="0.35">
      <c r="A6293" s="7">
        <v>43244</v>
      </c>
      <c r="B6293" t="s">
        <v>30</v>
      </c>
      <c r="C6293">
        <v>701</v>
      </c>
      <c r="D6293">
        <v>9</v>
      </c>
      <c r="E6293">
        <v>1</v>
      </c>
      <c r="F6293" t="s">
        <v>1020</v>
      </c>
      <c r="G6293" t="s">
        <v>32</v>
      </c>
      <c r="H6293" t="s">
        <v>33</v>
      </c>
      <c r="I6293" t="s">
        <v>65</v>
      </c>
      <c r="J6293" t="s">
        <v>92</v>
      </c>
      <c r="AB6293" t="s">
        <v>47</v>
      </c>
      <c r="AC6293" t="s">
        <v>41</v>
      </c>
    </row>
    <row r="6294" spans="1:29" x14ac:dyDescent="0.35">
      <c r="A6294" s="7">
        <v>43244</v>
      </c>
      <c r="B6294" t="s">
        <v>30</v>
      </c>
      <c r="C6294">
        <v>703</v>
      </c>
      <c r="D6294">
        <v>6</v>
      </c>
      <c r="E6294">
        <v>1</v>
      </c>
      <c r="F6294" t="s">
        <v>1020</v>
      </c>
      <c r="G6294" t="s">
        <v>32</v>
      </c>
      <c r="H6294" t="s">
        <v>33</v>
      </c>
      <c r="I6294" t="s">
        <v>65</v>
      </c>
      <c r="J6294" t="s">
        <v>35</v>
      </c>
      <c r="K6294" t="s">
        <v>36</v>
      </c>
      <c r="L6294" t="s">
        <v>45</v>
      </c>
      <c r="M6294">
        <v>0</v>
      </c>
      <c r="N6294">
        <v>1</v>
      </c>
      <c r="O6294">
        <v>2570</v>
      </c>
      <c r="Q6294">
        <f>281-122</f>
        <v>159</v>
      </c>
      <c r="R6294" t="s">
        <v>46</v>
      </c>
      <c r="S6294" t="s">
        <v>39</v>
      </c>
      <c r="AB6294" t="s">
        <v>47</v>
      </c>
      <c r="AC6294" t="s">
        <v>41</v>
      </c>
    </row>
    <row r="6295" spans="1:29" x14ac:dyDescent="0.35">
      <c r="A6295" s="7">
        <v>43244</v>
      </c>
      <c r="B6295" t="s">
        <v>30</v>
      </c>
      <c r="C6295">
        <v>703</v>
      </c>
      <c r="D6295">
        <v>10</v>
      </c>
      <c r="E6295">
        <v>1</v>
      </c>
      <c r="F6295" t="s">
        <v>1020</v>
      </c>
      <c r="G6295" t="s">
        <v>32</v>
      </c>
      <c r="H6295" t="s">
        <v>33</v>
      </c>
      <c r="I6295" t="s">
        <v>65</v>
      </c>
      <c r="J6295" t="s">
        <v>35</v>
      </c>
      <c r="K6295" t="s">
        <v>36</v>
      </c>
      <c r="L6295" t="s">
        <v>45</v>
      </c>
      <c r="M6295">
        <v>0</v>
      </c>
      <c r="N6295">
        <v>1</v>
      </c>
      <c r="O6295">
        <v>2467</v>
      </c>
      <c r="Q6295">
        <f>270-121</f>
        <v>149</v>
      </c>
      <c r="R6295" t="s">
        <v>46</v>
      </c>
      <c r="S6295" t="s">
        <v>39</v>
      </c>
      <c r="AB6295" t="s">
        <v>47</v>
      </c>
      <c r="AC6295" t="s">
        <v>41</v>
      </c>
    </row>
    <row r="6296" spans="1:29" x14ac:dyDescent="0.35">
      <c r="A6296" s="7">
        <v>43244</v>
      </c>
      <c r="B6296" t="s">
        <v>30</v>
      </c>
      <c r="C6296">
        <v>112</v>
      </c>
      <c r="D6296">
        <v>6</v>
      </c>
      <c r="E6296">
        <v>1</v>
      </c>
      <c r="F6296" t="s">
        <v>1139</v>
      </c>
      <c r="G6296" t="s">
        <v>32</v>
      </c>
      <c r="H6296" t="s">
        <v>33</v>
      </c>
      <c r="I6296" t="s">
        <v>59</v>
      </c>
      <c r="AB6296" t="s">
        <v>47</v>
      </c>
      <c r="AC6296" t="s">
        <v>41</v>
      </c>
    </row>
    <row r="6297" spans="1:29" x14ac:dyDescent="0.35">
      <c r="A6297" s="7">
        <v>43244</v>
      </c>
      <c r="B6297" t="s">
        <v>30</v>
      </c>
      <c r="C6297">
        <v>303</v>
      </c>
      <c r="D6297">
        <v>9</v>
      </c>
      <c r="E6297">
        <v>1</v>
      </c>
      <c r="F6297" t="s">
        <v>1129</v>
      </c>
      <c r="G6297" t="s">
        <v>32</v>
      </c>
      <c r="H6297" t="s">
        <v>33</v>
      </c>
      <c r="I6297" t="s">
        <v>59</v>
      </c>
      <c r="AB6297" t="s">
        <v>47</v>
      </c>
      <c r="AC6297" t="s">
        <v>41</v>
      </c>
    </row>
    <row r="6298" spans="1:29" x14ac:dyDescent="0.35">
      <c r="A6298" s="7">
        <v>43244</v>
      </c>
      <c r="B6298" t="s">
        <v>30</v>
      </c>
      <c r="C6298">
        <v>401</v>
      </c>
      <c r="D6298">
        <v>3</v>
      </c>
      <c r="E6298">
        <v>1</v>
      </c>
      <c r="F6298" t="s">
        <v>1129</v>
      </c>
      <c r="G6298" t="s">
        <v>32</v>
      </c>
      <c r="H6298" t="s">
        <v>33</v>
      </c>
      <c r="I6298" t="s">
        <v>59</v>
      </c>
      <c r="AB6298" t="s">
        <v>47</v>
      </c>
      <c r="AC6298" t="s">
        <v>41</v>
      </c>
    </row>
    <row r="6299" spans="1:29" x14ac:dyDescent="0.35">
      <c r="A6299" s="7">
        <v>43244</v>
      </c>
      <c r="B6299" t="s">
        <v>30</v>
      </c>
      <c r="C6299">
        <v>401</v>
      </c>
      <c r="D6299">
        <v>3</v>
      </c>
      <c r="E6299">
        <v>2</v>
      </c>
      <c r="F6299" t="s">
        <v>1129</v>
      </c>
      <c r="G6299" t="s">
        <v>32</v>
      </c>
      <c r="H6299" t="s">
        <v>33</v>
      </c>
      <c r="I6299" t="s">
        <v>59</v>
      </c>
      <c r="AB6299" t="s">
        <v>47</v>
      </c>
      <c r="AC6299" t="s">
        <v>41</v>
      </c>
    </row>
    <row r="6300" spans="1:29" x14ac:dyDescent="0.35">
      <c r="A6300" s="7">
        <v>43244</v>
      </c>
      <c r="B6300" t="s">
        <v>30</v>
      </c>
      <c r="C6300">
        <v>401</v>
      </c>
      <c r="D6300">
        <v>5</v>
      </c>
      <c r="E6300">
        <v>1</v>
      </c>
      <c r="F6300" t="s">
        <v>1129</v>
      </c>
      <c r="G6300" t="s">
        <v>32</v>
      </c>
      <c r="H6300" t="s">
        <v>33</v>
      </c>
      <c r="I6300" t="s">
        <v>59</v>
      </c>
      <c r="AB6300" t="s">
        <v>47</v>
      </c>
      <c r="AC6300" t="s">
        <v>41</v>
      </c>
    </row>
    <row r="6301" spans="1:29" x14ac:dyDescent="0.35">
      <c r="A6301" s="7">
        <v>43244</v>
      </c>
      <c r="B6301" t="s">
        <v>30</v>
      </c>
      <c r="C6301">
        <v>501</v>
      </c>
      <c r="D6301">
        <v>2</v>
      </c>
      <c r="E6301">
        <v>1</v>
      </c>
      <c r="F6301" t="s">
        <v>1129</v>
      </c>
      <c r="G6301" t="s">
        <v>32</v>
      </c>
      <c r="H6301" t="s">
        <v>33</v>
      </c>
      <c r="I6301" t="s">
        <v>59</v>
      </c>
      <c r="AB6301" t="s">
        <v>47</v>
      </c>
      <c r="AC6301" t="s">
        <v>41</v>
      </c>
    </row>
    <row r="6302" spans="1:29" x14ac:dyDescent="0.35">
      <c r="A6302" s="7">
        <v>43244</v>
      </c>
      <c r="B6302" t="s">
        <v>30</v>
      </c>
      <c r="C6302">
        <v>501</v>
      </c>
      <c r="D6302">
        <v>5</v>
      </c>
      <c r="E6302">
        <v>1</v>
      </c>
      <c r="F6302" t="s">
        <v>1129</v>
      </c>
      <c r="G6302" t="s">
        <v>32</v>
      </c>
      <c r="H6302" t="s">
        <v>33</v>
      </c>
      <c r="I6302" t="s">
        <v>59</v>
      </c>
      <c r="AB6302" t="s">
        <v>47</v>
      </c>
      <c r="AC6302" t="s">
        <v>41</v>
      </c>
    </row>
    <row r="6303" spans="1:29" x14ac:dyDescent="0.35">
      <c r="A6303" s="7">
        <v>43244</v>
      </c>
      <c r="B6303" t="s">
        <v>30</v>
      </c>
      <c r="C6303">
        <v>501</v>
      </c>
      <c r="D6303">
        <v>9</v>
      </c>
      <c r="E6303">
        <v>1</v>
      </c>
      <c r="F6303" t="s">
        <v>1129</v>
      </c>
      <c r="G6303" t="s">
        <v>32</v>
      </c>
      <c r="H6303" t="s">
        <v>33</v>
      </c>
      <c r="I6303" t="s">
        <v>59</v>
      </c>
      <c r="AB6303" t="s">
        <v>47</v>
      </c>
      <c r="AC6303" t="s">
        <v>41</v>
      </c>
    </row>
    <row r="6304" spans="1:29" x14ac:dyDescent="0.35">
      <c r="A6304" s="7">
        <v>43244</v>
      </c>
      <c r="B6304" t="s">
        <v>30</v>
      </c>
      <c r="C6304">
        <v>503</v>
      </c>
      <c r="D6304">
        <v>1</v>
      </c>
      <c r="E6304">
        <v>1</v>
      </c>
      <c r="F6304" t="s">
        <v>1129</v>
      </c>
      <c r="G6304" t="s">
        <v>32</v>
      </c>
      <c r="H6304" t="s">
        <v>33</v>
      </c>
      <c r="I6304" t="s">
        <v>59</v>
      </c>
      <c r="AB6304" t="s">
        <v>47</v>
      </c>
      <c r="AC6304" t="s">
        <v>41</v>
      </c>
    </row>
    <row r="6305" spans="1:30" x14ac:dyDescent="0.35">
      <c r="A6305" s="7">
        <v>43244</v>
      </c>
      <c r="B6305" t="s">
        <v>30</v>
      </c>
      <c r="C6305">
        <v>503</v>
      </c>
      <c r="D6305">
        <v>7</v>
      </c>
      <c r="E6305">
        <v>2</v>
      </c>
      <c r="F6305" t="s">
        <v>1129</v>
      </c>
      <c r="G6305" t="s">
        <v>32</v>
      </c>
      <c r="H6305" t="s">
        <v>33</v>
      </c>
      <c r="I6305" t="s">
        <v>59</v>
      </c>
      <c r="AB6305" t="s">
        <v>47</v>
      </c>
      <c r="AC6305" t="s">
        <v>41</v>
      </c>
    </row>
    <row r="6306" spans="1:30" x14ac:dyDescent="0.35">
      <c r="A6306" s="7">
        <v>43244</v>
      </c>
      <c r="B6306" t="s">
        <v>30</v>
      </c>
      <c r="C6306">
        <v>703</v>
      </c>
      <c r="D6306">
        <v>1</v>
      </c>
      <c r="E6306">
        <v>2</v>
      </c>
      <c r="F6306" t="s">
        <v>1020</v>
      </c>
      <c r="G6306" t="s">
        <v>32</v>
      </c>
      <c r="H6306" t="s">
        <v>33</v>
      </c>
      <c r="I6306" t="s">
        <v>59</v>
      </c>
      <c r="AB6306" t="s">
        <v>47</v>
      </c>
      <c r="AC6306" t="s">
        <v>41</v>
      </c>
    </row>
    <row r="6307" spans="1:30" x14ac:dyDescent="0.35">
      <c r="A6307" s="7">
        <v>43244</v>
      </c>
      <c r="B6307" t="s">
        <v>30</v>
      </c>
      <c r="C6307">
        <v>703</v>
      </c>
      <c r="D6307">
        <v>6</v>
      </c>
      <c r="E6307">
        <v>2</v>
      </c>
      <c r="F6307" t="s">
        <v>1020</v>
      </c>
      <c r="G6307" t="s">
        <v>32</v>
      </c>
      <c r="H6307" t="s">
        <v>33</v>
      </c>
      <c r="I6307" t="s">
        <v>59</v>
      </c>
      <c r="AB6307" t="s">
        <v>47</v>
      </c>
      <c r="AC6307" t="s">
        <v>41</v>
      </c>
    </row>
    <row r="6308" spans="1:30" x14ac:dyDescent="0.35">
      <c r="A6308" s="7">
        <v>43244</v>
      </c>
      <c r="B6308" t="s">
        <v>30</v>
      </c>
      <c r="C6308">
        <v>701</v>
      </c>
      <c r="D6308">
        <v>7</v>
      </c>
      <c r="E6308">
        <v>1</v>
      </c>
      <c r="F6308" t="s">
        <v>1020</v>
      </c>
      <c r="G6308" t="s">
        <v>32</v>
      </c>
      <c r="H6308" t="s">
        <v>33</v>
      </c>
      <c r="I6308" t="s">
        <v>1075</v>
      </c>
      <c r="AB6308" t="s">
        <v>47</v>
      </c>
      <c r="AC6308" t="s">
        <v>41</v>
      </c>
      <c r="AD6308" t="s">
        <v>1143</v>
      </c>
    </row>
    <row r="6309" spans="1:30" x14ac:dyDescent="0.35">
      <c r="A6309" s="7">
        <v>43244</v>
      </c>
      <c r="B6309" t="s">
        <v>30</v>
      </c>
      <c r="C6309">
        <v>402</v>
      </c>
      <c r="D6309">
        <v>6</v>
      </c>
      <c r="E6309">
        <v>1</v>
      </c>
      <c r="F6309" t="s">
        <v>1139</v>
      </c>
      <c r="G6309" t="s">
        <v>32</v>
      </c>
      <c r="H6309" t="s">
        <v>33</v>
      </c>
      <c r="I6309" t="s">
        <v>94</v>
      </c>
      <c r="J6309" t="s">
        <v>44</v>
      </c>
      <c r="K6309" t="s">
        <v>36</v>
      </c>
      <c r="L6309" t="s">
        <v>37</v>
      </c>
      <c r="M6309">
        <v>0</v>
      </c>
      <c r="N6309">
        <v>0</v>
      </c>
      <c r="O6309">
        <v>8176</v>
      </c>
      <c r="Q6309">
        <f>37-13</f>
        <v>24</v>
      </c>
      <c r="R6309" t="s">
        <v>38</v>
      </c>
      <c r="AB6309" t="s">
        <v>47</v>
      </c>
      <c r="AC6309" t="s">
        <v>41</v>
      </c>
    </row>
    <row r="6310" spans="1:30" x14ac:dyDescent="0.35">
      <c r="A6310" s="7">
        <v>43244</v>
      </c>
      <c r="B6310" t="s">
        <v>30</v>
      </c>
      <c r="C6310">
        <v>402</v>
      </c>
      <c r="D6310">
        <v>8</v>
      </c>
      <c r="E6310">
        <v>1</v>
      </c>
      <c r="F6310" t="s">
        <v>1139</v>
      </c>
      <c r="G6310" t="s">
        <v>32</v>
      </c>
      <c r="H6310" t="s">
        <v>33</v>
      </c>
      <c r="I6310" t="s">
        <v>94</v>
      </c>
      <c r="J6310" t="s">
        <v>35</v>
      </c>
      <c r="K6310" t="s">
        <v>36</v>
      </c>
      <c r="L6310" t="s">
        <v>37</v>
      </c>
      <c r="M6310">
        <v>0</v>
      </c>
      <c r="N6310">
        <v>1</v>
      </c>
      <c r="O6310">
        <v>2807</v>
      </c>
      <c r="Q6310">
        <f>33-13</f>
        <v>20</v>
      </c>
      <c r="R6310" t="s">
        <v>64</v>
      </c>
      <c r="AB6310" t="s">
        <v>47</v>
      </c>
      <c r="AC6310" t="s">
        <v>41</v>
      </c>
    </row>
    <row r="6311" spans="1:30" x14ac:dyDescent="0.35">
      <c r="A6311" s="7">
        <v>43249</v>
      </c>
      <c r="B6311" t="s">
        <v>30</v>
      </c>
      <c r="C6311">
        <v>111</v>
      </c>
      <c r="D6311">
        <v>3</v>
      </c>
      <c r="E6311">
        <v>1</v>
      </c>
      <c r="F6311" t="s">
        <v>1020</v>
      </c>
      <c r="G6311" t="s">
        <v>32</v>
      </c>
      <c r="H6311" t="s">
        <v>33</v>
      </c>
      <c r="I6311" t="s">
        <v>43</v>
      </c>
      <c r="J6311" t="s">
        <v>44</v>
      </c>
      <c r="K6311" t="s">
        <v>36</v>
      </c>
      <c r="L6311" t="s">
        <v>45</v>
      </c>
      <c r="M6311">
        <v>0</v>
      </c>
      <c r="N6311">
        <v>0</v>
      </c>
      <c r="O6311">
        <v>39714</v>
      </c>
      <c r="P6311">
        <v>39713</v>
      </c>
      <c r="Q6311">
        <f>35-13</f>
        <v>22</v>
      </c>
      <c r="R6311" t="s">
        <v>1021</v>
      </c>
      <c r="S6311" t="s">
        <v>102</v>
      </c>
      <c r="AB6311" t="s">
        <v>47</v>
      </c>
      <c r="AC6311" t="s">
        <v>87</v>
      </c>
    </row>
    <row r="6312" spans="1:30" x14ac:dyDescent="0.35">
      <c r="A6312" s="7">
        <v>43249</v>
      </c>
      <c r="B6312" t="s">
        <v>30</v>
      </c>
      <c r="C6312">
        <v>111</v>
      </c>
      <c r="D6312">
        <v>5</v>
      </c>
      <c r="E6312">
        <v>1</v>
      </c>
      <c r="F6312" t="s">
        <v>1020</v>
      </c>
      <c r="G6312" t="s">
        <v>32</v>
      </c>
      <c r="H6312" t="s">
        <v>33</v>
      </c>
      <c r="I6312" t="s">
        <v>43</v>
      </c>
      <c r="J6312" t="s">
        <v>35</v>
      </c>
      <c r="K6312" t="s">
        <v>36</v>
      </c>
      <c r="L6312" t="s">
        <v>45</v>
      </c>
      <c r="M6312">
        <v>0</v>
      </c>
      <c r="N6312">
        <v>1</v>
      </c>
      <c r="O6312">
        <v>2463</v>
      </c>
      <c r="P6312">
        <v>2462</v>
      </c>
      <c r="Q6312">
        <f>39-14</f>
        <v>25</v>
      </c>
      <c r="R6312" t="s">
        <v>1028</v>
      </c>
      <c r="S6312" t="s">
        <v>102</v>
      </c>
      <c r="AB6312" t="s">
        <v>47</v>
      </c>
      <c r="AC6312" t="s">
        <v>87</v>
      </c>
    </row>
    <row r="6313" spans="1:30" x14ac:dyDescent="0.35">
      <c r="A6313" s="7">
        <v>43249</v>
      </c>
      <c r="B6313" t="s">
        <v>30</v>
      </c>
      <c r="C6313">
        <v>113</v>
      </c>
      <c r="D6313">
        <v>2</v>
      </c>
      <c r="E6313">
        <v>1</v>
      </c>
      <c r="F6313" t="s">
        <v>1020</v>
      </c>
      <c r="G6313" t="s">
        <v>32</v>
      </c>
      <c r="H6313" t="s">
        <v>33</v>
      </c>
      <c r="I6313" t="s">
        <v>43</v>
      </c>
      <c r="J6313" t="s">
        <v>139</v>
      </c>
      <c r="O6313">
        <v>2822</v>
      </c>
      <c r="AB6313" t="s">
        <v>47</v>
      </c>
      <c r="AC6313" t="s">
        <v>87</v>
      </c>
      <c r="AD6313" t="s">
        <v>1144</v>
      </c>
    </row>
    <row r="6314" spans="1:30" x14ac:dyDescent="0.35">
      <c r="A6314" s="7">
        <v>43249</v>
      </c>
      <c r="B6314" t="s">
        <v>30</v>
      </c>
      <c r="C6314">
        <v>113</v>
      </c>
      <c r="D6314">
        <v>7</v>
      </c>
      <c r="E6314">
        <v>1</v>
      </c>
      <c r="F6314" t="s">
        <v>1020</v>
      </c>
      <c r="G6314" t="s">
        <v>32</v>
      </c>
      <c r="H6314" t="s">
        <v>33</v>
      </c>
      <c r="I6314" t="s">
        <v>43</v>
      </c>
      <c r="J6314" t="s">
        <v>139</v>
      </c>
      <c r="AB6314" t="s">
        <v>47</v>
      </c>
      <c r="AC6314" t="s">
        <v>87</v>
      </c>
      <c r="AD6314" t="s">
        <v>1145</v>
      </c>
    </row>
    <row r="6315" spans="1:30" x14ac:dyDescent="0.35">
      <c r="A6315" s="7">
        <v>43249</v>
      </c>
      <c r="B6315" t="s">
        <v>30</v>
      </c>
      <c r="C6315">
        <v>113</v>
      </c>
      <c r="D6315">
        <v>9</v>
      </c>
      <c r="E6315">
        <v>1</v>
      </c>
      <c r="F6315" t="s">
        <v>1020</v>
      </c>
      <c r="G6315" t="s">
        <v>32</v>
      </c>
      <c r="H6315" t="s">
        <v>33</v>
      </c>
      <c r="I6315" t="s">
        <v>43</v>
      </c>
      <c r="J6315" t="s">
        <v>139</v>
      </c>
      <c r="K6315" t="s">
        <v>36</v>
      </c>
      <c r="L6315" t="s">
        <v>37</v>
      </c>
      <c r="R6315" t="s">
        <v>38</v>
      </c>
      <c r="AB6315" t="s">
        <v>47</v>
      </c>
      <c r="AC6315" t="s">
        <v>87</v>
      </c>
      <c r="AD6315" t="s">
        <v>1145</v>
      </c>
    </row>
    <row r="6316" spans="1:30" x14ac:dyDescent="0.35">
      <c r="A6316" s="7">
        <v>43249</v>
      </c>
      <c r="B6316" t="s">
        <v>30</v>
      </c>
      <c r="C6316">
        <v>201</v>
      </c>
      <c r="D6316">
        <v>4</v>
      </c>
      <c r="E6316">
        <v>1</v>
      </c>
      <c r="F6316" t="s">
        <v>1129</v>
      </c>
      <c r="G6316" t="s">
        <v>32</v>
      </c>
      <c r="H6316" t="s">
        <v>33</v>
      </c>
      <c r="I6316" t="s">
        <v>43</v>
      </c>
      <c r="J6316" t="s">
        <v>35</v>
      </c>
      <c r="K6316" t="s">
        <v>36</v>
      </c>
      <c r="L6316" t="s">
        <v>37</v>
      </c>
      <c r="M6316">
        <v>0</v>
      </c>
      <c r="N6316">
        <v>1</v>
      </c>
      <c r="O6316">
        <v>2960</v>
      </c>
      <c r="P6316">
        <v>2959</v>
      </c>
      <c r="Q6316">
        <f>40-14</f>
        <v>26</v>
      </c>
      <c r="R6316" t="s">
        <v>38</v>
      </c>
      <c r="AB6316" t="s">
        <v>47</v>
      </c>
      <c r="AC6316" t="s">
        <v>87</v>
      </c>
    </row>
    <row r="6317" spans="1:30" x14ac:dyDescent="0.35">
      <c r="A6317" s="7">
        <v>43249</v>
      </c>
      <c r="B6317" t="s">
        <v>30</v>
      </c>
      <c r="C6317">
        <v>201</v>
      </c>
      <c r="D6317">
        <v>8</v>
      </c>
      <c r="E6317">
        <v>1</v>
      </c>
      <c r="F6317" t="s">
        <v>1129</v>
      </c>
      <c r="G6317" t="s">
        <v>32</v>
      </c>
      <c r="H6317" t="s">
        <v>33</v>
      </c>
      <c r="I6317" t="s">
        <v>43</v>
      </c>
      <c r="J6317" t="s">
        <v>35</v>
      </c>
      <c r="K6317" t="s">
        <v>36</v>
      </c>
      <c r="L6317" t="s">
        <v>45</v>
      </c>
      <c r="M6317">
        <v>0</v>
      </c>
      <c r="N6317">
        <v>1</v>
      </c>
      <c r="O6317">
        <v>2962</v>
      </c>
      <c r="P6317">
        <v>2961</v>
      </c>
      <c r="Q6317">
        <f>36-13</f>
        <v>23</v>
      </c>
      <c r="R6317" t="s">
        <v>1028</v>
      </c>
      <c r="S6317" t="s">
        <v>102</v>
      </c>
      <c r="AB6317" t="s">
        <v>47</v>
      </c>
      <c r="AC6317" t="s">
        <v>87</v>
      </c>
      <c r="AD6317" t="s">
        <v>1146</v>
      </c>
    </row>
    <row r="6318" spans="1:30" x14ac:dyDescent="0.35">
      <c r="A6318" s="7">
        <v>43249</v>
      </c>
      <c r="B6318" t="s">
        <v>30</v>
      </c>
      <c r="C6318">
        <v>202</v>
      </c>
      <c r="D6318">
        <v>1</v>
      </c>
      <c r="E6318">
        <v>2</v>
      </c>
      <c r="F6318" t="s">
        <v>1129</v>
      </c>
      <c r="G6318" t="s">
        <v>32</v>
      </c>
      <c r="H6318" t="s">
        <v>33</v>
      </c>
      <c r="I6318" t="s">
        <v>43</v>
      </c>
      <c r="J6318" t="s">
        <v>35</v>
      </c>
      <c r="K6318" t="s">
        <v>36</v>
      </c>
      <c r="L6318" t="s">
        <v>37</v>
      </c>
      <c r="M6318">
        <v>0</v>
      </c>
      <c r="N6318">
        <v>1</v>
      </c>
      <c r="O6318">
        <v>2964</v>
      </c>
      <c r="Q6318">
        <f>35-13</f>
        <v>22</v>
      </c>
      <c r="R6318" t="s">
        <v>38</v>
      </c>
      <c r="AB6318" t="s">
        <v>47</v>
      </c>
      <c r="AC6318" t="s">
        <v>87</v>
      </c>
      <c r="AD6318" t="s">
        <v>1147</v>
      </c>
    </row>
    <row r="6319" spans="1:30" x14ac:dyDescent="0.35">
      <c r="A6319" s="7">
        <v>43249</v>
      </c>
      <c r="B6319" t="s">
        <v>30</v>
      </c>
      <c r="C6319">
        <v>111</v>
      </c>
      <c r="D6319">
        <v>1</v>
      </c>
      <c r="E6319">
        <v>1</v>
      </c>
      <c r="F6319" t="s">
        <v>1020</v>
      </c>
      <c r="G6319" t="s">
        <v>32</v>
      </c>
      <c r="H6319" t="s">
        <v>33</v>
      </c>
      <c r="I6319" t="s">
        <v>34</v>
      </c>
      <c r="J6319" t="s">
        <v>56</v>
      </c>
      <c r="K6319" t="s">
        <v>36</v>
      </c>
      <c r="L6319" t="s">
        <v>37</v>
      </c>
      <c r="M6319">
        <v>0</v>
      </c>
      <c r="N6319">
        <v>0</v>
      </c>
      <c r="Q6319">
        <f>221-126</f>
        <v>95</v>
      </c>
      <c r="R6319" t="s">
        <v>38</v>
      </c>
      <c r="AB6319" t="s">
        <v>47</v>
      </c>
      <c r="AC6319" t="s">
        <v>87</v>
      </c>
      <c r="AD6319" t="s">
        <v>1148</v>
      </c>
    </row>
    <row r="6320" spans="1:30" x14ac:dyDescent="0.35">
      <c r="A6320" s="7">
        <v>43249</v>
      </c>
      <c r="B6320" t="s">
        <v>30</v>
      </c>
      <c r="C6320">
        <v>202</v>
      </c>
      <c r="D6320">
        <v>5</v>
      </c>
      <c r="E6320">
        <v>1</v>
      </c>
      <c r="F6320" t="s">
        <v>1129</v>
      </c>
      <c r="G6320" t="s">
        <v>32</v>
      </c>
      <c r="H6320" t="s">
        <v>33</v>
      </c>
      <c r="I6320" t="s">
        <v>34</v>
      </c>
      <c r="J6320" t="s">
        <v>56</v>
      </c>
      <c r="AB6320" t="s">
        <v>47</v>
      </c>
      <c r="AC6320" t="s">
        <v>87</v>
      </c>
    </row>
    <row r="6321" spans="1:30" x14ac:dyDescent="0.35">
      <c r="A6321" s="7">
        <v>43249</v>
      </c>
      <c r="B6321" t="s">
        <v>30</v>
      </c>
      <c r="C6321">
        <v>111</v>
      </c>
      <c r="D6321">
        <v>5</v>
      </c>
      <c r="E6321">
        <v>2</v>
      </c>
      <c r="F6321" t="s">
        <v>1020</v>
      </c>
      <c r="G6321" t="s">
        <v>32</v>
      </c>
      <c r="H6321" t="s">
        <v>33</v>
      </c>
      <c r="I6321" t="s">
        <v>59</v>
      </c>
      <c r="AB6321" t="s">
        <v>47</v>
      </c>
      <c r="AC6321" t="s">
        <v>87</v>
      </c>
    </row>
    <row r="6322" spans="1:30" x14ac:dyDescent="0.35">
      <c r="A6322" s="7">
        <v>43249</v>
      </c>
      <c r="B6322" t="s">
        <v>30</v>
      </c>
      <c r="C6322">
        <v>111</v>
      </c>
      <c r="D6322">
        <v>8</v>
      </c>
      <c r="E6322">
        <v>1</v>
      </c>
      <c r="F6322" t="s">
        <v>1020</v>
      </c>
      <c r="G6322" t="s">
        <v>32</v>
      </c>
      <c r="H6322" t="s">
        <v>33</v>
      </c>
      <c r="I6322" t="s">
        <v>59</v>
      </c>
      <c r="AB6322" t="s">
        <v>47</v>
      </c>
      <c r="AC6322" t="s">
        <v>87</v>
      </c>
    </row>
    <row r="6323" spans="1:30" x14ac:dyDescent="0.35">
      <c r="A6323" s="7">
        <v>43249</v>
      </c>
      <c r="B6323" t="s">
        <v>30</v>
      </c>
      <c r="C6323">
        <v>111</v>
      </c>
      <c r="D6323">
        <v>8</v>
      </c>
      <c r="E6323">
        <v>2</v>
      </c>
      <c r="F6323" t="s">
        <v>1020</v>
      </c>
      <c r="G6323" t="s">
        <v>32</v>
      </c>
      <c r="H6323" t="s">
        <v>33</v>
      </c>
      <c r="I6323" t="s">
        <v>59</v>
      </c>
      <c r="AB6323" t="s">
        <v>47</v>
      </c>
      <c r="AC6323" t="s">
        <v>87</v>
      </c>
    </row>
    <row r="6324" spans="1:30" x14ac:dyDescent="0.35">
      <c r="A6324" s="7">
        <v>43249</v>
      </c>
      <c r="B6324" t="s">
        <v>30</v>
      </c>
      <c r="C6324">
        <v>113</v>
      </c>
      <c r="D6324">
        <v>1</v>
      </c>
      <c r="E6324">
        <v>1</v>
      </c>
      <c r="F6324" t="s">
        <v>1020</v>
      </c>
      <c r="G6324" t="s">
        <v>32</v>
      </c>
      <c r="H6324" t="s">
        <v>33</v>
      </c>
      <c r="I6324" t="s">
        <v>59</v>
      </c>
      <c r="AB6324" t="s">
        <v>47</v>
      </c>
      <c r="AC6324" t="s">
        <v>87</v>
      </c>
    </row>
    <row r="6325" spans="1:30" x14ac:dyDescent="0.35">
      <c r="A6325" s="7">
        <v>43249</v>
      </c>
      <c r="B6325" t="s">
        <v>30</v>
      </c>
      <c r="C6325">
        <v>113</v>
      </c>
      <c r="D6325">
        <v>5</v>
      </c>
      <c r="E6325">
        <v>1</v>
      </c>
      <c r="F6325" t="s">
        <v>1020</v>
      </c>
      <c r="G6325" t="s">
        <v>32</v>
      </c>
      <c r="H6325" t="s">
        <v>33</v>
      </c>
      <c r="I6325" t="s">
        <v>59</v>
      </c>
      <c r="AB6325" t="s">
        <v>47</v>
      </c>
      <c r="AC6325" t="s">
        <v>87</v>
      </c>
    </row>
    <row r="6326" spans="1:30" x14ac:dyDescent="0.35">
      <c r="A6326" s="7">
        <v>43249</v>
      </c>
      <c r="B6326" t="s">
        <v>30</v>
      </c>
      <c r="C6326">
        <v>113</v>
      </c>
      <c r="D6326">
        <v>6</v>
      </c>
      <c r="E6326">
        <v>1</v>
      </c>
      <c r="F6326" t="s">
        <v>1020</v>
      </c>
      <c r="G6326" t="s">
        <v>32</v>
      </c>
      <c r="H6326" t="s">
        <v>33</v>
      </c>
      <c r="I6326" t="s">
        <v>59</v>
      </c>
      <c r="AB6326" t="s">
        <v>47</v>
      </c>
      <c r="AC6326" t="s">
        <v>87</v>
      </c>
    </row>
    <row r="6327" spans="1:30" x14ac:dyDescent="0.35">
      <c r="A6327" s="7">
        <v>43249</v>
      </c>
      <c r="B6327" t="s">
        <v>30</v>
      </c>
      <c r="C6327">
        <v>201</v>
      </c>
      <c r="D6327">
        <v>4</v>
      </c>
      <c r="E6327">
        <v>2</v>
      </c>
      <c r="F6327" t="s">
        <v>1129</v>
      </c>
      <c r="G6327" t="s">
        <v>32</v>
      </c>
      <c r="H6327" t="s">
        <v>33</v>
      </c>
      <c r="I6327" t="s">
        <v>59</v>
      </c>
      <c r="AB6327" t="s">
        <v>47</v>
      </c>
      <c r="AC6327" t="s">
        <v>87</v>
      </c>
    </row>
    <row r="6328" spans="1:30" x14ac:dyDescent="0.35">
      <c r="A6328" s="7">
        <v>43249</v>
      </c>
      <c r="B6328" t="s">
        <v>30</v>
      </c>
      <c r="C6328">
        <v>201</v>
      </c>
      <c r="D6328">
        <v>5</v>
      </c>
      <c r="E6328">
        <v>1</v>
      </c>
      <c r="F6328" t="s">
        <v>1129</v>
      </c>
      <c r="G6328" t="s">
        <v>32</v>
      </c>
      <c r="H6328" t="s">
        <v>33</v>
      </c>
      <c r="I6328" t="s">
        <v>59</v>
      </c>
      <c r="AB6328" t="s">
        <v>47</v>
      </c>
      <c r="AC6328" t="s">
        <v>87</v>
      </c>
      <c r="AD6328" t="s">
        <v>1149</v>
      </c>
    </row>
    <row r="6329" spans="1:30" x14ac:dyDescent="0.35">
      <c r="A6329" s="7">
        <v>43249</v>
      </c>
      <c r="B6329" t="s">
        <v>30</v>
      </c>
      <c r="C6329">
        <v>201</v>
      </c>
      <c r="D6329">
        <v>7</v>
      </c>
      <c r="E6329">
        <v>1</v>
      </c>
      <c r="F6329" t="s">
        <v>1129</v>
      </c>
      <c r="G6329" t="s">
        <v>32</v>
      </c>
      <c r="H6329" t="s">
        <v>33</v>
      </c>
      <c r="I6329" t="s">
        <v>59</v>
      </c>
      <c r="AB6329" t="s">
        <v>47</v>
      </c>
      <c r="AC6329" t="s">
        <v>87</v>
      </c>
    </row>
    <row r="6330" spans="1:30" x14ac:dyDescent="0.35">
      <c r="A6330" s="7">
        <v>43249</v>
      </c>
      <c r="B6330" t="s">
        <v>30</v>
      </c>
      <c r="C6330">
        <v>202</v>
      </c>
      <c r="D6330">
        <v>1</v>
      </c>
      <c r="E6330">
        <v>1</v>
      </c>
      <c r="F6330" t="s">
        <v>1129</v>
      </c>
      <c r="G6330" t="s">
        <v>32</v>
      </c>
      <c r="H6330" t="s">
        <v>33</v>
      </c>
      <c r="I6330" t="s">
        <v>59</v>
      </c>
      <c r="AB6330" t="s">
        <v>47</v>
      </c>
      <c r="AC6330" t="s">
        <v>87</v>
      </c>
    </row>
    <row r="6331" spans="1:30" x14ac:dyDescent="0.35">
      <c r="A6331" s="7">
        <v>43249</v>
      </c>
      <c r="B6331" t="s">
        <v>30</v>
      </c>
      <c r="C6331">
        <v>202</v>
      </c>
      <c r="D6331">
        <v>3</v>
      </c>
      <c r="E6331">
        <v>1</v>
      </c>
      <c r="F6331" t="s">
        <v>1129</v>
      </c>
      <c r="G6331" t="s">
        <v>32</v>
      </c>
      <c r="H6331" t="s">
        <v>33</v>
      </c>
      <c r="I6331" t="s">
        <v>59</v>
      </c>
      <c r="AB6331" t="s">
        <v>47</v>
      </c>
      <c r="AC6331" t="s">
        <v>87</v>
      </c>
    </row>
    <row r="6332" spans="1:30" x14ac:dyDescent="0.35">
      <c r="A6332" s="7">
        <v>43249</v>
      </c>
      <c r="B6332" t="s">
        <v>30</v>
      </c>
      <c r="C6332">
        <v>203</v>
      </c>
      <c r="D6332">
        <v>6</v>
      </c>
      <c r="E6332">
        <v>1</v>
      </c>
      <c r="F6332" t="s">
        <v>1129</v>
      </c>
      <c r="G6332" t="s">
        <v>32</v>
      </c>
      <c r="H6332" t="s">
        <v>33</v>
      </c>
      <c r="I6332" t="s">
        <v>59</v>
      </c>
      <c r="AB6332" t="s">
        <v>47</v>
      </c>
      <c r="AC6332" t="s">
        <v>87</v>
      </c>
    </row>
    <row r="6333" spans="1:30" x14ac:dyDescent="0.35">
      <c r="A6333" s="7">
        <v>43249</v>
      </c>
      <c r="B6333" t="s">
        <v>30</v>
      </c>
      <c r="C6333">
        <v>304</v>
      </c>
      <c r="D6333">
        <v>4</v>
      </c>
      <c r="E6333">
        <v>1</v>
      </c>
      <c r="F6333" t="s">
        <v>1129</v>
      </c>
      <c r="G6333" t="s">
        <v>32</v>
      </c>
      <c r="H6333" t="s">
        <v>33</v>
      </c>
      <c r="I6333" t="s">
        <v>59</v>
      </c>
      <c r="AB6333" t="s">
        <v>47</v>
      </c>
      <c r="AC6333" t="s">
        <v>87</v>
      </c>
      <c r="AD6333" t="s">
        <v>1150</v>
      </c>
    </row>
    <row r="6334" spans="1:30" x14ac:dyDescent="0.35">
      <c r="A6334" s="7">
        <v>43249</v>
      </c>
      <c r="B6334" t="s">
        <v>30</v>
      </c>
      <c r="C6334">
        <v>304</v>
      </c>
      <c r="D6334">
        <v>7</v>
      </c>
      <c r="E6334">
        <v>1</v>
      </c>
      <c r="F6334" t="s">
        <v>1129</v>
      </c>
      <c r="G6334" t="s">
        <v>32</v>
      </c>
      <c r="H6334" t="s">
        <v>33</v>
      </c>
      <c r="I6334" t="s">
        <v>59</v>
      </c>
      <c r="AB6334" t="s">
        <v>47</v>
      </c>
      <c r="AC6334" t="s">
        <v>87</v>
      </c>
    </row>
    <row r="6335" spans="1:30" x14ac:dyDescent="0.35">
      <c r="A6335" s="7">
        <v>43249</v>
      </c>
      <c r="B6335" t="s">
        <v>30</v>
      </c>
      <c r="C6335">
        <v>304</v>
      </c>
      <c r="D6335">
        <v>8</v>
      </c>
      <c r="E6335">
        <v>1</v>
      </c>
      <c r="F6335" t="s">
        <v>1129</v>
      </c>
      <c r="G6335" t="s">
        <v>32</v>
      </c>
      <c r="H6335" t="s">
        <v>33</v>
      </c>
      <c r="I6335" t="s">
        <v>59</v>
      </c>
      <c r="AB6335" t="s">
        <v>47</v>
      </c>
      <c r="AC6335" t="s">
        <v>87</v>
      </c>
    </row>
    <row r="6336" spans="1:30" x14ac:dyDescent="0.35">
      <c r="A6336" s="7">
        <v>43249</v>
      </c>
      <c r="B6336" t="s">
        <v>30</v>
      </c>
      <c r="C6336">
        <v>304</v>
      </c>
      <c r="D6336">
        <v>9</v>
      </c>
      <c r="E6336">
        <v>1</v>
      </c>
      <c r="F6336" t="s">
        <v>1129</v>
      </c>
      <c r="G6336" t="s">
        <v>32</v>
      </c>
      <c r="H6336" t="s">
        <v>33</v>
      </c>
      <c r="I6336" t="s">
        <v>59</v>
      </c>
      <c r="AB6336" t="s">
        <v>47</v>
      </c>
      <c r="AC6336" t="s">
        <v>87</v>
      </c>
    </row>
    <row r="6337" spans="1:30" x14ac:dyDescent="0.35">
      <c r="A6337" s="7">
        <v>43249</v>
      </c>
      <c r="B6337" t="s">
        <v>30</v>
      </c>
      <c r="C6337">
        <v>112</v>
      </c>
      <c r="D6337">
        <v>9</v>
      </c>
      <c r="E6337">
        <v>1</v>
      </c>
      <c r="F6337" t="s">
        <v>1020</v>
      </c>
      <c r="G6337" t="s">
        <v>32</v>
      </c>
      <c r="H6337" t="s">
        <v>33</v>
      </c>
      <c r="I6337" t="s">
        <v>94</v>
      </c>
      <c r="J6337" t="s">
        <v>35</v>
      </c>
      <c r="K6337" t="s">
        <v>36</v>
      </c>
      <c r="L6337" t="s">
        <v>37</v>
      </c>
      <c r="M6337">
        <v>0</v>
      </c>
      <c r="N6337">
        <v>1</v>
      </c>
      <c r="O6337">
        <v>2461</v>
      </c>
      <c r="Q6337">
        <f>32-13</f>
        <v>19</v>
      </c>
      <c r="R6337" t="s">
        <v>38</v>
      </c>
      <c r="AB6337" t="s">
        <v>47</v>
      </c>
      <c r="AC6337" t="s">
        <v>87</v>
      </c>
    </row>
    <row r="6338" spans="1:30" x14ac:dyDescent="0.35">
      <c r="A6338" s="7">
        <v>43250</v>
      </c>
      <c r="B6338" t="s">
        <v>30</v>
      </c>
      <c r="C6338">
        <v>111</v>
      </c>
      <c r="D6338">
        <v>2</v>
      </c>
      <c r="E6338">
        <v>1</v>
      </c>
      <c r="F6338" t="s">
        <v>1020</v>
      </c>
      <c r="G6338" t="s">
        <v>32</v>
      </c>
      <c r="H6338" t="s">
        <v>33</v>
      </c>
      <c r="I6338" t="s">
        <v>43</v>
      </c>
      <c r="J6338" t="s">
        <v>44</v>
      </c>
      <c r="K6338" t="s">
        <v>36</v>
      </c>
      <c r="L6338" t="s">
        <v>45</v>
      </c>
      <c r="M6338">
        <v>0</v>
      </c>
      <c r="N6338">
        <v>0</v>
      </c>
      <c r="O6338">
        <v>39714</v>
      </c>
      <c r="P6338">
        <v>39713</v>
      </c>
      <c r="Q6338">
        <f>33.5-13</f>
        <v>20.5</v>
      </c>
      <c r="R6338" t="s">
        <v>1021</v>
      </c>
      <c r="S6338" t="s">
        <v>102</v>
      </c>
      <c r="AB6338" t="s">
        <v>47</v>
      </c>
      <c r="AC6338" t="s">
        <v>87</v>
      </c>
    </row>
    <row r="6339" spans="1:30" x14ac:dyDescent="0.35">
      <c r="A6339" s="7">
        <v>43250</v>
      </c>
      <c r="B6339" t="s">
        <v>30</v>
      </c>
      <c r="C6339">
        <v>304</v>
      </c>
      <c r="D6339">
        <v>1</v>
      </c>
      <c r="E6339">
        <v>1</v>
      </c>
      <c r="F6339" t="s">
        <v>1129</v>
      </c>
      <c r="G6339" t="s">
        <v>32</v>
      </c>
      <c r="H6339" t="s">
        <v>33</v>
      </c>
      <c r="I6339" t="s">
        <v>43</v>
      </c>
      <c r="J6339" t="s">
        <v>44</v>
      </c>
      <c r="K6339" t="s">
        <v>36</v>
      </c>
      <c r="L6339" t="s">
        <v>37</v>
      </c>
      <c r="M6339">
        <v>0</v>
      </c>
      <c r="N6339">
        <v>0</v>
      </c>
      <c r="O6339">
        <v>39709</v>
      </c>
      <c r="P6339">
        <v>39708</v>
      </c>
      <c r="Q6339">
        <f>35-13</f>
        <v>22</v>
      </c>
      <c r="R6339" t="s">
        <v>38</v>
      </c>
      <c r="AB6339" t="s">
        <v>47</v>
      </c>
      <c r="AC6339" t="s">
        <v>87</v>
      </c>
    </row>
    <row r="6340" spans="1:30" x14ac:dyDescent="0.35">
      <c r="A6340" s="7">
        <v>43250</v>
      </c>
      <c r="B6340" t="s">
        <v>30</v>
      </c>
      <c r="C6340">
        <v>304</v>
      </c>
      <c r="D6340">
        <v>8</v>
      </c>
      <c r="E6340">
        <v>1</v>
      </c>
      <c r="F6340" t="s">
        <v>1129</v>
      </c>
      <c r="G6340" t="s">
        <v>32</v>
      </c>
      <c r="H6340" t="s">
        <v>33</v>
      </c>
      <c r="I6340" t="s">
        <v>43</v>
      </c>
      <c r="J6340" t="s">
        <v>35</v>
      </c>
      <c r="K6340" t="s">
        <v>36</v>
      </c>
      <c r="L6340" t="s">
        <v>45</v>
      </c>
      <c r="M6340">
        <v>0</v>
      </c>
      <c r="N6340">
        <v>1</v>
      </c>
      <c r="O6340">
        <v>2966</v>
      </c>
      <c r="P6340">
        <v>2965</v>
      </c>
      <c r="Q6340">
        <f>39.5-15</f>
        <v>24.5</v>
      </c>
      <c r="R6340" t="s">
        <v>1028</v>
      </c>
      <c r="S6340" t="s">
        <v>102</v>
      </c>
      <c r="AB6340" t="s">
        <v>47</v>
      </c>
      <c r="AC6340" t="s">
        <v>87</v>
      </c>
    </row>
    <row r="6341" spans="1:30" x14ac:dyDescent="0.35">
      <c r="A6341" s="7">
        <v>43250</v>
      </c>
      <c r="B6341" t="s">
        <v>30</v>
      </c>
      <c r="C6341">
        <v>111</v>
      </c>
      <c r="D6341">
        <v>2</v>
      </c>
      <c r="E6341">
        <v>2</v>
      </c>
      <c r="F6341" t="s">
        <v>1020</v>
      </c>
      <c r="G6341" t="s">
        <v>32</v>
      </c>
      <c r="H6341" t="s">
        <v>33</v>
      </c>
      <c r="I6341" t="s">
        <v>34</v>
      </c>
      <c r="J6341" t="s">
        <v>44</v>
      </c>
      <c r="K6341" t="s">
        <v>36</v>
      </c>
      <c r="L6341" t="s">
        <v>37</v>
      </c>
      <c r="M6341">
        <v>0</v>
      </c>
      <c r="N6341">
        <v>0</v>
      </c>
      <c r="Q6341">
        <f>187-125</f>
        <v>62</v>
      </c>
      <c r="R6341" t="s">
        <v>64</v>
      </c>
      <c r="AB6341" t="s">
        <v>47</v>
      </c>
      <c r="AC6341" t="s">
        <v>87</v>
      </c>
      <c r="AD6341" t="s">
        <v>1142</v>
      </c>
    </row>
    <row r="6342" spans="1:30" x14ac:dyDescent="0.35">
      <c r="A6342" s="7">
        <v>43250</v>
      </c>
      <c r="B6342" t="s">
        <v>30</v>
      </c>
      <c r="C6342">
        <v>201</v>
      </c>
      <c r="D6342">
        <v>4</v>
      </c>
      <c r="E6342">
        <v>1</v>
      </c>
      <c r="F6342" t="s">
        <v>1129</v>
      </c>
      <c r="G6342" t="s">
        <v>32</v>
      </c>
      <c r="H6342" t="s">
        <v>33</v>
      </c>
      <c r="I6342" t="s">
        <v>34</v>
      </c>
      <c r="J6342" t="s">
        <v>56</v>
      </c>
      <c r="AB6342" t="s">
        <v>47</v>
      </c>
      <c r="AC6342" t="s">
        <v>87</v>
      </c>
    </row>
    <row r="6343" spans="1:30" x14ac:dyDescent="0.35">
      <c r="A6343" s="7">
        <v>43250</v>
      </c>
      <c r="B6343" t="s">
        <v>30</v>
      </c>
      <c r="C6343">
        <v>202</v>
      </c>
      <c r="D6343">
        <v>1</v>
      </c>
      <c r="E6343">
        <v>1</v>
      </c>
      <c r="F6343" t="s">
        <v>1129</v>
      </c>
      <c r="G6343" t="s">
        <v>32</v>
      </c>
      <c r="H6343" t="s">
        <v>33</v>
      </c>
      <c r="I6343" t="s">
        <v>34</v>
      </c>
      <c r="J6343" t="s">
        <v>56</v>
      </c>
      <c r="AB6343" t="s">
        <v>47</v>
      </c>
      <c r="AC6343" t="s">
        <v>87</v>
      </c>
    </row>
    <row r="6344" spans="1:30" x14ac:dyDescent="0.35">
      <c r="A6344" s="7">
        <v>43250</v>
      </c>
      <c r="B6344" t="s">
        <v>30</v>
      </c>
      <c r="C6344">
        <v>111</v>
      </c>
      <c r="D6344">
        <v>5</v>
      </c>
      <c r="E6344">
        <v>1</v>
      </c>
      <c r="F6344" t="s">
        <v>1020</v>
      </c>
      <c r="G6344" t="s">
        <v>32</v>
      </c>
      <c r="H6344" t="s">
        <v>33</v>
      </c>
      <c r="I6344" t="s">
        <v>59</v>
      </c>
      <c r="AB6344" t="s">
        <v>47</v>
      </c>
      <c r="AC6344" t="s">
        <v>87</v>
      </c>
    </row>
    <row r="6345" spans="1:30" x14ac:dyDescent="0.35">
      <c r="A6345" s="7">
        <v>43250</v>
      </c>
      <c r="B6345" t="s">
        <v>30</v>
      </c>
      <c r="C6345">
        <v>111</v>
      </c>
      <c r="D6345">
        <v>8</v>
      </c>
      <c r="E6345">
        <v>1</v>
      </c>
      <c r="F6345" t="s">
        <v>1020</v>
      </c>
      <c r="G6345" t="s">
        <v>32</v>
      </c>
      <c r="H6345" t="s">
        <v>33</v>
      </c>
      <c r="I6345" t="s">
        <v>59</v>
      </c>
      <c r="AB6345" t="s">
        <v>47</v>
      </c>
      <c r="AC6345" t="s">
        <v>87</v>
      </c>
    </row>
    <row r="6346" spans="1:30" x14ac:dyDescent="0.35">
      <c r="A6346" s="7">
        <v>43250</v>
      </c>
      <c r="B6346" t="s">
        <v>30</v>
      </c>
      <c r="C6346">
        <v>111</v>
      </c>
      <c r="D6346">
        <v>8</v>
      </c>
      <c r="E6346">
        <v>2</v>
      </c>
      <c r="F6346" t="s">
        <v>1020</v>
      </c>
      <c r="G6346" t="s">
        <v>32</v>
      </c>
      <c r="H6346" t="s">
        <v>33</v>
      </c>
      <c r="I6346" t="s">
        <v>59</v>
      </c>
      <c r="AB6346" t="s">
        <v>47</v>
      </c>
      <c r="AC6346" t="s">
        <v>87</v>
      </c>
    </row>
    <row r="6347" spans="1:30" x14ac:dyDescent="0.35">
      <c r="A6347" s="7">
        <v>43250</v>
      </c>
      <c r="B6347" t="s">
        <v>30</v>
      </c>
      <c r="C6347">
        <v>111</v>
      </c>
      <c r="D6347">
        <v>9</v>
      </c>
      <c r="E6347">
        <v>1</v>
      </c>
      <c r="F6347" t="s">
        <v>1020</v>
      </c>
      <c r="G6347" t="s">
        <v>32</v>
      </c>
      <c r="H6347" t="s">
        <v>33</v>
      </c>
      <c r="I6347" t="s">
        <v>59</v>
      </c>
      <c r="AB6347" t="s">
        <v>47</v>
      </c>
      <c r="AC6347" t="s">
        <v>87</v>
      </c>
    </row>
    <row r="6348" spans="1:30" x14ac:dyDescent="0.35">
      <c r="A6348" s="7">
        <v>43250</v>
      </c>
      <c r="B6348" t="s">
        <v>30</v>
      </c>
      <c r="C6348">
        <v>112</v>
      </c>
      <c r="D6348">
        <v>6</v>
      </c>
      <c r="E6348">
        <v>1</v>
      </c>
      <c r="F6348" t="s">
        <v>1020</v>
      </c>
      <c r="G6348" t="s">
        <v>32</v>
      </c>
      <c r="H6348" t="s">
        <v>33</v>
      </c>
      <c r="I6348" t="s">
        <v>59</v>
      </c>
      <c r="AB6348" t="s">
        <v>47</v>
      </c>
      <c r="AC6348" t="s">
        <v>87</v>
      </c>
    </row>
    <row r="6349" spans="1:30" x14ac:dyDescent="0.35">
      <c r="A6349" s="7">
        <v>43250</v>
      </c>
      <c r="B6349" t="s">
        <v>30</v>
      </c>
      <c r="C6349">
        <v>112</v>
      </c>
      <c r="D6349">
        <v>9</v>
      </c>
      <c r="E6349">
        <v>1</v>
      </c>
      <c r="F6349" t="s">
        <v>1020</v>
      </c>
      <c r="G6349" t="s">
        <v>32</v>
      </c>
      <c r="H6349" t="s">
        <v>33</v>
      </c>
      <c r="I6349" t="s">
        <v>59</v>
      </c>
      <c r="AB6349" t="s">
        <v>47</v>
      </c>
      <c r="AC6349" t="s">
        <v>87</v>
      </c>
    </row>
    <row r="6350" spans="1:30" x14ac:dyDescent="0.35">
      <c r="A6350" s="7">
        <v>43250</v>
      </c>
      <c r="B6350" t="s">
        <v>30</v>
      </c>
      <c r="C6350">
        <v>112</v>
      </c>
      <c r="D6350">
        <v>10</v>
      </c>
      <c r="E6350">
        <v>1</v>
      </c>
      <c r="F6350" t="s">
        <v>1020</v>
      </c>
      <c r="G6350" t="s">
        <v>32</v>
      </c>
      <c r="H6350" t="s">
        <v>33</v>
      </c>
      <c r="I6350" t="s">
        <v>59</v>
      </c>
      <c r="AB6350" t="s">
        <v>47</v>
      </c>
      <c r="AC6350" t="s">
        <v>87</v>
      </c>
    </row>
    <row r="6351" spans="1:30" x14ac:dyDescent="0.35">
      <c r="A6351" s="7">
        <v>43250</v>
      </c>
      <c r="B6351" t="s">
        <v>30</v>
      </c>
      <c r="C6351">
        <v>201</v>
      </c>
      <c r="D6351">
        <v>1</v>
      </c>
      <c r="E6351">
        <v>1</v>
      </c>
      <c r="F6351" t="s">
        <v>1129</v>
      </c>
      <c r="G6351" t="s">
        <v>32</v>
      </c>
      <c r="H6351" t="s">
        <v>33</v>
      </c>
      <c r="I6351" t="s">
        <v>59</v>
      </c>
      <c r="AB6351" t="s">
        <v>47</v>
      </c>
      <c r="AC6351" t="s">
        <v>87</v>
      </c>
    </row>
    <row r="6352" spans="1:30" x14ac:dyDescent="0.35">
      <c r="A6352" s="7">
        <v>43250</v>
      </c>
      <c r="B6352" t="s">
        <v>30</v>
      </c>
      <c r="C6352">
        <v>201</v>
      </c>
      <c r="D6352">
        <v>6</v>
      </c>
      <c r="E6352">
        <v>1</v>
      </c>
      <c r="F6352" t="s">
        <v>1129</v>
      </c>
      <c r="G6352" t="s">
        <v>32</v>
      </c>
      <c r="H6352" t="s">
        <v>33</v>
      </c>
      <c r="I6352" t="s">
        <v>59</v>
      </c>
      <c r="AB6352" t="s">
        <v>47</v>
      </c>
      <c r="AC6352" t="s">
        <v>87</v>
      </c>
    </row>
    <row r="6353" spans="1:30" x14ac:dyDescent="0.35">
      <c r="A6353" s="7">
        <v>43250</v>
      </c>
      <c r="B6353" t="s">
        <v>30</v>
      </c>
      <c r="C6353">
        <v>201</v>
      </c>
      <c r="D6353">
        <v>8</v>
      </c>
      <c r="E6353">
        <v>1</v>
      </c>
      <c r="F6353" t="s">
        <v>1129</v>
      </c>
      <c r="G6353" t="s">
        <v>32</v>
      </c>
      <c r="H6353" t="s">
        <v>33</v>
      </c>
      <c r="I6353" t="s">
        <v>59</v>
      </c>
      <c r="AB6353" t="s">
        <v>47</v>
      </c>
      <c r="AC6353" t="s">
        <v>87</v>
      </c>
    </row>
    <row r="6354" spans="1:30" x14ac:dyDescent="0.35">
      <c r="A6354" s="7">
        <v>43250</v>
      </c>
      <c r="B6354" t="s">
        <v>30</v>
      </c>
      <c r="C6354">
        <v>201</v>
      </c>
      <c r="D6354">
        <v>9</v>
      </c>
      <c r="E6354">
        <v>1</v>
      </c>
      <c r="F6354" t="s">
        <v>1129</v>
      </c>
      <c r="G6354" t="s">
        <v>32</v>
      </c>
      <c r="H6354" t="s">
        <v>33</v>
      </c>
      <c r="I6354" t="s">
        <v>59</v>
      </c>
      <c r="AB6354" t="s">
        <v>47</v>
      </c>
      <c r="AC6354" t="s">
        <v>87</v>
      </c>
    </row>
    <row r="6355" spans="1:30" x14ac:dyDescent="0.35">
      <c r="A6355" s="7">
        <v>43250</v>
      </c>
      <c r="B6355" t="s">
        <v>30</v>
      </c>
      <c r="C6355">
        <v>201</v>
      </c>
      <c r="D6355">
        <v>10</v>
      </c>
      <c r="E6355">
        <v>1</v>
      </c>
      <c r="F6355" t="s">
        <v>1129</v>
      </c>
      <c r="G6355" t="s">
        <v>32</v>
      </c>
      <c r="H6355" t="s">
        <v>33</v>
      </c>
      <c r="I6355" t="s">
        <v>59</v>
      </c>
      <c r="AB6355" t="s">
        <v>47</v>
      </c>
      <c r="AC6355" t="s">
        <v>87</v>
      </c>
    </row>
    <row r="6356" spans="1:30" x14ac:dyDescent="0.35">
      <c r="A6356" s="7">
        <v>43250</v>
      </c>
      <c r="B6356" t="s">
        <v>30</v>
      </c>
      <c r="C6356">
        <v>202</v>
      </c>
      <c r="D6356">
        <v>6</v>
      </c>
      <c r="E6356">
        <v>1</v>
      </c>
      <c r="F6356" t="s">
        <v>1129</v>
      </c>
      <c r="G6356" t="s">
        <v>32</v>
      </c>
      <c r="H6356" t="s">
        <v>33</v>
      </c>
      <c r="I6356" t="s">
        <v>59</v>
      </c>
      <c r="AB6356" t="s">
        <v>47</v>
      </c>
      <c r="AC6356" t="s">
        <v>87</v>
      </c>
    </row>
    <row r="6357" spans="1:30" x14ac:dyDescent="0.35">
      <c r="A6357" s="7">
        <v>43250</v>
      </c>
      <c r="B6357" t="s">
        <v>30</v>
      </c>
      <c r="C6357">
        <v>202</v>
      </c>
      <c r="D6357">
        <v>7</v>
      </c>
      <c r="E6357">
        <v>1</v>
      </c>
      <c r="F6357" t="s">
        <v>1129</v>
      </c>
      <c r="G6357" t="s">
        <v>32</v>
      </c>
      <c r="H6357" t="s">
        <v>33</v>
      </c>
      <c r="I6357" t="s">
        <v>59</v>
      </c>
      <c r="AB6357" t="s">
        <v>47</v>
      </c>
      <c r="AC6357" t="s">
        <v>87</v>
      </c>
    </row>
    <row r="6358" spans="1:30" x14ac:dyDescent="0.35">
      <c r="A6358" s="7">
        <v>43250</v>
      </c>
      <c r="B6358" t="s">
        <v>30</v>
      </c>
      <c r="C6358">
        <v>304</v>
      </c>
      <c r="D6358">
        <v>9</v>
      </c>
      <c r="E6358">
        <v>1</v>
      </c>
      <c r="F6358" t="s">
        <v>1129</v>
      </c>
      <c r="G6358" t="s">
        <v>32</v>
      </c>
      <c r="H6358" t="s">
        <v>33</v>
      </c>
      <c r="I6358" t="s">
        <v>59</v>
      </c>
      <c r="AB6358" t="s">
        <v>47</v>
      </c>
      <c r="AC6358" t="s">
        <v>87</v>
      </c>
    </row>
    <row r="6359" spans="1:30" x14ac:dyDescent="0.35">
      <c r="A6359" s="7">
        <v>43250</v>
      </c>
      <c r="B6359" t="s">
        <v>30</v>
      </c>
      <c r="C6359">
        <v>402</v>
      </c>
      <c r="D6359">
        <v>1</v>
      </c>
      <c r="E6359">
        <v>1</v>
      </c>
      <c r="F6359" t="s">
        <v>1020</v>
      </c>
      <c r="G6359" t="s">
        <v>32</v>
      </c>
      <c r="H6359" t="s">
        <v>33</v>
      </c>
      <c r="I6359" t="s">
        <v>59</v>
      </c>
      <c r="AB6359" t="s">
        <v>47</v>
      </c>
      <c r="AC6359" t="s">
        <v>87</v>
      </c>
    </row>
    <row r="6360" spans="1:30" x14ac:dyDescent="0.35">
      <c r="A6360" s="7">
        <v>43250</v>
      </c>
      <c r="B6360" t="s">
        <v>30</v>
      </c>
      <c r="C6360">
        <v>402</v>
      </c>
      <c r="D6360">
        <v>4</v>
      </c>
      <c r="E6360">
        <v>1</v>
      </c>
      <c r="F6360" t="s">
        <v>1020</v>
      </c>
      <c r="G6360" t="s">
        <v>32</v>
      </c>
      <c r="H6360" t="s">
        <v>33</v>
      </c>
      <c r="I6360" t="s">
        <v>94</v>
      </c>
      <c r="J6360" t="s">
        <v>35</v>
      </c>
      <c r="K6360" t="s">
        <v>36</v>
      </c>
      <c r="L6360" t="s">
        <v>45</v>
      </c>
      <c r="M6360">
        <v>0</v>
      </c>
      <c r="N6360">
        <v>1</v>
      </c>
      <c r="O6360">
        <v>2460</v>
      </c>
      <c r="Q6360">
        <f>34.5-13</f>
        <v>21.5</v>
      </c>
      <c r="R6360" t="s">
        <v>46</v>
      </c>
      <c r="S6360" t="s">
        <v>39</v>
      </c>
      <c r="AB6360" t="s">
        <v>47</v>
      </c>
      <c r="AC6360" t="s">
        <v>87</v>
      </c>
    </row>
    <row r="6361" spans="1:30" x14ac:dyDescent="0.35">
      <c r="A6361" s="7">
        <v>43251</v>
      </c>
      <c r="B6361" t="s">
        <v>30</v>
      </c>
      <c r="C6361">
        <v>111</v>
      </c>
      <c r="D6361">
        <v>2</v>
      </c>
      <c r="E6361">
        <v>1</v>
      </c>
      <c r="F6361" t="s">
        <v>1020</v>
      </c>
      <c r="G6361" t="s">
        <v>32</v>
      </c>
      <c r="H6361" t="s">
        <v>33</v>
      </c>
      <c r="I6361" t="s">
        <v>43</v>
      </c>
      <c r="J6361" t="s">
        <v>44</v>
      </c>
      <c r="K6361" t="s">
        <v>36</v>
      </c>
      <c r="L6361" t="s">
        <v>45</v>
      </c>
      <c r="M6361">
        <v>0</v>
      </c>
      <c r="N6361">
        <v>0</v>
      </c>
      <c r="O6361">
        <v>39714</v>
      </c>
      <c r="P6361">
        <v>39713</v>
      </c>
      <c r="Q6361">
        <f>24-13</f>
        <v>11</v>
      </c>
      <c r="R6361" t="s">
        <v>1021</v>
      </c>
      <c r="S6361" t="s">
        <v>102</v>
      </c>
      <c r="AB6361" t="s">
        <v>86</v>
      </c>
      <c r="AC6361" t="s">
        <v>137</v>
      </c>
    </row>
    <row r="6362" spans="1:30" x14ac:dyDescent="0.35">
      <c r="A6362" s="7">
        <v>43251</v>
      </c>
      <c r="B6362" t="s">
        <v>30</v>
      </c>
      <c r="C6362">
        <v>111</v>
      </c>
      <c r="D6362">
        <v>4</v>
      </c>
      <c r="E6362">
        <v>1</v>
      </c>
      <c r="F6362" t="s">
        <v>1020</v>
      </c>
      <c r="G6362" t="s">
        <v>32</v>
      </c>
      <c r="H6362" t="s">
        <v>33</v>
      </c>
      <c r="I6362" t="s">
        <v>43</v>
      </c>
      <c r="J6362" t="s">
        <v>44</v>
      </c>
      <c r="K6362" t="s">
        <v>36</v>
      </c>
      <c r="L6362" t="s">
        <v>45</v>
      </c>
      <c r="M6362">
        <v>0</v>
      </c>
      <c r="N6362">
        <v>0</v>
      </c>
      <c r="O6362">
        <v>2463</v>
      </c>
      <c r="P6362">
        <v>2462</v>
      </c>
      <c r="Q6362">
        <f>40-13.5</f>
        <v>26.5</v>
      </c>
      <c r="R6362" t="s">
        <v>1028</v>
      </c>
      <c r="S6362" t="s">
        <v>102</v>
      </c>
      <c r="AB6362" t="s">
        <v>86</v>
      </c>
      <c r="AC6362" t="s">
        <v>137</v>
      </c>
    </row>
    <row r="6363" spans="1:30" x14ac:dyDescent="0.35">
      <c r="A6363" s="7">
        <v>43251</v>
      </c>
      <c r="B6363" t="s">
        <v>30</v>
      </c>
      <c r="C6363">
        <v>111</v>
      </c>
      <c r="D6363">
        <v>5</v>
      </c>
      <c r="E6363">
        <v>1</v>
      </c>
      <c r="F6363" t="s">
        <v>1020</v>
      </c>
      <c r="G6363" t="s">
        <v>32</v>
      </c>
      <c r="H6363" t="s">
        <v>33</v>
      </c>
      <c r="I6363" t="s">
        <v>43</v>
      </c>
      <c r="J6363" t="s">
        <v>35</v>
      </c>
      <c r="K6363" t="s">
        <v>36</v>
      </c>
      <c r="L6363" t="s">
        <v>37</v>
      </c>
      <c r="M6363">
        <v>0</v>
      </c>
      <c r="N6363">
        <v>1</v>
      </c>
      <c r="O6363">
        <v>2458</v>
      </c>
      <c r="P6363">
        <v>2457</v>
      </c>
      <c r="Q6363">
        <f>23-14</f>
        <v>9</v>
      </c>
      <c r="R6363" t="s">
        <v>38</v>
      </c>
      <c r="AB6363" t="s">
        <v>86</v>
      </c>
      <c r="AC6363" t="s">
        <v>137</v>
      </c>
    </row>
    <row r="6364" spans="1:30" x14ac:dyDescent="0.35">
      <c r="A6364" s="7">
        <v>43251</v>
      </c>
      <c r="B6364" t="s">
        <v>30</v>
      </c>
      <c r="C6364">
        <v>112</v>
      </c>
      <c r="D6364">
        <v>7</v>
      </c>
      <c r="E6364">
        <v>1</v>
      </c>
      <c r="F6364" t="s">
        <v>1020</v>
      </c>
      <c r="G6364" t="s">
        <v>32</v>
      </c>
      <c r="H6364" t="s">
        <v>33</v>
      </c>
      <c r="I6364" t="s">
        <v>43</v>
      </c>
      <c r="J6364" t="s">
        <v>139</v>
      </c>
      <c r="K6364" t="s">
        <v>36</v>
      </c>
      <c r="AB6364" t="s">
        <v>86</v>
      </c>
      <c r="AC6364" t="s">
        <v>137</v>
      </c>
      <c r="AD6364" t="s">
        <v>1151</v>
      </c>
    </row>
    <row r="6365" spans="1:30" x14ac:dyDescent="0.35">
      <c r="A6365" s="7">
        <v>43251</v>
      </c>
      <c r="B6365" t="s">
        <v>30</v>
      </c>
      <c r="C6365">
        <v>113</v>
      </c>
      <c r="D6365">
        <v>2</v>
      </c>
      <c r="E6365">
        <v>1</v>
      </c>
      <c r="F6365" t="s">
        <v>1020</v>
      </c>
      <c r="G6365" t="s">
        <v>32</v>
      </c>
      <c r="H6365" t="s">
        <v>33</v>
      </c>
      <c r="I6365" t="s">
        <v>43</v>
      </c>
      <c r="J6365" t="s">
        <v>139</v>
      </c>
      <c r="AB6365" t="s">
        <v>86</v>
      </c>
      <c r="AC6365" t="s">
        <v>137</v>
      </c>
      <c r="AD6365" t="s">
        <v>1152</v>
      </c>
    </row>
    <row r="6366" spans="1:30" x14ac:dyDescent="0.35">
      <c r="A6366" s="7">
        <v>43251</v>
      </c>
      <c r="B6366" t="s">
        <v>30</v>
      </c>
      <c r="C6366">
        <v>113</v>
      </c>
      <c r="D6366">
        <v>10</v>
      </c>
      <c r="E6366">
        <v>1</v>
      </c>
      <c r="F6366" t="s">
        <v>1020</v>
      </c>
      <c r="G6366" t="s">
        <v>32</v>
      </c>
      <c r="H6366" t="s">
        <v>33</v>
      </c>
      <c r="I6366" t="s">
        <v>43</v>
      </c>
      <c r="J6366" t="s">
        <v>139</v>
      </c>
      <c r="K6366" t="s">
        <v>36</v>
      </c>
      <c r="AB6366" t="s">
        <v>86</v>
      </c>
      <c r="AC6366" t="s">
        <v>137</v>
      </c>
      <c r="AD6366" t="s">
        <v>1153</v>
      </c>
    </row>
    <row r="6367" spans="1:30" x14ac:dyDescent="0.35">
      <c r="A6367" s="7">
        <v>43251</v>
      </c>
      <c r="B6367" t="s">
        <v>30</v>
      </c>
      <c r="C6367">
        <v>203</v>
      </c>
      <c r="D6367">
        <v>2</v>
      </c>
      <c r="E6367">
        <v>1</v>
      </c>
      <c r="F6367" t="s">
        <v>1129</v>
      </c>
      <c r="G6367" t="s">
        <v>32</v>
      </c>
      <c r="H6367" t="s">
        <v>33</v>
      </c>
      <c r="I6367" t="s">
        <v>43</v>
      </c>
      <c r="J6367" t="s">
        <v>35</v>
      </c>
      <c r="K6367" t="s">
        <v>36</v>
      </c>
      <c r="L6367" t="s">
        <v>37</v>
      </c>
      <c r="M6367">
        <v>0</v>
      </c>
      <c r="N6367">
        <v>1</v>
      </c>
      <c r="O6367">
        <v>2968</v>
      </c>
      <c r="P6367">
        <v>2967</v>
      </c>
      <c r="Q6367">
        <f>35-13</f>
        <v>22</v>
      </c>
      <c r="R6367" t="s">
        <v>38</v>
      </c>
      <c r="AB6367" t="s">
        <v>1136</v>
      </c>
      <c r="AC6367" t="s">
        <v>87</v>
      </c>
    </row>
    <row r="6368" spans="1:30" x14ac:dyDescent="0.35">
      <c r="A6368" s="7">
        <v>43251</v>
      </c>
      <c r="B6368" t="s">
        <v>30</v>
      </c>
      <c r="C6368">
        <v>111</v>
      </c>
      <c r="D6368">
        <v>3</v>
      </c>
      <c r="E6368">
        <v>1</v>
      </c>
      <c r="F6368" t="s">
        <v>1020</v>
      </c>
      <c r="G6368" t="s">
        <v>32</v>
      </c>
      <c r="H6368" t="s">
        <v>33</v>
      </c>
      <c r="I6368" t="s">
        <v>34</v>
      </c>
      <c r="J6368" t="s">
        <v>35</v>
      </c>
      <c r="K6368" t="s">
        <v>36</v>
      </c>
      <c r="L6368" t="s">
        <v>45</v>
      </c>
      <c r="M6368">
        <v>0</v>
      </c>
      <c r="N6368">
        <v>1</v>
      </c>
      <c r="O6368">
        <v>2459</v>
      </c>
      <c r="Q6368">
        <f>191-122</f>
        <v>69</v>
      </c>
      <c r="R6368" t="s">
        <v>46</v>
      </c>
      <c r="S6368" t="s">
        <v>39</v>
      </c>
      <c r="AB6368" t="s">
        <v>86</v>
      </c>
      <c r="AC6368" t="s">
        <v>137</v>
      </c>
    </row>
    <row r="6369" spans="1:30" x14ac:dyDescent="0.35">
      <c r="A6369" s="7">
        <v>43251</v>
      </c>
      <c r="B6369" t="s">
        <v>30</v>
      </c>
      <c r="C6369">
        <v>304</v>
      </c>
      <c r="D6369">
        <v>1</v>
      </c>
      <c r="E6369">
        <v>1</v>
      </c>
      <c r="F6369" t="s">
        <v>1129</v>
      </c>
      <c r="G6369" t="s">
        <v>32</v>
      </c>
      <c r="H6369" t="s">
        <v>33</v>
      </c>
      <c r="I6369" t="s">
        <v>34</v>
      </c>
      <c r="J6369" t="s">
        <v>56</v>
      </c>
      <c r="AB6369" t="s">
        <v>1136</v>
      </c>
      <c r="AC6369" t="s">
        <v>87</v>
      </c>
    </row>
    <row r="6370" spans="1:30" x14ac:dyDescent="0.35">
      <c r="A6370" s="7">
        <v>43251</v>
      </c>
      <c r="B6370" t="s">
        <v>30</v>
      </c>
      <c r="C6370">
        <v>304</v>
      </c>
      <c r="D6370">
        <v>9</v>
      </c>
      <c r="E6370">
        <v>1</v>
      </c>
      <c r="F6370" t="s">
        <v>1129</v>
      </c>
      <c r="G6370" t="s">
        <v>32</v>
      </c>
      <c r="H6370" t="s">
        <v>33</v>
      </c>
      <c r="I6370" t="s">
        <v>72</v>
      </c>
      <c r="J6370" t="s">
        <v>56</v>
      </c>
      <c r="AB6370" t="s">
        <v>1136</v>
      </c>
      <c r="AC6370" t="s">
        <v>87</v>
      </c>
    </row>
    <row r="6371" spans="1:30" x14ac:dyDescent="0.35">
      <c r="A6371" s="7">
        <v>43251</v>
      </c>
      <c r="B6371" t="s">
        <v>30</v>
      </c>
      <c r="C6371">
        <v>113</v>
      </c>
      <c r="D6371">
        <v>8</v>
      </c>
      <c r="E6371">
        <v>1</v>
      </c>
      <c r="F6371" t="s">
        <v>1020</v>
      </c>
      <c r="G6371" t="s">
        <v>32</v>
      </c>
      <c r="H6371" t="s">
        <v>33</v>
      </c>
      <c r="I6371" t="s">
        <v>84</v>
      </c>
      <c r="AB6371" t="s">
        <v>86</v>
      </c>
      <c r="AC6371" t="s">
        <v>137</v>
      </c>
    </row>
    <row r="6372" spans="1:30" x14ac:dyDescent="0.35">
      <c r="A6372" s="7">
        <v>43251</v>
      </c>
      <c r="B6372" t="s">
        <v>30</v>
      </c>
      <c r="C6372">
        <v>201</v>
      </c>
      <c r="D6372">
        <v>9</v>
      </c>
      <c r="E6372">
        <v>1</v>
      </c>
      <c r="F6372" t="s">
        <v>1129</v>
      </c>
      <c r="G6372" t="s">
        <v>32</v>
      </c>
      <c r="H6372" t="s">
        <v>33</v>
      </c>
      <c r="I6372" t="s">
        <v>84</v>
      </c>
      <c r="AB6372" t="s">
        <v>1136</v>
      </c>
      <c r="AC6372" t="s">
        <v>87</v>
      </c>
      <c r="AD6372" t="s">
        <v>1154</v>
      </c>
    </row>
    <row r="6373" spans="1:30" x14ac:dyDescent="0.35">
      <c r="A6373" s="7">
        <v>43251</v>
      </c>
      <c r="B6373" t="s">
        <v>30</v>
      </c>
      <c r="C6373">
        <v>111</v>
      </c>
      <c r="D6373">
        <v>8</v>
      </c>
      <c r="E6373">
        <v>1</v>
      </c>
      <c r="F6373" t="s">
        <v>1020</v>
      </c>
      <c r="G6373" t="s">
        <v>32</v>
      </c>
      <c r="H6373" t="s">
        <v>33</v>
      </c>
      <c r="I6373" t="s">
        <v>59</v>
      </c>
      <c r="AB6373" t="s">
        <v>86</v>
      </c>
      <c r="AC6373" t="s">
        <v>137</v>
      </c>
    </row>
    <row r="6374" spans="1:30" x14ac:dyDescent="0.35">
      <c r="A6374" s="7">
        <v>43251</v>
      </c>
      <c r="B6374" t="s">
        <v>30</v>
      </c>
      <c r="C6374">
        <v>111</v>
      </c>
      <c r="D6374">
        <v>8</v>
      </c>
      <c r="E6374">
        <v>2</v>
      </c>
      <c r="F6374" t="s">
        <v>1020</v>
      </c>
      <c r="G6374" t="s">
        <v>32</v>
      </c>
      <c r="H6374" t="s">
        <v>33</v>
      </c>
      <c r="I6374" t="s">
        <v>59</v>
      </c>
      <c r="AB6374" t="s">
        <v>86</v>
      </c>
      <c r="AC6374" t="s">
        <v>137</v>
      </c>
    </row>
    <row r="6375" spans="1:30" x14ac:dyDescent="0.35">
      <c r="A6375" s="7">
        <v>43251</v>
      </c>
      <c r="B6375" t="s">
        <v>30</v>
      </c>
      <c r="C6375">
        <v>113</v>
      </c>
      <c r="D6375">
        <v>2</v>
      </c>
      <c r="E6375">
        <v>2</v>
      </c>
      <c r="F6375" t="s">
        <v>1020</v>
      </c>
      <c r="G6375" t="s">
        <v>32</v>
      </c>
      <c r="H6375" t="s">
        <v>33</v>
      </c>
      <c r="I6375" t="s">
        <v>59</v>
      </c>
      <c r="AB6375" t="s">
        <v>86</v>
      </c>
      <c r="AC6375" t="s">
        <v>137</v>
      </c>
    </row>
    <row r="6376" spans="1:30" x14ac:dyDescent="0.35">
      <c r="A6376" s="7">
        <v>43251</v>
      </c>
      <c r="B6376" t="s">
        <v>30</v>
      </c>
      <c r="C6376">
        <v>113</v>
      </c>
      <c r="D6376">
        <v>6</v>
      </c>
      <c r="E6376">
        <v>1</v>
      </c>
      <c r="F6376" t="s">
        <v>1020</v>
      </c>
      <c r="G6376" t="s">
        <v>32</v>
      </c>
      <c r="H6376" t="s">
        <v>33</v>
      </c>
      <c r="I6376" t="s">
        <v>59</v>
      </c>
      <c r="AB6376" t="s">
        <v>86</v>
      </c>
      <c r="AC6376" t="s">
        <v>137</v>
      </c>
    </row>
    <row r="6377" spans="1:30" x14ac:dyDescent="0.35">
      <c r="A6377" s="7">
        <v>43251</v>
      </c>
      <c r="B6377" t="s">
        <v>30</v>
      </c>
      <c r="C6377">
        <v>113</v>
      </c>
      <c r="D6377">
        <v>9</v>
      </c>
      <c r="E6377">
        <v>1</v>
      </c>
      <c r="F6377" t="s">
        <v>1020</v>
      </c>
      <c r="G6377" t="s">
        <v>32</v>
      </c>
      <c r="H6377" t="s">
        <v>33</v>
      </c>
      <c r="I6377" t="s">
        <v>59</v>
      </c>
      <c r="AB6377" t="s">
        <v>86</v>
      </c>
      <c r="AC6377" t="s">
        <v>137</v>
      </c>
    </row>
    <row r="6378" spans="1:30" x14ac:dyDescent="0.35">
      <c r="A6378" s="7">
        <v>43251</v>
      </c>
      <c r="B6378" t="s">
        <v>30</v>
      </c>
      <c r="C6378">
        <v>201</v>
      </c>
      <c r="D6378">
        <v>2</v>
      </c>
      <c r="E6378">
        <v>1</v>
      </c>
      <c r="F6378" t="s">
        <v>1129</v>
      </c>
      <c r="G6378" t="s">
        <v>32</v>
      </c>
      <c r="H6378" t="s">
        <v>33</v>
      </c>
      <c r="I6378" t="s">
        <v>59</v>
      </c>
      <c r="AB6378" t="s">
        <v>1136</v>
      </c>
      <c r="AC6378" t="s">
        <v>87</v>
      </c>
    </row>
    <row r="6379" spans="1:30" x14ac:dyDescent="0.35">
      <c r="A6379" s="7">
        <v>43251</v>
      </c>
      <c r="B6379" t="s">
        <v>30</v>
      </c>
      <c r="C6379">
        <v>201</v>
      </c>
      <c r="D6379">
        <v>4</v>
      </c>
      <c r="E6379">
        <v>1</v>
      </c>
      <c r="F6379" t="s">
        <v>1129</v>
      </c>
      <c r="G6379" t="s">
        <v>32</v>
      </c>
      <c r="H6379" t="s">
        <v>33</v>
      </c>
      <c r="I6379" t="s">
        <v>59</v>
      </c>
      <c r="AB6379" t="s">
        <v>1136</v>
      </c>
      <c r="AC6379" t="s">
        <v>87</v>
      </c>
    </row>
    <row r="6380" spans="1:30" x14ac:dyDescent="0.35">
      <c r="A6380" s="7">
        <v>43251</v>
      </c>
      <c r="B6380" t="s">
        <v>30</v>
      </c>
      <c r="C6380">
        <v>201</v>
      </c>
      <c r="D6380">
        <v>5</v>
      </c>
      <c r="E6380">
        <v>1</v>
      </c>
      <c r="F6380" t="s">
        <v>1129</v>
      </c>
      <c r="G6380" t="s">
        <v>32</v>
      </c>
      <c r="H6380" t="s">
        <v>33</v>
      </c>
      <c r="I6380" t="s">
        <v>59</v>
      </c>
      <c r="AB6380" t="s">
        <v>1136</v>
      </c>
      <c r="AC6380" t="s">
        <v>87</v>
      </c>
    </row>
    <row r="6381" spans="1:30" x14ac:dyDescent="0.35">
      <c r="A6381" s="7">
        <v>43251</v>
      </c>
      <c r="B6381" t="s">
        <v>30</v>
      </c>
      <c r="C6381">
        <v>201</v>
      </c>
      <c r="D6381">
        <v>8</v>
      </c>
      <c r="E6381">
        <v>1</v>
      </c>
      <c r="F6381" t="s">
        <v>1129</v>
      </c>
      <c r="G6381" t="s">
        <v>32</v>
      </c>
      <c r="H6381" t="s">
        <v>33</v>
      </c>
      <c r="I6381" t="s">
        <v>59</v>
      </c>
      <c r="AB6381" t="s">
        <v>1136</v>
      </c>
      <c r="AC6381" t="s">
        <v>87</v>
      </c>
    </row>
    <row r="6382" spans="1:30" x14ac:dyDescent="0.35">
      <c r="A6382" s="7">
        <v>43251</v>
      </c>
      <c r="B6382" t="s">
        <v>30</v>
      </c>
      <c r="C6382">
        <v>202</v>
      </c>
      <c r="D6382">
        <v>2</v>
      </c>
      <c r="E6382">
        <v>1</v>
      </c>
      <c r="F6382" t="s">
        <v>1129</v>
      </c>
      <c r="G6382" t="s">
        <v>32</v>
      </c>
      <c r="H6382" t="s">
        <v>33</v>
      </c>
      <c r="I6382" t="s">
        <v>59</v>
      </c>
      <c r="AB6382" t="s">
        <v>1136</v>
      </c>
      <c r="AC6382" t="s">
        <v>87</v>
      </c>
    </row>
    <row r="6383" spans="1:30" x14ac:dyDescent="0.35">
      <c r="A6383" s="7">
        <v>43251</v>
      </c>
      <c r="B6383" t="s">
        <v>30</v>
      </c>
      <c r="C6383">
        <v>202</v>
      </c>
      <c r="D6383">
        <v>3</v>
      </c>
      <c r="E6383">
        <v>1</v>
      </c>
      <c r="F6383" t="s">
        <v>1129</v>
      </c>
      <c r="G6383" t="s">
        <v>32</v>
      </c>
      <c r="H6383" t="s">
        <v>33</v>
      </c>
      <c r="I6383" t="s">
        <v>59</v>
      </c>
      <c r="AB6383" t="s">
        <v>1136</v>
      </c>
      <c r="AC6383" t="s">
        <v>87</v>
      </c>
    </row>
    <row r="6384" spans="1:30" x14ac:dyDescent="0.35">
      <c r="A6384" s="7">
        <v>43251</v>
      </c>
      <c r="B6384" t="s">
        <v>30</v>
      </c>
      <c r="C6384">
        <v>202</v>
      </c>
      <c r="D6384">
        <v>5</v>
      </c>
      <c r="E6384">
        <v>1</v>
      </c>
      <c r="F6384" t="s">
        <v>1129</v>
      </c>
      <c r="G6384" t="s">
        <v>32</v>
      </c>
      <c r="H6384" t="s">
        <v>33</v>
      </c>
      <c r="I6384" t="s">
        <v>59</v>
      </c>
      <c r="AB6384" t="s">
        <v>1136</v>
      </c>
      <c r="AC6384" t="s">
        <v>87</v>
      </c>
    </row>
    <row r="6385" spans="1:30" x14ac:dyDescent="0.35">
      <c r="A6385" s="7">
        <v>43251</v>
      </c>
      <c r="B6385" t="s">
        <v>30</v>
      </c>
      <c r="C6385">
        <v>202</v>
      </c>
      <c r="D6385">
        <v>6</v>
      </c>
      <c r="E6385">
        <v>1</v>
      </c>
      <c r="F6385" t="s">
        <v>1129</v>
      </c>
      <c r="G6385" t="s">
        <v>32</v>
      </c>
      <c r="H6385" t="s">
        <v>33</v>
      </c>
      <c r="I6385" t="s">
        <v>59</v>
      </c>
      <c r="AB6385" t="s">
        <v>1136</v>
      </c>
      <c r="AC6385" t="s">
        <v>87</v>
      </c>
    </row>
    <row r="6386" spans="1:30" x14ac:dyDescent="0.35">
      <c r="A6386" s="7">
        <v>43251</v>
      </c>
      <c r="B6386" t="s">
        <v>30</v>
      </c>
      <c r="C6386">
        <v>304</v>
      </c>
      <c r="D6386">
        <v>4</v>
      </c>
      <c r="E6386">
        <v>1</v>
      </c>
      <c r="F6386" t="s">
        <v>1129</v>
      </c>
      <c r="G6386" t="s">
        <v>32</v>
      </c>
      <c r="H6386" t="s">
        <v>33</v>
      </c>
      <c r="I6386" t="s">
        <v>59</v>
      </c>
      <c r="AB6386" t="s">
        <v>1136</v>
      </c>
      <c r="AC6386" t="s">
        <v>87</v>
      </c>
    </row>
    <row r="6387" spans="1:30" x14ac:dyDescent="0.35">
      <c r="A6387" s="7">
        <v>43251</v>
      </c>
      <c r="B6387" t="s">
        <v>30</v>
      </c>
      <c r="C6387">
        <v>304</v>
      </c>
      <c r="D6387">
        <v>7</v>
      </c>
      <c r="E6387">
        <v>1</v>
      </c>
      <c r="F6387" t="s">
        <v>1129</v>
      </c>
      <c r="G6387" t="s">
        <v>32</v>
      </c>
      <c r="H6387" t="s">
        <v>33</v>
      </c>
      <c r="I6387" t="s">
        <v>59</v>
      </c>
      <c r="AB6387" t="s">
        <v>1136</v>
      </c>
      <c r="AC6387" t="s">
        <v>87</v>
      </c>
    </row>
    <row r="6388" spans="1:30" x14ac:dyDescent="0.35">
      <c r="A6388" s="7">
        <v>43251</v>
      </c>
      <c r="B6388" t="s">
        <v>30</v>
      </c>
      <c r="C6388">
        <v>402</v>
      </c>
      <c r="D6388">
        <v>2</v>
      </c>
      <c r="E6388">
        <v>1</v>
      </c>
      <c r="F6388" t="s">
        <v>1020</v>
      </c>
      <c r="G6388" t="s">
        <v>32</v>
      </c>
      <c r="H6388" t="s">
        <v>33</v>
      </c>
      <c r="I6388" t="s">
        <v>59</v>
      </c>
      <c r="AB6388" t="s">
        <v>86</v>
      </c>
      <c r="AC6388" t="s">
        <v>137</v>
      </c>
    </row>
    <row r="6389" spans="1:30" x14ac:dyDescent="0.35">
      <c r="A6389" s="7">
        <v>43255</v>
      </c>
      <c r="B6389" t="s">
        <v>30</v>
      </c>
      <c r="C6389">
        <v>303</v>
      </c>
      <c r="D6389">
        <v>1</v>
      </c>
      <c r="E6389">
        <v>1</v>
      </c>
      <c r="F6389" t="s">
        <v>1139</v>
      </c>
      <c r="G6389" t="s">
        <v>32</v>
      </c>
      <c r="H6389" t="s">
        <v>33</v>
      </c>
      <c r="I6389" t="s">
        <v>43</v>
      </c>
      <c r="J6389" t="s">
        <v>44</v>
      </c>
      <c r="K6389" t="s">
        <v>36</v>
      </c>
      <c r="L6389" t="s">
        <v>45</v>
      </c>
      <c r="M6389">
        <v>0</v>
      </c>
      <c r="N6389">
        <v>0</v>
      </c>
      <c r="O6389">
        <v>2903</v>
      </c>
      <c r="P6389">
        <v>2901</v>
      </c>
      <c r="Q6389">
        <f>39-14</f>
        <v>25</v>
      </c>
      <c r="R6389" t="s">
        <v>1028</v>
      </c>
      <c r="S6389" t="s">
        <v>102</v>
      </c>
      <c r="AB6389" t="s">
        <v>742</v>
      </c>
      <c r="AC6389" t="s">
        <v>87</v>
      </c>
    </row>
    <row r="6390" spans="1:30" x14ac:dyDescent="0.35">
      <c r="A6390" s="7">
        <v>43255</v>
      </c>
      <c r="B6390" t="s">
        <v>30</v>
      </c>
      <c r="C6390">
        <v>303</v>
      </c>
      <c r="D6390">
        <v>2</v>
      </c>
      <c r="E6390">
        <v>1</v>
      </c>
      <c r="F6390" t="s">
        <v>1139</v>
      </c>
      <c r="G6390" t="s">
        <v>32</v>
      </c>
      <c r="H6390" t="s">
        <v>33</v>
      </c>
      <c r="I6390" t="s">
        <v>43</v>
      </c>
      <c r="J6390" t="s">
        <v>44</v>
      </c>
      <c r="K6390" t="s">
        <v>36</v>
      </c>
      <c r="L6390" t="s">
        <v>45</v>
      </c>
      <c r="M6390">
        <v>0</v>
      </c>
      <c r="N6390">
        <v>0</v>
      </c>
      <c r="O6390">
        <v>2913</v>
      </c>
      <c r="P6390">
        <v>2912</v>
      </c>
      <c r="Q6390">
        <f>38-14.5</f>
        <v>23.5</v>
      </c>
      <c r="R6390" t="s">
        <v>77</v>
      </c>
      <c r="S6390" t="s">
        <v>39</v>
      </c>
      <c r="AB6390" t="s">
        <v>742</v>
      </c>
      <c r="AC6390" t="s">
        <v>87</v>
      </c>
    </row>
    <row r="6391" spans="1:30" x14ac:dyDescent="0.35">
      <c r="A6391" s="7">
        <v>43255</v>
      </c>
      <c r="B6391" t="s">
        <v>30</v>
      </c>
      <c r="C6391">
        <v>401</v>
      </c>
      <c r="D6391">
        <v>4</v>
      </c>
      <c r="E6391">
        <v>1</v>
      </c>
      <c r="F6391" t="s">
        <v>1139</v>
      </c>
      <c r="G6391" t="s">
        <v>32</v>
      </c>
      <c r="H6391" t="s">
        <v>33</v>
      </c>
      <c r="I6391" t="s">
        <v>43</v>
      </c>
      <c r="J6391" t="s">
        <v>35</v>
      </c>
      <c r="K6391" t="s">
        <v>36</v>
      </c>
      <c r="L6391" t="s">
        <v>37</v>
      </c>
      <c r="M6391">
        <v>0</v>
      </c>
      <c r="N6391">
        <v>1</v>
      </c>
      <c r="O6391">
        <v>2813</v>
      </c>
      <c r="P6391">
        <v>2812</v>
      </c>
      <c r="Q6391">
        <f>35.5-15</f>
        <v>20.5</v>
      </c>
      <c r="R6391" t="s">
        <v>38</v>
      </c>
      <c r="AB6391" t="s">
        <v>742</v>
      </c>
      <c r="AC6391" t="s">
        <v>87</v>
      </c>
    </row>
    <row r="6392" spans="1:30" x14ac:dyDescent="0.35">
      <c r="A6392" s="7">
        <v>43255</v>
      </c>
      <c r="B6392" t="s">
        <v>30</v>
      </c>
      <c r="C6392">
        <v>501</v>
      </c>
      <c r="D6392">
        <v>1</v>
      </c>
      <c r="E6392">
        <v>2</v>
      </c>
      <c r="F6392" t="s">
        <v>1139</v>
      </c>
      <c r="G6392" t="s">
        <v>32</v>
      </c>
      <c r="H6392" t="s">
        <v>33</v>
      </c>
      <c r="I6392" t="s">
        <v>43</v>
      </c>
      <c r="J6392" t="s">
        <v>35</v>
      </c>
      <c r="K6392" t="s">
        <v>36</v>
      </c>
      <c r="L6392" t="s">
        <v>37</v>
      </c>
      <c r="M6392">
        <v>0</v>
      </c>
      <c r="N6392">
        <v>1</v>
      </c>
      <c r="O6392">
        <v>2820</v>
      </c>
      <c r="P6392">
        <v>2819</v>
      </c>
      <c r="Q6392">
        <f>36-14</f>
        <v>22</v>
      </c>
      <c r="R6392" t="s">
        <v>38</v>
      </c>
      <c r="AB6392" t="s">
        <v>742</v>
      </c>
      <c r="AC6392" t="s">
        <v>87</v>
      </c>
    </row>
    <row r="6393" spans="1:30" x14ac:dyDescent="0.35">
      <c r="A6393" s="7">
        <v>43255</v>
      </c>
      <c r="B6393" t="s">
        <v>30</v>
      </c>
      <c r="C6393">
        <v>501</v>
      </c>
      <c r="D6393">
        <v>9</v>
      </c>
      <c r="E6393">
        <v>1</v>
      </c>
      <c r="F6393" t="s">
        <v>1139</v>
      </c>
      <c r="G6393" t="s">
        <v>32</v>
      </c>
      <c r="H6393" t="s">
        <v>33</v>
      </c>
      <c r="I6393" t="s">
        <v>43</v>
      </c>
      <c r="J6393" t="s">
        <v>44</v>
      </c>
      <c r="K6393" t="s">
        <v>36</v>
      </c>
      <c r="L6393" t="s">
        <v>45</v>
      </c>
      <c r="M6393">
        <v>0</v>
      </c>
      <c r="N6393">
        <v>0</v>
      </c>
      <c r="O6393">
        <v>2956</v>
      </c>
      <c r="P6393">
        <v>2955</v>
      </c>
      <c r="Q6393">
        <f>36-14</f>
        <v>22</v>
      </c>
      <c r="R6393" t="s">
        <v>1028</v>
      </c>
      <c r="S6393" t="s">
        <v>102</v>
      </c>
      <c r="AB6393" t="s">
        <v>742</v>
      </c>
      <c r="AC6393" t="s">
        <v>87</v>
      </c>
    </row>
    <row r="6394" spans="1:30" x14ac:dyDescent="0.35">
      <c r="A6394" s="7">
        <v>43255</v>
      </c>
      <c r="B6394" t="s">
        <v>30</v>
      </c>
      <c r="C6394">
        <v>503</v>
      </c>
      <c r="D6394">
        <v>9</v>
      </c>
      <c r="E6394">
        <v>1</v>
      </c>
      <c r="F6394" t="s">
        <v>1139</v>
      </c>
      <c r="G6394" t="s">
        <v>32</v>
      </c>
      <c r="H6394" t="s">
        <v>33</v>
      </c>
      <c r="I6394" t="s">
        <v>43</v>
      </c>
      <c r="J6394" t="s">
        <v>44</v>
      </c>
      <c r="K6394" t="s">
        <v>36</v>
      </c>
      <c r="L6394" t="s">
        <v>45</v>
      </c>
      <c r="M6394">
        <v>0</v>
      </c>
      <c r="N6394">
        <v>0</v>
      </c>
      <c r="AB6394" t="s">
        <v>742</v>
      </c>
      <c r="AC6394" t="s">
        <v>87</v>
      </c>
      <c r="AD6394" t="s">
        <v>1155</v>
      </c>
    </row>
    <row r="6395" spans="1:30" x14ac:dyDescent="0.35">
      <c r="A6395" s="7">
        <v>43255</v>
      </c>
      <c r="B6395" t="s">
        <v>30</v>
      </c>
      <c r="C6395">
        <v>701</v>
      </c>
      <c r="D6395">
        <v>7</v>
      </c>
      <c r="E6395">
        <v>1</v>
      </c>
      <c r="F6395" t="s">
        <v>1020</v>
      </c>
      <c r="G6395" t="s">
        <v>32</v>
      </c>
      <c r="H6395" t="s">
        <v>33</v>
      </c>
      <c r="I6395" t="s">
        <v>43</v>
      </c>
      <c r="J6395" t="s">
        <v>35</v>
      </c>
      <c r="K6395" t="s">
        <v>36</v>
      </c>
      <c r="L6395" t="s">
        <v>37</v>
      </c>
      <c r="M6395">
        <v>0</v>
      </c>
      <c r="N6395">
        <v>1</v>
      </c>
      <c r="O6395">
        <v>2454</v>
      </c>
      <c r="P6395">
        <v>2453</v>
      </c>
      <c r="Q6395">
        <f>36.25-14</f>
        <v>22.25</v>
      </c>
      <c r="R6395" t="s">
        <v>38</v>
      </c>
      <c r="AB6395" t="s">
        <v>742</v>
      </c>
      <c r="AC6395" t="s">
        <v>87</v>
      </c>
    </row>
    <row r="6396" spans="1:30" x14ac:dyDescent="0.35">
      <c r="A6396" s="7">
        <v>43255</v>
      </c>
      <c r="B6396" t="s">
        <v>30</v>
      </c>
      <c r="C6396">
        <v>701</v>
      </c>
      <c r="D6396">
        <v>8</v>
      </c>
      <c r="E6396">
        <v>2</v>
      </c>
      <c r="F6396" t="s">
        <v>1020</v>
      </c>
      <c r="G6396" t="s">
        <v>32</v>
      </c>
      <c r="H6396" t="s">
        <v>33</v>
      </c>
      <c r="I6396" t="s">
        <v>43</v>
      </c>
      <c r="J6396" t="s">
        <v>92</v>
      </c>
      <c r="AB6396" t="s">
        <v>742</v>
      </c>
      <c r="AC6396" t="s">
        <v>87</v>
      </c>
      <c r="AD6396" t="s">
        <v>1156</v>
      </c>
    </row>
    <row r="6397" spans="1:30" x14ac:dyDescent="0.35">
      <c r="A6397" s="7">
        <v>43255</v>
      </c>
      <c r="B6397" t="s">
        <v>30</v>
      </c>
      <c r="C6397">
        <v>703</v>
      </c>
      <c r="D6397">
        <v>1</v>
      </c>
      <c r="E6397">
        <v>2</v>
      </c>
      <c r="F6397" t="s">
        <v>1020</v>
      </c>
      <c r="G6397" t="s">
        <v>32</v>
      </c>
      <c r="H6397" t="s">
        <v>33</v>
      </c>
      <c r="I6397" t="s">
        <v>43</v>
      </c>
      <c r="J6397" t="s">
        <v>35</v>
      </c>
      <c r="K6397" t="s">
        <v>36</v>
      </c>
      <c r="L6397" t="s">
        <v>37</v>
      </c>
      <c r="M6397">
        <v>0</v>
      </c>
      <c r="N6397">
        <v>1</v>
      </c>
      <c r="O6397">
        <v>2456</v>
      </c>
      <c r="P6397">
        <v>2455</v>
      </c>
      <c r="Q6397">
        <f>37-13.25</f>
        <v>23.75</v>
      </c>
      <c r="R6397" t="s">
        <v>38</v>
      </c>
      <c r="AB6397" t="s">
        <v>742</v>
      </c>
      <c r="AC6397" t="s">
        <v>87</v>
      </c>
    </row>
    <row r="6398" spans="1:30" x14ac:dyDescent="0.35">
      <c r="A6398" s="7">
        <v>43255</v>
      </c>
      <c r="B6398" t="s">
        <v>30</v>
      </c>
      <c r="C6398">
        <v>703</v>
      </c>
      <c r="D6398">
        <v>2</v>
      </c>
      <c r="E6398">
        <v>1</v>
      </c>
      <c r="F6398" t="s">
        <v>1020</v>
      </c>
      <c r="G6398" t="s">
        <v>32</v>
      </c>
      <c r="H6398" t="s">
        <v>33</v>
      </c>
      <c r="I6398" t="s">
        <v>43</v>
      </c>
      <c r="J6398" t="s">
        <v>139</v>
      </c>
      <c r="K6398" t="s">
        <v>36</v>
      </c>
      <c r="AB6398" t="s">
        <v>742</v>
      </c>
      <c r="AC6398" t="s">
        <v>87</v>
      </c>
      <c r="AD6398" t="s">
        <v>1157</v>
      </c>
    </row>
    <row r="6399" spans="1:30" x14ac:dyDescent="0.35">
      <c r="A6399" s="7">
        <v>43255</v>
      </c>
      <c r="B6399" t="s">
        <v>30</v>
      </c>
      <c r="C6399">
        <v>703</v>
      </c>
      <c r="D6399">
        <v>3</v>
      </c>
      <c r="E6399">
        <v>1</v>
      </c>
      <c r="F6399" t="s">
        <v>1020</v>
      </c>
      <c r="G6399" t="s">
        <v>32</v>
      </c>
      <c r="H6399" t="s">
        <v>33</v>
      </c>
      <c r="I6399" t="s">
        <v>43</v>
      </c>
      <c r="J6399" t="s">
        <v>44</v>
      </c>
      <c r="K6399" t="s">
        <v>36</v>
      </c>
      <c r="L6399" t="s">
        <v>45</v>
      </c>
      <c r="M6399">
        <v>0</v>
      </c>
      <c r="N6399">
        <v>0</v>
      </c>
      <c r="O6399">
        <v>39771</v>
      </c>
      <c r="P6399">
        <v>39770</v>
      </c>
      <c r="Q6399">
        <f>34.5-13</f>
        <v>21.5</v>
      </c>
      <c r="R6399" t="s">
        <v>1021</v>
      </c>
      <c r="S6399" t="s">
        <v>102</v>
      </c>
      <c r="AB6399" t="s">
        <v>742</v>
      </c>
      <c r="AC6399" t="s">
        <v>87</v>
      </c>
    </row>
    <row r="6400" spans="1:30" x14ac:dyDescent="0.35">
      <c r="A6400" s="7">
        <v>43255</v>
      </c>
      <c r="B6400" t="s">
        <v>30</v>
      </c>
      <c r="C6400">
        <v>801</v>
      </c>
      <c r="D6400">
        <v>1</v>
      </c>
      <c r="E6400">
        <v>1</v>
      </c>
      <c r="F6400" t="s">
        <v>1020</v>
      </c>
      <c r="G6400" t="s">
        <v>32</v>
      </c>
      <c r="H6400" t="s">
        <v>33</v>
      </c>
      <c r="I6400" t="s">
        <v>43</v>
      </c>
      <c r="J6400" t="s">
        <v>35</v>
      </c>
      <c r="K6400" t="s">
        <v>36</v>
      </c>
      <c r="L6400" t="s">
        <v>45</v>
      </c>
      <c r="M6400">
        <v>0</v>
      </c>
      <c r="N6400">
        <v>1</v>
      </c>
      <c r="O6400">
        <v>2425</v>
      </c>
      <c r="P6400">
        <v>2424</v>
      </c>
      <c r="Q6400">
        <f>36-14</f>
        <v>22</v>
      </c>
      <c r="R6400" t="s">
        <v>79</v>
      </c>
      <c r="S6400" t="s">
        <v>39</v>
      </c>
      <c r="AB6400" t="s">
        <v>742</v>
      </c>
      <c r="AC6400" t="s">
        <v>87</v>
      </c>
    </row>
    <row r="6401" spans="1:30" x14ac:dyDescent="0.35">
      <c r="A6401" s="7">
        <v>43255</v>
      </c>
      <c r="B6401" t="s">
        <v>30</v>
      </c>
      <c r="C6401">
        <v>801</v>
      </c>
      <c r="D6401">
        <v>6</v>
      </c>
      <c r="E6401">
        <v>1</v>
      </c>
      <c r="F6401" t="s">
        <v>1020</v>
      </c>
      <c r="G6401" t="s">
        <v>32</v>
      </c>
      <c r="H6401" t="s">
        <v>33</v>
      </c>
      <c r="I6401" t="s">
        <v>34</v>
      </c>
      <c r="J6401" t="s">
        <v>35</v>
      </c>
      <c r="K6401" t="s">
        <v>36</v>
      </c>
      <c r="L6401" t="s">
        <v>45</v>
      </c>
      <c r="M6401">
        <v>0</v>
      </c>
      <c r="N6401">
        <v>1</v>
      </c>
      <c r="O6401">
        <v>2423</v>
      </c>
      <c r="Q6401">
        <f>222-130</f>
        <v>92</v>
      </c>
      <c r="R6401" t="s">
        <v>1021</v>
      </c>
      <c r="S6401" t="s">
        <v>102</v>
      </c>
      <c r="AB6401" t="s">
        <v>742</v>
      </c>
      <c r="AC6401" t="s">
        <v>87</v>
      </c>
    </row>
    <row r="6402" spans="1:30" x14ac:dyDescent="0.35">
      <c r="A6402" s="7">
        <v>43255</v>
      </c>
      <c r="B6402" t="s">
        <v>30</v>
      </c>
      <c r="C6402">
        <v>303</v>
      </c>
      <c r="D6402">
        <v>4</v>
      </c>
      <c r="E6402">
        <v>1</v>
      </c>
      <c r="F6402" t="s">
        <v>1139</v>
      </c>
      <c r="G6402" t="s">
        <v>32</v>
      </c>
      <c r="H6402" t="s">
        <v>33</v>
      </c>
      <c r="I6402" t="s">
        <v>58</v>
      </c>
      <c r="J6402" t="s">
        <v>35</v>
      </c>
      <c r="K6402" t="s">
        <v>36</v>
      </c>
      <c r="L6402" t="s">
        <v>37</v>
      </c>
      <c r="M6402">
        <v>0</v>
      </c>
      <c r="N6402">
        <v>1</v>
      </c>
      <c r="O6402">
        <v>2814</v>
      </c>
      <c r="Q6402">
        <f>36-14</f>
        <v>22</v>
      </c>
      <c r="R6402" t="s">
        <v>38</v>
      </c>
      <c r="AB6402" t="s">
        <v>742</v>
      </c>
      <c r="AC6402" t="s">
        <v>87</v>
      </c>
    </row>
    <row r="6403" spans="1:30" x14ac:dyDescent="0.35">
      <c r="A6403" s="7">
        <v>43255</v>
      </c>
      <c r="B6403" t="s">
        <v>30</v>
      </c>
      <c r="C6403">
        <v>303</v>
      </c>
      <c r="D6403">
        <v>10</v>
      </c>
      <c r="E6403">
        <v>1</v>
      </c>
      <c r="F6403" t="s">
        <v>1139</v>
      </c>
      <c r="G6403" t="s">
        <v>32</v>
      </c>
      <c r="H6403" t="s">
        <v>33</v>
      </c>
      <c r="I6403" t="s">
        <v>58</v>
      </c>
      <c r="J6403" t="s">
        <v>35</v>
      </c>
      <c r="K6403" t="s">
        <v>36</v>
      </c>
      <c r="L6403" t="s">
        <v>45</v>
      </c>
      <c r="M6403">
        <v>0</v>
      </c>
      <c r="N6403">
        <v>1</v>
      </c>
      <c r="O6403">
        <v>2815</v>
      </c>
      <c r="Q6403">
        <f>38-14.5</f>
        <v>23.5</v>
      </c>
      <c r="R6403" t="s">
        <v>46</v>
      </c>
      <c r="S6403" t="s">
        <v>39</v>
      </c>
      <c r="AB6403" t="s">
        <v>742</v>
      </c>
      <c r="AC6403" t="s">
        <v>87</v>
      </c>
    </row>
    <row r="6404" spans="1:30" x14ac:dyDescent="0.35">
      <c r="A6404" s="7">
        <v>43255</v>
      </c>
      <c r="B6404" t="s">
        <v>30</v>
      </c>
      <c r="C6404">
        <v>401</v>
      </c>
      <c r="D6404">
        <v>10</v>
      </c>
      <c r="E6404">
        <v>1</v>
      </c>
      <c r="F6404" t="s">
        <v>1139</v>
      </c>
      <c r="G6404" t="s">
        <v>32</v>
      </c>
      <c r="H6404" t="s">
        <v>33</v>
      </c>
      <c r="I6404" t="s">
        <v>58</v>
      </c>
      <c r="J6404" t="s">
        <v>35</v>
      </c>
      <c r="K6404" t="s">
        <v>36</v>
      </c>
      <c r="L6404" t="s">
        <v>45</v>
      </c>
      <c r="M6404">
        <v>0</v>
      </c>
      <c r="N6404">
        <v>1</v>
      </c>
      <c r="O6404">
        <v>2811</v>
      </c>
      <c r="Q6404">
        <f>39.5-15.5</f>
        <v>24</v>
      </c>
      <c r="R6404" t="s">
        <v>79</v>
      </c>
      <c r="S6404" t="s">
        <v>39</v>
      </c>
      <c r="AB6404" t="s">
        <v>742</v>
      </c>
      <c r="AC6404" t="s">
        <v>87</v>
      </c>
    </row>
    <row r="6405" spans="1:30" x14ac:dyDescent="0.35">
      <c r="A6405" s="7">
        <v>43255</v>
      </c>
      <c r="B6405" t="s">
        <v>30</v>
      </c>
      <c r="C6405">
        <v>501</v>
      </c>
      <c r="D6405">
        <v>3</v>
      </c>
      <c r="E6405">
        <v>1</v>
      </c>
      <c r="F6405" t="s">
        <v>1139</v>
      </c>
      <c r="G6405" t="s">
        <v>32</v>
      </c>
      <c r="H6405" t="s">
        <v>33</v>
      </c>
      <c r="I6405" t="s">
        <v>58</v>
      </c>
      <c r="J6405" t="s">
        <v>56</v>
      </c>
      <c r="K6405" t="s">
        <v>36</v>
      </c>
      <c r="L6405" t="s">
        <v>45</v>
      </c>
      <c r="Q6405">
        <f>45-14</f>
        <v>31</v>
      </c>
      <c r="R6405" t="s">
        <v>77</v>
      </c>
      <c r="AB6405" t="s">
        <v>742</v>
      </c>
      <c r="AC6405" t="s">
        <v>87</v>
      </c>
      <c r="AD6405" t="s">
        <v>1158</v>
      </c>
    </row>
    <row r="6406" spans="1:30" x14ac:dyDescent="0.35">
      <c r="A6406" s="7">
        <v>43255</v>
      </c>
      <c r="B6406" t="s">
        <v>30</v>
      </c>
      <c r="C6406">
        <v>503</v>
      </c>
      <c r="D6406">
        <v>8</v>
      </c>
      <c r="E6406">
        <v>1</v>
      </c>
      <c r="F6406" t="s">
        <v>1139</v>
      </c>
      <c r="G6406" t="s">
        <v>32</v>
      </c>
      <c r="H6406" t="s">
        <v>33</v>
      </c>
      <c r="I6406" t="s">
        <v>58</v>
      </c>
      <c r="J6406" t="s">
        <v>44</v>
      </c>
      <c r="K6406" t="s">
        <v>36</v>
      </c>
      <c r="L6406" t="s">
        <v>45</v>
      </c>
      <c r="M6406">
        <v>0</v>
      </c>
      <c r="N6406">
        <v>0</v>
      </c>
      <c r="P6406">
        <v>2908</v>
      </c>
      <c r="Q6406">
        <f>46-14</f>
        <v>32</v>
      </c>
      <c r="R6406" t="s">
        <v>79</v>
      </c>
      <c r="S6406" t="s">
        <v>39</v>
      </c>
      <c r="AB6406" t="s">
        <v>742</v>
      </c>
      <c r="AC6406" t="s">
        <v>87</v>
      </c>
      <c r="AD6406" t="s">
        <v>1159</v>
      </c>
    </row>
    <row r="6407" spans="1:30" x14ac:dyDescent="0.35">
      <c r="A6407" s="7">
        <v>43255</v>
      </c>
      <c r="B6407" t="s">
        <v>30</v>
      </c>
      <c r="C6407">
        <v>701</v>
      </c>
      <c r="D6407">
        <v>5</v>
      </c>
      <c r="E6407">
        <v>1</v>
      </c>
      <c r="F6407" t="s">
        <v>1020</v>
      </c>
      <c r="G6407" t="s">
        <v>32</v>
      </c>
      <c r="H6407" t="s">
        <v>33</v>
      </c>
      <c r="I6407" t="s">
        <v>65</v>
      </c>
      <c r="J6407" t="s">
        <v>44</v>
      </c>
      <c r="K6407" t="s">
        <v>36</v>
      </c>
      <c r="L6407" t="s">
        <v>45</v>
      </c>
      <c r="M6407">
        <v>0</v>
      </c>
      <c r="N6407">
        <v>0</v>
      </c>
      <c r="O6407">
        <v>2567</v>
      </c>
      <c r="Q6407">
        <f>272-129</f>
        <v>143</v>
      </c>
      <c r="R6407" t="s">
        <v>46</v>
      </c>
      <c r="S6407" t="s">
        <v>39</v>
      </c>
      <c r="AB6407" t="s">
        <v>742</v>
      </c>
      <c r="AC6407" t="s">
        <v>87</v>
      </c>
    </row>
    <row r="6408" spans="1:30" x14ac:dyDescent="0.35">
      <c r="A6408" s="7">
        <v>43255</v>
      </c>
      <c r="B6408" t="s">
        <v>30</v>
      </c>
      <c r="C6408">
        <v>701</v>
      </c>
      <c r="D6408">
        <v>1</v>
      </c>
      <c r="E6408">
        <v>1</v>
      </c>
      <c r="F6408" t="s">
        <v>1020</v>
      </c>
      <c r="G6408" t="s">
        <v>32</v>
      </c>
      <c r="H6408" t="s">
        <v>33</v>
      </c>
      <c r="I6408" t="s">
        <v>1029</v>
      </c>
      <c r="J6408" t="s">
        <v>66</v>
      </c>
      <c r="AB6408" t="s">
        <v>742</v>
      </c>
      <c r="AC6408" t="s">
        <v>87</v>
      </c>
    </row>
    <row r="6409" spans="1:30" x14ac:dyDescent="0.35">
      <c r="A6409" s="7">
        <v>43255</v>
      </c>
      <c r="B6409" t="s">
        <v>30</v>
      </c>
      <c r="C6409">
        <v>501</v>
      </c>
      <c r="D6409">
        <v>10</v>
      </c>
      <c r="E6409">
        <v>1</v>
      </c>
      <c r="F6409" t="s">
        <v>1139</v>
      </c>
      <c r="G6409" t="s">
        <v>32</v>
      </c>
      <c r="H6409" t="s">
        <v>33</v>
      </c>
      <c r="I6409" t="s">
        <v>72</v>
      </c>
      <c r="J6409" t="s">
        <v>56</v>
      </c>
      <c r="AB6409" t="s">
        <v>742</v>
      </c>
      <c r="AC6409" t="s">
        <v>87</v>
      </c>
    </row>
    <row r="6410" spans="1:30" x14ac:dyDescent="0.35">
      <c r="A6410" s="7">
        <v>43255</v>
      </c>
      <c r="B6410" t="s">
        <v>30</v>
      </c>
      <c r="C6410">
        <v>503</v>
      </c>
      <c r="D6410">
        <v>5</v>
      </c>
      <c r="E6410">
        <v>1</v>
      </c>
      <c r="F6410" t="s">
        <v>1139</v>
      </c>
      <c r="G6410" t="s">
        <v>32</v>
      </c>
      <c r="H6410" t="s">
        <v>33</v>
      </c>
      <c r="I6410" t="s">
        <v>72</v>
      </c>
      <c r="J6410" t="s">
        <v>56</v>
      </c>
      <c r="AB6410" t="s">
        <v>742</v>
      </c>
      <c r="AC6410" t="s">
        <v>87</v>
      </c>
    </row>
    <row r="6411" spans="1:30" x14ac:dyDescent="0.35">
      <c r="A6411" s="7">
        <v>43255</v>
      </c>
      <c r="B6411" t="s">
        <v>30</v>
      </c>
      <c r="C6411">
        <v>501</v>
      </c>
      <c r="D6411">
        <v>5</v>
      </c>
      <c r="E6411">
        <v>1</v>
      </c>
      <c r="F6411" t="s">
        <v>1139</v>
      </c>
      <c r="G6411" t="s">
        <v>32</v>
      </c>
      <c r="H6411" t="s">
        <v>33</v>
      </c>
      <c r="I6411" t="s">
        <v>84</v>
      </c>
      <c r="AB6411" t="s">
        <v>742</v>
      </c>
      <c r="AC6411" t="s">
        <v>87</v>
      </c>
    </row>
    <row r="6412" spans="1:30" x14ac:dyDescent="0.35">
      <c r="A6412" s="7">
        <v>43255</v>
      </c>
      <c r="B6412" t="s">
        <v>30</v>
      </c>
      <c r="C6412">
        <v>303</v>
      </c>
      <c r="D6412">
        <v>5</v>
      </c>
      <c r="E6412">
        <v>1</v>
      </c>
      <c r="F6412" t="s">
        <v>1139</v>
      </c>
      <c r="G6412" t="s">
        <v>32</v>
      </c>
      <c r="H6412" t="s">
        <v>33</v>
      </c>
      <c r="I6412" t="s">
        <v>59</v>
      </c>
      <c r="AB6412" t="s">
        <v>742</v>
      </c>
      <c r="AC6412" t="s">
        <v>87</v>
      </c>
    </row>
    <row r="6413" spans="1:30" x14ac:dyDescent="0.35">
      <c r="A6413" s="7">
        <v>43255</v>
      </c>
      <c r="B6413" t="s">
        <v>30</v>
      </c>
      <c r="C6413">
        <v>303</v>
      </c>
      <c r="D6413">
        <v>6</v>
      </c>
      <c r="E6413">
        <v>1</v>
      </c>
      <c r="F6413" t="s">
        <v>1139</v>
      </c>
      <c r="G6413" t="s">
        <v>32</v>
      </c>
      <c r="H6413" t="s">
        <v>33</v>
      </c>
      <c r="I6413" t="s">
        <v>59</v>
      </c>
      <c r="AB6413" t="s">
        <v>742</v>
      </c>
      <c r="AC6413" t="s">
        <v>87</v>
      </c>
    </row>
    <row r="6414" spans="1:30" x14ac:dyDescent="0.35">
      <c r="A6414" s="7">
        <v>43255</v>
      </c>
      <c r="B6414" t="s">
        <v>30</v>
      </c>
      <c r="C6414">
        <v>303</v>
      </c>
      <c r="D6414">
        <v>6</v>
      </c>
      <c r="E6414">
        <v>2</v>
      </c>
      <c r="F6414" t="s">
        <v>1139</v>
      </c>
      <c r="G6414" t="s">
        <v>32</v>
      </c>
      <c r="H6414" t="s">
        <v>33</v>
      </c>
      <c r="I6414" t="s">
        <v>59</v>
      </c>
      <c r="AB6414" t="s">
        <v>742</v>
      </c>
      <c r="AC6414" t="s">
        <v>87</v>
      </c>
    </row>
    <row r="6415" spans="1:30" x14ac:dyDescent="0.35">
      <c r="A6415" s="7">
        <v>43255</v>
      </c>
      <c r="B6415" t="s">
        <v>30</v>
      </c>
      <c r="C6415">
        <v>303</v>
      </c>
      <c r="D6415">
        <v>9</v>
      </c>
      <c r="E6415">
        <v>1</v>
      </c>
      <c r="F6415" t="s">
        <v>1139</v>
      </c>
      <c r="G6415" t="s">
        <v>32</v>
      </c>
      <c r="H6415" t="s">
        <v>33</v>
      </c>
      <c r="I6415" t="s">
        <v>59</v>
      </c>
      <c r="AB6415" t="s">
        <v>742</v>
      </c>
      <c r="AC6415" t="s">
        <v>87</v>
      </c>
    </row>
    <row r="6416" spans="1:30" x14ac:dyDescent="0.35">
      <c r="A6416" s="7">
        <v>43255</v>
      </c>
      <c r="B6416" t="s">
        <v>30</v>
      </c>
      <c r="C6416">
        <v>501</v>
      </c>
      <c r="D6416">
        <v>1</v>
      </c>
      <c r="E6416">
        <v>1</v>
      </c>
      <c r="F6416" t="s">
        <v>1139</v>
      </c>
      <c r="G6416" t="s">
        <v>32</v>
      </c>
      <c r="H6416" t="s">
        <v>33</v>
      </c>
      <c r="I6416" t="s">
        <v>59</v>
      </c>
      <c r="AB6416" t="s">
        <v>742</v>
      </c>
      <c r="AC6416" t="s">
        <v>87</v>
      </c>
    </row>
    <row r="6417" spans="1:29" x14ac:dyDescent="0.35">
      <c r="A6417" s="7">
        <v>43255</v>
      </c>
      <c r="B6417" t="s">
        <v>30</v>
      </c>
      <c r="C6417">
        <v>501</v>
      </c>
      <c r="D6417">
        <v>6</v>
      </c>
      <c r="E6417">
        <v>1</v>
      </c>
      <c r="F6417" t="s">
        <v>1139</v>
      </c>
      <c r="G6417" t="s">
        <v>32</v>
      </c>
      <c r="H6417" t="s">
        <v>33</v>
      </c>
      <c r="I6417" t="s">
        <v>59</v>
      </c>
      <c r="AB6417" t="s">
        <v>742</v>
      </c>
      <c r="AC6417" t="s">
        <v>87</v>
      </c>
    </row>
    <row r="6418" spans="1:29" x14ac:dyDescent="0.35">
      <c r="A6418" s="7">
        <v>43255</v>
      </c>
      <c r="B6418" t="s">
        <v>30</v>
      </c>
      <c r="C6418">
        <v>501</v>
      </c>
      <c r="D6418">
        <v>7</v>
      </c>
      <c r="E6418">
        <v>1</v>
      </c>
      <c r="F6418" t="s">
        <v>1139</v>
      </c>
      <c r="G6418" t="s">
        <v>32</v>
      </c>
      <c r="H6418" t="s">
        <v>33</v>
      </c>
      <c r="I6418" t="s">
        <v>59</v>
      </c>
      <c r="AB6418" t="s">
        <v>742</v>
      </c>
      <c r="AC6418" t="s">
        <v>87</v>
      </c>
    </row>
    <row r="6419" spans="1:29" x14ac:dyDescent="0.35">
      <c r="A6419" s="7">
        <v>43255</v>
      </c>
      <c r="B6419" t="s">
        <v>30</v>
      </c>
      <c r="C6419">
        <v>503</v>
      </c>
      <c r="D6419">
        <v>3</v>
      </c>
      <c r="E6419">
        <v>1</v>
      </c>
      <c r="F6419" t="s">
        <v>1139</v>
      </c>
      <c r="G6419" t="s">
        <v>32</v>
      </c>
      <c r="H6419" t="s">
        <v>33</v>
      </c>
      <c r="I6419" t="s">
        <v>59</v>
      </c>
      <c r="AB6419" t="s">
        <v>742</v>
      </c>
      <c r="AC6419" t="s">
        <v>87</v>
      </c>
    </row>
    <row r="6420" spans="1:29" x14ac:dyDescent="0.35">
      <c r="A6420" s="7">
        <v>43255</v>
      </c>
      <c r="B6420" t="s">
        <v>30</v>
      </c>
      <c r="C6420">
        <v>503</v>
      </c>
      <c r="D6420">
        <v>4</v>
      </c>
      <c r="E6420">
        <v>1</v>
      </c>
      <c r="F6420" t="s">
        <v>1139</v>
      </c>
      <c r="G6420" t="s">
        <v>32</v>
      </c>
      <c r="H6420" t="s">
        <v>33</v>
      </c>
      <c r="I6420" t="s">
        <v>59</v>
      </c>
      <c r="AB6420" t="s">
        <v>742</v>
      </c>
      <c r="AC6420" t="s">
        <v>87</v>
      </c>
    </row>
    <row r="6421" spans="1:29" x14ac:dyDescent="0.35">
      <c r="A6421" s="7">
        <v>43255</v>
      </c>
      <c r="B6421" t="s">
        <v>30</v>
      </c>
      <c r="C6421">
        <v>503</v>
      </c>
      <c r="D6421">
        <v>10</v>
      </c>
      <c r="E6421">
        <v>1</v>
      </c>
      <c r="F6421" t="s">
        <v>1139</v>
      </c>
      <c r="G6421" t="s">
        <v>32</v>
      </c>
      <c r="H6421" t="s">
        <v>33</v>
      </c>
      <c r="I6421" t="s">
        <v>59</v>
      </c>
      <c r="AB6421" t="s">
        <v>742</v>
      </c>
      <c r="AC6421" t="s">
        <v>87</v>
      </c>
    </row>
    <row r="6422" spans="1:29" x14ac:dyDescent="0.35">
      <c r="A6422" s="7">
        <v>43255</v>
      </c>
      <c r="B6422" t="s">
        <v>30</v>
      </c>
      <c r="C6422">
        <v>701</v>
      </c>
      <c r="D6422">
        <v>8</v>
      </c>
      <c r="E6422">
        <v>1</v>
      </c>
      <c r="F6422" t="s">
        <v>1020</v>
      </c>
      <c r="G6422" t="s">
        <v>32</v>
      </c>
      <c r="H6422" t="s">
        <v>33</v>
      </c>
      <c r="I6422" t="s">
        <v>59</v>
      </c>
      <c r="AB6422" t="s">
        <v>742</v>
      </c>
      <c r="AC6422" t="s">
        <v>87</v>
      </c>
    </row>
    <row r="6423" spans="1:29" x14ac:dyDescent="0.35">
      <c r="A6423" s="7">
        <v>43255</v>
      </c>
      <c r="B6423" t="s">
        <v>30</v>
      </c>
      <c r="C6423">
        <v>701</v>
      </c>
      <c r="D6423">
        <v>10</v>
      </c>
      <c r="E6423">
        <v>2</v>
      </c>
      <c r="F6423" t="s">
        <v>1020</v>
      </c>
      <c r="G6423" t="s">
        <v>32</v>
      </c>
      <c r="H6423" t="s">
        <v>33</v>
      </c>
      <c r="I6423" t="s">
        <v>59</v>
      </c>
      <c r="AB6423" t="s">
        <v>742</v>
      </c>
      <c r="AC6423" t="s">
        <v>87</v>
      </c>
    </row>
    <row r="6424" spans="1:29" x14ac:dyDescent="0.35">
      <c r="A6424" s="7">
        <v>43255</v>
      </c>
      <c r="B6424" t="s">
        <v>30</v>
      </c>
      <c r="C6424">
        <v>703</v>
      </c>
      <c r="D6424">
        <v>1</v>
      </c>
      <c r="E6424">
        <v>1</v>
      </c>
      <c r="F6424" t="s">
        <v>1020</v>
      </c>
      <c r="G6424" t="s">
        <v>32</v>
      </c>
      <c r="H6424" t="s">
        <v>33</v>
      </c>
      <c r="I6424" t="s">
        <v>59</v>
      </c>
      <c r="AB6424" t="s">
        <v>742</v>
      </c>
      <c r="AC6424" t="s">
        <v>87</v>
      </c>
    </row>
    <row r="6425" spans="1:29" x14ac:dyDescent="0.35">
      <c r="A6425" s="7">
        <v>43255</v>
      </c>
      <c r="B6425" t="s">
        <v>30</v>
      </c>
      <c r="C6425">
        <v>703</v>
      </c>
      <c r="D6425">
        <v>2</v>
      </c>
      <c r="E6425">
        <v>2</v>
      </c>
      <c r="F6425" t="s">
        <v>1020</v>
      </c>
      <c r="G6425" t="s">
        <v>32</v>
      </c>
      <c r="H6425" t="s">
        <v>33</v>
      </c>
      <c r="I6425" t="s">
        <v>59</v>
      </c>
      <c r="AB6425" t="s">
        <v>742</v>
      </c>
      <c r="AC6425" t="s">
        <v>87</v>
      </c>
    </row>
    <row r="6426" spans="1:29" x14ac:dyDescent="0.35">
      <c r="A6426" s="7">
        <v>43255</v>
      </c>
      <c r="B6426" t="s">
        <v>30</v>
      </c>
      <c r="C6426">
        <v>703</v>
      </c>
      <c r="D6426">
        <v>8</v>
      </c>
      <c r="E6426">
        <v>1</v>
      </c>
      <c r="F6426" t="s">
        <v>1020</v>
      </c>
      <c r="G6426" t="s">
        <v>32</v>
      </c>
      <c r="H6426" t="s">
        <v>33</v>
      </c>
      <c r="I6426" t="s">
        <v>59</v>
      </c>
      <c r="AB6426" t="s">
        <v>742</v>
      </c>
      <c r="AC6426" t="s">
        <v>87</v>
      </c>
    </row>
    <row r="6427" spans="1:29" x14ac:dyDescent="0.35">
      <c r="A6427" s="7">
        <v>43255</v>
      </c>
      <c r="B6427" t="s">
        <v>30</v>
      </c>
      <c r="C6427">
        <v>703</v>
      </c>
      <c r="D6427">
        <v>8</v>
      </c>
      <c r="E6427">
        <v>2</v>
      </c>
      <c r="F6427" t="s">
        <v>1020</v>
      </c>
      <c r="G6427" t="s">
        <v>32</v>
      </c>
      <c r="H6427" t="s">
        <v>33</v>
      </c>
      <c r="I6427" t="s">
        <v>59</v>
      </c>
      <c r="AB6427" t="s">
        <v>742</v>
      </c>
      <c r="AC6427" t="s">
        <v>87</v>
      </c>
    </row>
    <row r="6428" spans="1:29" x14ac:dyDescent="0.35">
      <c r="A6428" s="7">
        <v>43255</v>
      </c>
      <c r="B6428" t="s">
        <v>30</v>
      </c>
      <c r="C6428">
        <v>703</v>
      </c>
      <c r="D6428">
        <v>9</v>
      </c>
      <c r="E6428">
        <v>1</v>
      </c>
      <c r="F6428" t="s">
        <v>1020</v>
      </c>
      <c r="G6428" t="s">
        <v>32</v>
      </c>
      <c r="H6428" t="s">
        <v>33</v>
      </c>
      <c r="I6428" t="s">
        <v>59</v>
      </c>
      <c r="AB6428" t="s">
        <v>742</v>
      </c>
      <c r="AC6428" t="s">
        <v>87</v>
      </c>
    </row>
    <row r="6429" spans="1:29" x14ac:dyDescent="0.35">
      <c r="A6429" s="7">
        <v>43255</v>
      </c>
      <c r="B6429" t="s">
        <v>30</v>
      </c>
      <c r="C6429">
        <v>703</v>
      </c>
      <c r="D6429">
        <v>10</v>
      </c>
      <c r="E6429">
        <v>1</v>
      </c>
      <c r="F6429" t="s">
        <v>1020</v>
      </c>
      <c r="G6429" t="s">
        <v>32</v>
      </c>
      <c r="H6429" t="s">
        <v>33</v>
      </c>
      <c r="I6429" t="s">
        <v>59</v>
      </c>
      <c r="AB6429" t="s">
        <v>742</v>
      </c>
      <c r="AC6429" t="s">
        <v>87</v>
      </c>
    </row>
    <row r="6430" spans="1:29" x14ac:dyDescent="0.35">
      <c r="A6430" s="7">
        <v>43255</v>
      </c>
      <c r="B6430" t="s">
        <v>30</v>
      </c>
      <c r="C6430">
        <v>801</v>
      </c>
      <c r="D6430">
        <v>3</v>
      </c>
      <c r="E6430">
        <v>1</v>
      </c>
      <c r="F6430" t="s">
        <v>1020</v>
      </c>
      <c r="G6430" t="s">
        <v>32</v>
      </c>
      <c r="H6430" t="s">
        <v>33</v>
      </c>
      <c r="I6430" t="s">
        <v>59</v>
      </c>
      <c r="AB6430" t="s">
        <v>742</v>
      </c>
      <c r="AC6430" t="s">
        <v>87</v>
      </c>
    </row>
    <row r="6431" spans="1:29" x14ac:dyDescent="0.35">
      <c r="A6431" s="7">
        <v>43255</v>
      </c>
      <c r="B6431" t="s">
        <v>30</v>
      </c>
      <c r="C6431">
        <v>803</v>
      </c>
      <c r="D6431">
        <v>2</v>
      </c>
      <c r="E6431">
        <v>1</v>
      </c>
      <c r="F6431" t="s">
        <v>1020</v>
      </c>
      <c r="G6431" t="s">
        <v>32</v>
      </c>
      <c r="H6431" t="s">
        <v>33</v>
      </c>
      <c r="I6431" t="s">
        <v>59</v>
      </c>
      <c r="AB6431" t="s">
        <v>742</v>
      </c>
      <c r="AC6431" t="s">
        <v>87</v>
      </c>
    </row>
    <row r="6432" spans="1:29" x14ac:dyDescent="0.35">
      <c r="A6432" s="7">
        <v>43255</v>
      </c>
      <c r="B6432" t="s">
        <v>30</v>
      </c>
      <c r="C6432">
        <v>803</v>
      </c>
      <c r="D6432">
        <v>8</v>
      </c>
      <c r="E6432">
        <v>1</v>
      </c>
      <c r="F6432" t="s">
        <v>1020</v>
      </c>
      <c r="G6432" t="s">
        <v>32</v>
      </c>
      <c r="H6432" t="s">
        <v>33</v>
      </c>
      <c r="I6432" t="s">
        <v>59</v>
      </c>
      <c r="AB6432" t="s">
        <v>742</v>
      </c>
      <c r="AC6432" t="s">
        <v>87</v>
      </c>
    </row>
    <row r="6433" spans="1:30" x14ac:dyDescent="0.35">
      <c r="A6433" s="7">
        <v>43255</v>
      </c>
      <c r="B6433" t="s">
        <v>30</v>
      </c>
      <c r="C6433">
        <v>901</v>
      </c>
      <c r="D6433">
        <v>7</v>
      </c>
      <c r="E6433">
        <v>1</v>
      </c>
      <c r="F6433" t="s">
        <v>1020</v>
      </c>
      <c r="G6433" t="s">
        <v>32</v>
      </c>
      <c r="H6433" t="s">
        <v>33</v>
      </c>
      <c r="I6433" t="s">
        <v>59</v>
      </c>
      <c r="AB6433" t="s">
        <v>742</v>
      </c>
      <c r="AC6433" t="s">
        <v>87</v>
      </c>
    </row>
    <row r="6434" spans="1:30" x14ac:dyDescent="0.35">
      <c r="A6434" s="7">
        <v>43255</v>
      </c>
      <c r="B6434" t="s">
        <v>30</v>
      </c>
      <c r="C6434">
        <v>401</v>
      </c>
      <c r="D6434">
        <v>2</v>
      </c>
      <c r="E6434">
        <v>1</v>
      </c>
      <c r="F6434" t="s">
        <v>1139</v>
      </c>
      <c r="G6434" t="s">
        <v>32</v>
      </c>
      <c r="H6434" t="s">
        <v>33</v>
      </c>
      <c r="I6434" t="s">
        <v>1075</v>
      </c>
      <c r="AB6434" t="s">
        <v>742</v>
      </c>
      <c r="AC6434" t="s">
        <v>87</v>
      </c>
    </row>
    <row r="6435" spans="1:30" x14ac:dyDescent="0.35">
      <c r="A6435" s="7">
        <v>43255</v>
      </c>
      <c r="B6435" t="s">
        <v>30</v>
      </c>
      <c r="C6435">
        <v>401</v>
      </c>
      <c r="D6435">
        <v>2</v>
      </c>
      <c r="E6435">
        <v>2</v>
      </c>
      <c r="F6435" t="s">
        <v>1139</v>
      </c>
      <c r="G6435" t="s">
        <v>32</v>
      </c>
      <c r="H6435" t="s">
        <v>33</v>
      </c>
      <c r="I6435" t="s">
        <v>1075</v>
      </c>
      <c r="AB6435" t="s">
        <v>742</v>
      </c>
      <c r="AC6435" t="s">
        <v>87</v>
      </c>
    </row>
    <row r="6436" spans="1:30" x14ac:dyDescent="0.35">
      <c r="A6436" s="7">
        <v>43255</v>
      </c>
      <c r="B6436" t="s">
        <v>30</v>
      </c>
      <c r="C6436">
        <v>701</v>
      </c>
      <c r="D6436">
        <v>9</v>
      </c>
      <c r="E6436">
        <v>1</v>
      </c>
      <c r="F6436" t="s">
        <v>1020</v>
      </c>
      <c r="G6436" t="s">
        <v>32</v>
      </c>
      <c r="H6436" t="s">
        <v>33</v>
      </c>
      <c r="I6436" t="s">
        <v>94</v>
      </c>
      <c r="J6436" t="s">
        <v>92</v>
      </c>
      <c r="K6436" t="s">
        <v>36</v>
      </c>
      <c r="Q6436">
        <f>36-15</f>
        <v>21</v>
      </c>
      <c r="AB6436" t="s">
        <v>742</v>
      </c>
      <c r="AC6436" t="s">
        <v>87</v>
      </c>
    </row>
    <row r="6437" spans="1:30" x14ac:dyDescent="0.35">
      <c r="A6437" s="7">
        <v>43255</v>
      </c>
      <c r="B6437" t="s">
        <v>30</v>
      </c>
      <c r="C6437">
        <v>701</v>
      </c>
      <c r="D6437">
        <v>10</v>
      </c>
      <c r="E6437">
        <v>1</v>
      </c>
      <c r="F6437" t="s">
        <v>1020</v>
      </c>
      <c r="G6437" t="s">
        <v>32</v>
      </c>
      <c r="H6437" t="s">
        <v>33</v>
      </c>
      <c r="I6437" t="s">
        <v>94</v>
      </c>
      <c r="J6437" t="s">
        <v>139</v>
      </c>
      <c r="K6437" t="s">
        <v>36</v>
      </c>
      <c r="O6437">
        <v>39772</v>
      </c>
      <c r="AB6437" t="s">
        <v>742</v>
      </c>
      <c r="AC6437" t="s">
        <v>87</v>
      </c>
      <c r="AD6437" t="s">
        <v>1160</v>
      </c>
    </row>
    <row r="6438" spans="1:30" x14ac:dyDescent="0.35">
      <c r="A6438" s="7">
        <v>43255</v>
      </c>
      <c r="B6438" t="s">
        <v>30</v>
      </c>
      <c r="C6438">
        <v>803</v>
      </c>
      <c r="D6438">
        <v>10</v>
      </c>
      <c r="E6438">
        <v>1</v>
      </c>
      <c r="F6438" t="s">
        <v>1020</v>
      </c>
      <c r="G6438" t="s">
        <v>32</v>
      </c>
      <c r="H6438" t="s">
        <v>33</v>
      </c>
      <c r="I6438" t="s">
        <v>94</v>
      </c>
      <c r="J6438" t="s">
        <v>44</v>
      </c>
      <c r="K6438" t="s">
        <v>36</v>
      </c>
      <c r="L6438" t="s">
        <v>37</v>
      </c>
      <c r="M6438">
        <v>0</v>
      </c>
      <c r="N6438">
        <v>0</v>
      </c>
      <c r="O6438">
        <v>39784</v>
      </c>
      <c r="Q6438">
        <f>34-14.5</f>
        <v>19.5</v>
      </c>
      <c r="R6438" t="s">
        <v>38</v>
      </c>
      <c r="AB6438" t="s">
        <v>742</v>
      </c>
      <c r="AC6438" t="s">
        <v>87</v>
      </c>
    </row>
    <row r="6439" spans="1:30" x14ac:dyDescent="0.35">
      <c r="A6439" s="7">
        <v>43256</v>
      </c>
      <c r="B6439" t="s">
        <v>30</v>
      </c>
      <c r="C6439">
        <v>303</v>
      </c>
      <c r="D6439">
        <v>1</v>
      </c>
      <c r="E6439">
        <v>1</v>
      </c>
      <c r="F6439" t="s">
        <v>1139</v>
      </c>
      <c r="G6439" t="s">
        <v>32</v>
      </c>
      <c r="H6439" t="s">
        <v>33</v>
      </c>
      <c r="I6439" t="s">
        <v>43</v>
      </c>
      <c r="J6439" t="s">
        <v>44</v>
      </c>
      <c r="K6439" t="s">
        <v>36</v>
      </c>
      <c r="L6439" t="s">
        <v>45</v>
      </c>
      <c r="M6439">
        <v>0</v>
      </c>
      <c r="N6439">
        <v>0</v>
      </c>
      <c r="O6439">
        <v>2903</v>
      </c>
      <c r="P6439">
        <v>2901</v>
      </c>
      <c r="Q6439">
        <f>39.5-15</f>
        <v>24.5</v>
      </c>
      <c r="R6439" t="s">
        <v>1028</v>
      </c>
      <c r="S6439" t="s">
        <v>102</v>
      </c>
      <c r="AB6439" t="s">
        <v>1136</v>
      </c>
      <c r="AC6439" t="s">
        <v>1140</v>
      </c>
    </row>
    <row r="6440" spans="1:30" x14ac:dyDescent="0.35">
      <c r="A6440" s="7">
        <v>43256</v>
      </c>
      <c r="B6440" t="s">
        <v>30</v>
      </c>
      <c r="C6440">
        <v>303</v>
      </c>
      <c r="D6440">
        <v>8</v>
      </c>
      <c r="E6440">
        <v>2</v>
      </c>
      <c r="F6440" t="s">
        <v>1139</v>
      </c>
      <c r="G6440" t="s">
        <v>32</v>
      </c>
      <c r="H6440" t="s">
        <v>33</v>
      </c>
      <c r="I6440" t="s">
        <v>43</v>
      </c>
      <c r="J6440" t="s">
        <v>44</v>
      </c>
      <c r="K6440" t="s">
        <v>36</v>
      </c>
      <c r="L6440" t="s">
        <v>45</v>
      </c>
      <c r="M6440">
        <v>0</v>
      </c>
      <c r="N6440">
        <v>0</v>
      </c>
      <c r="O6440">
        <v>2913</v>
      </c>
      <c r="P6440">
        <v>2912</v>
      </c>
      <c r="Q6440">
        <f>36.5-13.5</f>
        <v>23</v>
      </c>
      <c r="R6440" t="s">
        <v>77</v>
      </c>
      <c r="S6440" t="s">
        <v>39</v>
      </c>
      <c r="AB6440" t="s">
        <v>1136</v>
      </c>
      <c r="AC6440" t="s">
        <v>1140</v>
      </c>
    </row>
    <row r="6441" spans="1:30" x14ac:dyDescent="0.35">
      <c r="A6441" s="7">
        <v>43256</v>
      </c>
      <c r="B6441" t="s">
        <v>30</v>
      </c>
      <c r="C6441">
        <v>401</v>
      </c>
      <c r="D6441">
        <v>5</v>
      </c>
      <c r="E6441">
        <v>1</v>
      </c>
      <c r="F6441" t="s">
        <v>1139</v>
      </c>
      <c r="G6441" t="s">
        <v>32</v>
      </c>
      <c r="H6441" t="s">
        <v>33</v>
      </c>
      <c r="I6441" t="s">
        <v>43</v>
      </c>
      <c r="J6441" t="s">
        <v>44</v>
      </c>
      <c r="K6441" t="s">
        <v>36</v>
      </c>
      <c r="L6441" t="s">
        <v>45</v>
      </c>
      <c r="M6441">
        <v>0</v>
      </c>
      <c r="N6441">
        <v>0</v>
      </c>
      <c r="O6441">
        <v>2911</v>
      </c>
      <c r="P6441">
        <v>2910</v>
      </c>
      <c r="Q6441">
        <f>35-13</f>
        <v>22</v>
      </c>
      <c r="R6441" t="s">
        <v>77</v>
      </c>
      <c r="S6441" t="s">
        <v>39</v>
      </c>
      <c r="AB6441" t="s">
        <v>1136</v>
      </c>
      <c r="AC6441" t="s">
        <v>1140</v>
      </c>
    </row>
    <row r="6442" spans="1:30" x14ac:dyDescent="0.35">
      <c r="A6442" s="7">
        <v>43256</v>
      </c>
      <c r="B6442" t="s">
        <v>30</v>
      </c>
      <c r="C6442">
        <v>501</v>
      </c>
      <c r="D6442">
        <v>3</v>
      </c>
      <c r="E6442">
        <v>1</v>
      </c>
      <c r="F6442" t="s">
        <v>1139</v>
      </c>
      <c r="G6442" t="s">
        <v>32</v>
      </c>
      <c r="H6442" t="s">
        <v>33</v>
      </c>
      <c r="I6442" t="s">
        <v>43</v>
      </c>
      <c r="J6442" t="s">
        <v>35</v>
      </c>
      <c r="K6442" t="s">
        <v>36</v>
      </c>
      <c r="L6442" t="s">
        <v>37</v>
      </c>
      <c r="M6442">
        <v>0</v>
      </c>
      <c r="N6442">
        <v>1</v>
      </c>
      <c r="O6442">
        <v>2817</v>
      </c>
      <c r="P6442">
        <v>2816</v>
      </c>
      <c r="Q6442">
        <f>35.5-14</f>
        <v>21.5</v>
      </c>
      <c r="R6442" t="s">
        <v>38</v>
      </c>
      <c r="AB6442" t="s">
        <v>1136</v>
      </c>
      <c r="AC6442" t="s">
        <v>1140</v>
      </c>
    </row>
    <row r="6443" spans="1:30" x14ac:dyDescent="0.35">
      <c r="A6443" s="7">
        <v>43256</v>
      </c>
      <c r="B6443" t="s">
        <v>30</v>
      </c>
      <c r="C6443">
        <v>501</v>
      </c>
      <c r="D6443">
        <v>6</v>
      </c>
      <c r="E6443">
        <v>1</v>
      </c>
      <c r="F6443" t="s">
        <v>1139</v>
      </c>
      <c r="G6443" t="s">
        <v>32</v>
      </c>
      <c r="H6443" t="s">
        <v>33</v>
      </c>
      <c r="I6443" t="s">
        <v>43</v>
      </c>
      <c r="J6443" t="s">
        <v>92</v>
      </c>
      <c r="AB6443" t="s">
        <v>1136</v>
      </c>
      <c r="AC6443" t="s">
        <v>1140</v>
      </c>
    </row>
    <row r="6444" spans="1:30" x14ac:dyDescent="0.35">
      <c r="A6444" s="7">
        <v>43256</v>
      </c>
      <c r="B6444" t="s">
        <v>30</v>
      </c>
      <c r="C6444">
        <v>501</v>
      </c>
      <c r="D6444">
        <v>9</v>
      </c>
      <c r="E6444">
        <v>1</v>
      </c>
      <c r="F6444" t="s">
        <v>1139</v>
      </c>
      <c r="G6444" t="s">
        <v>32</v>
      </c>
      <c r="H6444" t="s">
        <v>33</v>
      </c>
      <c r="I6444" t="s">
        <v>43</v>
      </c>
      <c r="J6444" t="s">
        <v>44</v>
      </c>
      <c r="K6444" t="s">
        <v>36</v>
      </c>
      <c r="L6444" t="s">
        <v>45</v>
      </c>
      <c r="M6444">
        <v>0</v>
      </c>
      <c r="N6444">
        <v>0</v>
      </c>
      <c r="O6444">
        <v>2956</v>
      </c>
      <c r="P6444">
        <v>2955</v>
      </c>
      <c r="Q6444">
        <f>34-14</f>
        <v>20</v>
      </c>
      <c r="R6444" t="s">
        <v>1028</v>
      </c>
      <c r="S6444" t="s">
        <v>102</v>
      </c>
      <c r="AB6444" t="s">
        <v>1136</v>
      </c>
      <c r="AC6444" t="s">
        <v>1140</v>
      </c>
    </row>
    <row r="6445" spans="1:30" x14ac:dyDescent="0.35">
      <c r="A6445" s="7">
        <v>43256</v>
      </c>
      <c r="B6445" t="s">
        <v>30</v>
      </c>
      <c r="C6445">
        <v>701</v>
      </c>
      <c r="D6445">
        <v>2</v>
      </c>
      <c r="E6445">
        <v>1</v>
      </c>
      <c r="F6445" t="s">
        <v>1020</v>
      </c>
      <c r="G6445" t="s">
        <v>32</v>
      </c>
      <c r="H6445" t="s">
        <v>33</v>
      </c>
      <c r="I6445" t="s">
        <v>43</v>
      </c>
      <c r="J6445" t="s">
        <v>44</v>
      </c>
      <c r="K6445" t="s">
        <v>36</v>
      </c>
      <c r="L6445" t="s">
        <v>45</v>
      </c>
      <c r="M6445">
        <v>0</v>
      </c>
      <c r="N6445">
        <v>0</v>
      </c>
      <c r="O6445">
        <v>2471</v>
      </c>
      <c r="P6445">
        <v>2470</v>
      </c>
      <c r="Q6445">
        <f>37.5-14</f>
        <v>23.5</v>
      </c>
      <c r="R6445" t="s">
        <v>79</v>
      </c>
      <c r="S6445" t="s">
        <v>39</v>
      </c>
      <c r="AB6445" t="s">
        <v>86</v>
      </c>
      <c r="AC6445" t="s">
        <v>41</v>
      </c>
    </row>
    <row r="6446" spans="1:30" x14ac:dyDescent="0.35">
      <c r="A6446" s="7">
        <v>43256</v>
      </c>
      <c r="B6446" t="s">
        <v>30</v>
      </c>
      <c r="C6446">
        <v>701</v>
      </c>
      <c r="D6446">
        <v>7</v>
      </c>
      <c r="E6446">
        <v>1</v>
      </c>
      <c r="F6446" t="s">
        <v>1020</v>
      </c>
      <c r="G6446" t="s">
        <v>32</v>
      </c>
      <c r="H6446" t="s">
        <v>33</v>
      </c>
      <c r="I6446" t="s">
        <v>43</v>
      </c>
      <c r="J6446" t="s">
        <v>44</v>
      </c>
      <c r="K6446" t="s">
        <v>36</v>
      </c>
      <c r="L6446" t="s">
        <v>45</v>
      </c>
      <c r="M6446">
        <v>0</v>
      </c>
      <c r="N6446">
        <v>0</v>
      </c>
      <c r="O6446">
        <v>2469</v>
      </c>
      <c r="P6446">
        <v>2468</v>
      </c>
      <c r="Q6446">
        <f>28.5-13</f>
        <v>15.5</v>
      </c>
      <c r="R6446" t="s">
        <v>1021</v>
      </c>
      <c r="S6446" t="s">
        <v>102</v>
      </c>
      <c r="AB6446" t="s">
        <v>86</v>
      </c>
      <c r="AC6446" t="s">
        <v>41</v>
      </c>
    </row>
    <row r="6447" spans="1:30" x14ac:dyDescent="0.35">
      <c r="A6447" s="7">
        <v>43256</v>
      </c>
      <c r="B6447" t="s">
        <v>30</v>
      </c>
      <c r="C6447">
        <v>703</v>
      </c>
      <c r="D6447">
        <v>1</v>
      </c>
      <c r="E6447">
        <v>1</v>
      </c>
      <c r="F6447" t="s">
        <v>1020</v>
      </c>
      <c r="G6447" t="s">
        <v>32</v>
      </c>
      <c r="H6447" t="s">
        <v>33</v>
      </c>
      <c r="I6447" t="s">
        <v>43</v>
      </c>
      <c r="J6447" t="s">
        <v>92</v>
      </c>
      <c r="Q6447">
        <f>35-15</f>
        <v>20</v>
      </c>
      <c r="AB6447" t="s">
        <v>86</v>
      </c>
      <c r="AC6447" t="s">
        <v>41</v>
      </c>
    </row>
    <row r="6448" spans="1:30" x14ac:dyDescent="0.35">
      <c r="A6448" s="7">
        <v>43256</v>
      </c>
      <c r="B6448" t="s">
        <v>30</v>
      </c>
      <c r="C6448">
        <v>801</v>
      </c>
      <c r="D6448">
        <v>7</v>
      </c>
      <c r="E6448">
        <v>1</v>
      </c>
      <c r="F6448" t="s">
        <v>1020</v>
      </c>
      <c r="G6448" t="s">
        <v>32</v>
      </c>
      <c r="H6448" t="s">
        <v>33</v>
      </c>
      <c r="I6448" t="s">
        <v>43</v>
      </c>
      <c r="J6448" t="s">
        <v>44</v>
      </c>
      <c r="K6448" t="s">
        <v>36</v>
      </c>
      <c r="L6448" t="s">
        <v>45</v>
      </c>
      <c r="M6448">
        <v>0</v>
      </c>
      <c r="N6448">
        <v>0</v>
      </c>
      <c r="O6448">
        <v>2425</v>
      </c>
      <c r="P6448">
        <v>2424</v>
      </c>
      <c r="Q6448">
        <f>33-13.25</f>
        <v>19.75</v>
      </c>
      <c r="R6448" t="s">
        <v>79</v>
      </c>
      <c r="S6448" t="s">
        <v>39</v>
      </c>
      <c r="AB6448" t="s">
        <v>86</v>
      </c>
      <c r="AC6448" t="s">
        <v>41</v>
      </c>
    </row>
    <row r="6449" spans="1:30" x14ac:dyDescent="0.35">
      <c r="A6449" s="7">
        <v>43256</v>
      </c>
      <c r="B6449" t="s">
        <v>30</v>
      </c>
      <c r="C6449">
        <v>701</v>
      </c>
      <c r="D6449">
        <v>1</v>
      </c>
      <c r="E6449">
        <v>1</v>
      </c>
      <c r="F6449" t="s">
        <v>1020</v>
      </c>
      <c r="G6449" t="s">
        <v>32</v>
      </c>
      <c r="H6449" t="s">
        <v>33</v>
      </c>
      <c r="I6449" t="s">
        <v>1161</v>
      </c>
      <c r="J6449" t="s">
        <v>44</v>
      </c>
      <c r="K6449" t="s">
        <v>36</v>
      </c>
      <c r="L6449" t="s">
        <v>37</v>
      </c>
      <c r="M6449">
        <v>0</v>
      </c>
      <c r="N6449">
        <v>0</v>
      </c>
      <c r="O6449">
        <v>2454</v>
      </c>
      <c r="P6449">
        <v>2453</v>
      </c>
      <c r="Q6449">
        <f>35.5-13</f>
        <v>22.5</v>
      </c>
      <c r="R6449" t="s">
        <v>38</v>
      </c>
      <c r="AB6449" t="s">
        <v>86</v>
      </c>
      <c r="AC6449" t="s">
        <v>41</v>
      </c>
    </row>
    <row r="6450" spans="1:30" x14ac:dyDescent="0.35">
      <c r="A6450" s="7">
        <v>43256</v>
      </c>
      <c r="B6450" t="s">
        <v>30</v>
      </c>
      <c r="C6450">
        <v>801</v>
      </c>
      <c r="D6450">
        <v>9</v>
      </c>
      <c r="E6450">
        <v>1</v>
      </c>
      <c r="F6450" t="s">
        <v>1020</v>
      </c>
      <c r="G6450" t="s">
        <v>32</v>
      </c>
      <c r="H6450" t="s">
        <v>33</v>
      </c>
      <c r="I6450" t="s">
        <v>34</v>
      </c>
      <c r="J6450" t="s">
        <v>35</v>
      </c>
      <c r="K6450" t="s">
        <v>36</v>
      </c>
      <c r="L6450" t="s">
        <v>37</v>
      </c>
      <c r="M6450">
        <v>0</v>
      </c>
      <c r="N6450">
        <v>1</v>
      </c>
      <c r="O6450">
        <v>2452</v>
      </c>
      <c r="Q6450">
        <f>223-136</f>
        <v>87</v>
      </c>
      <c r="R6450" t="s">
        <v>38</v>
      </c>
      <c r="AB6450" t="s">
        <v>86</v>
      </c>
      <c r="AC6450" t="s">
        <v>41</v>
      </c>
    </row>
    <row r="6451" spans="1:30" x14ac:dyDescent="0.35">
      <c r="A6451" s="7">
        <v>43256</v>
      </c>
      <c r="B6451" t="s">
        <v>30</v>
      </c>
      <c r="C6451">
        <v>803</v>
      </c>
      <c r="D6451">
        <v>8</v>
      </c>
      <c r="E6451">
        <v>1</v>
      </c>
      <c r="F6451" t="s">
        <v>1020</v>
      </c>
      <c r="G6451" t="s">
        <v>32</v>
      </c>
      <c r="H6451" t="s">
        <v>33</v>
      </c>
      <c r="I6451" t="s">
        <v>34</v>
      </c>
      <c r="J6451" t="s">
        <v>92</v>
      </c>
      <c r="AB6451" t="s">
        <v>86</v>
      </c>
      <c r="AC6451" t="s">
        <v>41</v>
      </c>
    </row>
    <row r="6452" spans="1:30" x14ac:dyDescent="0.35">
      <c r="A6452" s="7">
        <v>43256</v>
      </c>
      <c r="B6452" t="s">
        <v>30</v>
      </c>
      <c r="C6452">
        <v>303</v>
      </c>
      <c r="D6452">
        <v>8</v>
      </c>
      <c r="E6452">
        <v>1</v>
      </c>
      <c r="F6452" t="s">
        <v>1139</v>
      </c>
      <c r="G6452" t="s">
        <v>32</v>
      </c>
      <c r="H6452" t="s">
        <v>33</v>
      </c>
      <c r="I6452" t="s">
        <v>58</v>
      </c>
      <c r="J6452" t="s">
        <v>44</v>
      </c>
      <c r="K6452" t="s">
        <v>36</v>
      </c>
      <c r="L6452" t="s">
        <v>45</v>
      </c>
      <c r="M6452">
        <v>0</v>
      </c>
      <c r="N6452">
        <v>0</v>
      </c>
      <c r="O6452">
        <v>2815</v>
      </c>
      <c r="R6452" t="s">
        <v>46</v>
      </c>
      <c r="S6452" t="s">
        <v>39</v>
      </c>
      <c r="AB6452" t="s">
        <v>1136</v>
      </c>
      <c r="AC6452" t="s">
        <v>1140</v>
      </c>
    </row>
    <row r="6453" spans="1:30" x14ac:dyDescent="0.35">
      <c r="A6453" s="7">
        <v>43256</v>
      </c>
      <c r="B6453" t="s">
        <v>30</v>
      </c>
      <c r="C6453">
        <v>501</v>
      </c>
      <c r="D6453">
        <v>5</v>
      </c>
      <c r="E6453">
        <v>1</v>
      </c>
      <c r="F6453" t="s">
        <v>1139</v>
      </c>
      <c r="G6453" t="s">
        <v>32</v>
      </c>
      <c r="H6453" t="s">
        <v>33</v>
      </c>
      <c r="I6453" t="s">
        <v>58</v>
      </c>
      <c r="J6453" t="s">
        <v>35</v>
      </c>
      <c r="K6453" t="s">
        <v>36</v>
      </c>
      <c r="L6453" t="s">
        <v>45</v>
      </c>
      <c r="M6453">
        <v>0</v>
      </c>
      <c r="N6453">
        <v>1</v>
      </c>
      <c r="O6453">
        <v>2818</v>
      </c>
      <c r="Q6453">
        <f>37.5-14.5</f>
        <v>23</v>
      </c>
      <c r="R6453" t="s">
        <v>46</v>
      </c>
      <c r="S6453" t="s">
        <v>39</v>
      </c>
      <c r="AB6453" t="s">
        <v>1136</v>
      </c>
      <c r="AC6453" t="s">
        <v>1140</v>
      </c>
      <c r="AD6453" t="s">
        <v>1162</v>
      </c>
    </row>
    <row r="6454" spans="1:30" x14ac:dyDescent="0.35">
      <c r="A6454" s="7">
        <v>43256</v>
      </c>
      <c r="B6454" t="s">
        <v>30</v>
      </c>
      <c r="C6454">
        <v>701</v>
      </c>
      <c r="D6454">
        <v>6</v>
      </c>
      <c r="E6454">
        <v>2</v>
      </c>
      <c r="F6454" t="s">
        <v>1020</v>
      </c>
      <c r="G6454" t="s">
        <v>32</v>
      </c>
      <c r="H6454" t="s">
        <v>33</v>
      </c>
      <c r="I6454" t="s">
        <v>65</v>
      </c>
      <c r="J6454" t="s">
        <v>44</v>
      </c>
      <c r="K6454" t="s">
        <v>36</v>
      </c>
      <c r="L6454" t="s">
        <v>37</v>
      </c>
      <c r="M6454">
        <v>0</v>
      </c>
      <c r="N6454">
        <v>0</v>
      </c>
      <c r="O6454">
        <v>2565</v>
      </c>
      <c r="Q6454">
        <f>286-136</f>
        <v>150</v>
      </c>
      <c r="R6454" t="s">
        <v>64</v>
      </c>
      <c r="AB6454" t="s">
        <v>86</v>
      </c>
      <c r="AC6454" t="s">
        <v>41</v>
      </c>
    </row>
    <row r="6455" spans="1:30" x14ac:dyDescent="0.35">
      <c r="A6455" s="7">
        <v>43256</v>
      </c>
      <c r="B6455" t="s">
        <v>30</v>
      </c>
      <c r="C6455">
        <v>701</v>
      </c>
      <c r="D6455">
        <v>9</v>
      </c>
      <c r="E6455">
        <v>1</v>
      </c>
      <c r="F6455" t="s">
        <v>1020</v>
      </c>
      <c r="G6455" t="s">
        <v>32</v>
      </c>
      <c r="H6455" t="s">
        <v>33</v>
      </c>
      <c r="I6455" t="s">
        <v>72</v>
      </c>
      <c r="J6455" t="s">
        <v>66</v>
      </c>
      <c r="AB6455" t="s">
        <v>86</v>
      </c>
      <c r="AC6455" t="s">
        <v>41</v>
      </c>
    </row>
    <row r="6456" spans="1:30" x14ac:dyDescent="0.35">
      <c r="A6456" s="7">
        <v>43256</v>
      </c>
      <c r="B6456" t="s">
        <v>30</v>
      </c>
      <c r="C6456">
        <v>501</v>
      </c>
      <c r="D6456">
        <v>6</v>
      </c>
      <c r="E6456">
        <v>2</v>
      </c>
      <c r="F6456" t="s">
        <v>1139</v>
      </c>
      <c r="G6456" t="s">
        <v>32</v>
      </c>
      <c r="H6456" t="s">
        <v>33</v>
      </c>
      <c r="I6456" t="s">
        <v>59</v>
      </c>
      <c r="AB6456" t="s">
        <v>1136</v>
      </c>
      <c r="AC6456" t="s">
        <v>1140</v>
      </c>
    </row>
    <row r="6457" spans="1:30" x14ac:dyDescent="0.35">
      <c r="A6457" s="7">
        <v>43256</v>
      </c>
      <c r="B6457" t="s">
        <v>30</v>
      </c>
      <c r="C6457">
        <v>501</v>
      </c>
      <c r="D6457">
        <v>7</v>
      </c>
      <c r="E6457">
        <v>1</v>
      </c>
      <c r="F6457" t="s">
        <v>1139</v>
      </c>
      <c r="G6457" t="s">
        <v>32</v>
      </c>
      <c r="H6457" t="s">
        <v>33</v>
      </c>
      <c r="I6457" t="s">
        <v>59</v>
      </c>
      <c r="AB6457" t="s">
        <v>1136</v>
      </c>
      <c r="AC6457" t="s">
        <v>1140</v>
      </c>
    </row>
    <row r="6458" spans="1:30" x14ac:dyDescent="0.35">
      <c r="A6458" s="7">
        <v>43256</v>
      </c>
      <c r="B6458" t="s">
        <v>30</v>
      </c>
      <c r="C6458">
        <v>501</v>
      </c>
      <c r="D6458">
        <v>9</v>
      </c>
      <c r="E6458">
        <v>2</v>
      </c>
      <c r="F6458" t="s">
        <v>1139</v>
      </c>
      <c r="G6458" t="s">
        <v>32</v>
      </c>
      <c r="H6458" t="s">
        <v>33</v>
      </c>
      <c r="I6458" t="s">
        <v>59</v>
      </c>
      <c r="AB6458" t="s">
        <v>1136</v>
      </c>
      <c r="AC6458" t="s">
        <v>1140</v>
      </c>
    </row>
    <row r="6459" spans="1:30" x14ac:dyDescent="0.35">
      <c r="A6459" s="7">
        <v>43256</v>
      </c>
      <c r="B6459" t="s">
        <v>30</v>
      </c>
      <c r="C6459">
        <v>503</v>
      </c>
      <c r="D6459">
        <v>3</v>
      </c>
      <c r="E6459">
        <v>1</v>
      </c>
      <c r="F6459" t="s">
        <v>1139</v>
      </c>
      <c r="G6459" t="s">
        <v>32</v>
      </c>
      <c r="H6459" t="s">
        <v>33</v>
      </c>
      <c r="I6459" t="s">
        <v>59</v>
      </c>
      <c r="AB6459" t="s">
        <v>1136</v>
      </c>
      <c r="AC6459" t="s">
        <v>1140</v>
      </c>
    </row>
    <row r="6460" spans="1:30" x14ac:dyDescent="0.35">
      <c r="A6460" s="7">
        <v>43256</v>
      </c>
      <c r="B6460" t="s">
        <v>30</v>
      </c>
      <c r="C6460">
        <v>503</v>
      </c>
      <c r="D6460">
        <v>3</v>
      </c>
      <c r="E6460">
        <v>2</v>
      </c>
      <c r="F6460" t="s">
        <v>1139</v>
      </c>
      <c r="G6460" t="s">
        <v>32</v>
      </c>
      <c r="H6460" t="s">
        <v>33</v>
      </c>
      <c r="I6460" t="s">
        <v>59</v>
      </c>
      <c r="AB6460" t="s">
        <v>1136</v>
      </c>
      <c r="AC6460" t="s">
        <v>1140</v>
      </c>
    </row>
    <row r="6461" spans="1:30" x14ac:dyDescent="0.35">
      <c r="A6461" s="7">
        <v>43256</v>
      </c>
      <c r="B6461" t="s">
        <v>30</v>
      </c>
      <c r="C6461">
        <v>503</v>
      </c>
      <c r="D6461">
        <v>6</v>
      </c>
      <c r="E6461">
        <v>1</v>
      </c>
      <c r="F6461" t="s">
        <v>1139</v>
      </c>
      <c r="G6461" t="s">
        <v>32</v>
      </c>
      <c r="H6461" t="s">
        <v>33</v>
      </c>
      <c r="I6461" t="s">
        <v>59</v>
      </c>
      <c r="AB6461" t="s">
        <v>1136</v>
      </c>
      <c r="AC6461" t="s">
        <v>1140</v>
      </c>
    </row>
    <row r="6462" spans="1:30" x14ac:dyDescent="0.35">
      <c r="A6462" s="7">
        <v>43256</v>
      </c>
      <c r="B6462" t="s">
        <v>30</v>
      </c>
      <c r="C6462">
        <v>503</v>
      </c>
      <c r="D6462">
        <v>7</v>
      </c>
      <c r="E6462">
        <v>1</v>
      </c>
      <c r="F6462" t="s">
        <v>1139</v>
      </c>
      <c r="G6462" t="s">
        <v>32</v>
      </c>
      <c r="H6462" t="s">
        <v>33</v>
      </c>
      <c r="I6462" t="s">
        <v>59</v>
      </c>
      <c r="AB6462" t="s">
        <v>1136</v>
      </c>
      <c r="AC6462" t="s">
        <v>1140</v>
      </c>
    </row>
    <row r="6463" spans="1:30" x14ac:dyDescent="0.35">
      <c r="A6463" s="7">
        <v>43256</v>
      </c>
      <c r="B6463" t="s">
        <v>30</v>
      </c>
      <c r="C6463">
        <v>503</v>
      </c>
      <c r="D6463">
        <v>7</v>
      </c>
      <c r="E6463">
        <v>2</v>
      </c>
      <c r="F6463" t="s">
        <v>1139</v>
      </c>
      <c r="G6463" t="s">
        <v>32</v>
      </c>
      <c r="H6463" t="s">
        <v>33</v>
      </c>
      <c r="I6463" t="s">
        <v>59</v>
      </c>
      <c r="AB6463" t="s">
        <v>1136</v>
      </c>
      <c r="AC6463" t="s">
        <v>1140</v>
      </c>
    </row>
    <row r="6464" spans="1:30" x14ac:dyDescent="0.35">
      <c r="A6464" s="7">
        <v>43256</v>
      </c>
      <c r="B6464" t="s">
        <v>30</v>
      </c>
      <c r="C6464">
        <v>503</v>
      </c>
      <c r="D6464">
        <v>8</v>
      </c>
      <c r="E6464">
        <v>1</v>
      </c>
      <c r="F6464" t="s">
        <v>1139</v>
      </c>
      <c r="G6464" t="s">
        <v>32</v>
      </c>
      <c r="H6464" t="s">
        <v>33</v>
      </c>
      <c r="I6464" t="s">
        <v>59</v>
      </c>
      <c r="AB6464" t="s">
        <v>1136</v>
      </c>
      <c r="AC6464" t="s">
        <v>1140</v>
      </c>
    </row>
    <row r="6465" spans="1:29" x14ac:dyDescent="0.35">
      <c r="A6465" s="7">
        <v>43256</v>
      </c>
      <c r="B6465" t="s">
        <v>30</v>
      </c>
      <c r="C6465">
        <v>503</v>
      </c>
      <c r="D6465">
        <v>8</v>
      </c>
      <c r="E6465">
        <v>2</v>
      </c>
      <c r="F6465" t="s">
        <v>1139</v>
      </c>
      <c r="G6465" t="s">
        <v>32</v>
      </c>
      <c r="H6465" t="s">
        <v>33</v>
      </c>
      <c r="I6465" t="s">
        <v>59</v>
      </c>
      <c r="AB6465" t="s">
        <v>1136</v>
      </c>
      <c r="AC6465" t="s">
        <v>1140</v>
      </c>
    </row>
    <row r="6466" spans="1:29" x14ac:dyDescent="0.35">
      <c r="A6466" s="7">
        <v>43256</v>
      </c>
      <c r="B6466" t="s">
        <v>30</v>
      </c>
      <c r="C6466">
        <v>503</v>
      </c>
      <c r="D6466">
        <v>9</v>
      </c>
      <c r="E6466">
        <v>1</v>
      </c>
      <c r="F6466" t="s">
        <v>1139</v>
      </c>
      <c r="G6466" t="s">
        <v>32</v>
      </c>
      <c r="H6466" t="s">
        <v>33</v>
      </c>
      <c r="I6466" t="s">
        <v>59</v>
      </c>
      <c r="AB6466" t="s">
        <v>1136</v>
      </c>
      <c r="AC6466" t="s">
        <v>1140</v>
      </c>
    </row>
    <row r="6467" spans="1:29" x14ac:dyDescent="0.35">
      <c r="A6467" s="7">
        <v>43256</v>
      </c>
      <c r="B6467" t="s">
        <v>30</v>
      </c>
      <c r="C6467">
        <v>503</v>
      </c>
      <c r="D6467">
        <v>9</v>
      </c>
      <c r="E6467">
        <v>2</v>
      </c>
      <c r="F6467" t="s">
        <v>1139</v>
      </c>
      <c r="G6467" t="s">
        <v>32</v>
      </c>
      <c r="H6467" t="s">
        <v>33</v>
      </c>
      <c r="I6467" t="s">
        <v>59</v>
      </c>
      <c r="AB6467" t="s">
        <v>1136</v>
      </c>
      <c r="AC6467" t="s">
        <v>1140</v>
      </c>
    </row>
    <row r="6468" spans="1:29" x14ac:dyDescent="0.35">
      <c r="A6468" s="7">
        <v>43256</v>
      </c>
      <c r="B6468" t="s">
        <v>30</v>
      </c>
      <c r="C6468">
        <v>503</v>
      </c>
      <c r="D6468">
        <v>10</v>
      </c>
      <c r="E6468">
        <v>1</v>
      </c>
      <c r="F6468" t="s">
        <v>1139</v>
      </c>
      <c r="G6468" t="s">
        <v>32</v>
      </c>
      <c r="H6468" t="s">
        <v>33</v>
      </c>
      <c r="I6468" t="s">
        <v>59</v>
      </c>
      <c r="AB6468" t="s">
        <v>1136</v>
      </c>
      <c r="AC6468" t="s">
        <v>1140</v>
      </c>
    </row>
    <row r="6469" spans="1:29" x14ac:dyDescent="0.35">
      <c r="A6469" s="7">
        <v>43256</v>
      </c>
      <c r="B6469" t="s">
        <v>30</v>
      </c>
      <c r="C6469">
        <v>503</v>
      </c>
      <c r="D6469">
        <v>10</v>
      </c>
      <c r="E6469">
        <v>2</v>
      </c>
      <c r="F6469" t="s">
        <v>1139</v>
      </c>
      <c r="G6469" t="s">
        <v>32</v>
      </c>
      <c r="H6469" t="s">
        <v>33</v>
      </c>
      <c r="I6469" t="s">
        <v>59</v>
      </c>
      <c r="AB6469" t="s">
        <v>1136</v>
      </c>
      <c r="AC6469" t="s">
        <v>1140</v>
      </c>
    </row>
    <row r="6470" spans="1:29" x14ac:dyDescent="0.35">
      <c r="A6470" s="7">
        <v>43256</v>
      </c>
      <c r="B6470" t="s">
        <v>30</v>
      </c>
      <c r="C6470">
        <v>701</v>
      </c>
      <c r="D6470">
        <v>3</v>
      </c>
      <c r="E6470">
        <v>1</v>
      </c>
      <c r="F6470" t="s">
        <v>1020</v>
      </c>
      <c r="G6470" t="s">
        <v>32</v>
      </c>
      <c r="H6470" t="s">
        <v>33</v>
      </c>
      <c r="I6470" t="s">
        <v>59</v>
      </c>
      <c r="AB6470" t="s">
        <v>86</v>
      </c>
      <c r="AC6470" t="s">
        <v>41</v>
      </c>
    </row>
    <row r="6471" spans="1:29" x14ac:dyDescent="0.35">
      <c r="A6471" s="7">
        <v>43256</v>
      </c>
      <c r="B6471" t="s">
        <v>30</v>
      </c>
      <c r="C6471">
        <v>701</v>
      </c>
      <c r="D6471">
        <v>4</v>
      </c>
      <c r="E6471">
        <v>1</v>
      </c>
      <c r="F6471" t="s">
        <v>1020</v>
      </c>
      <c r="G6471" t="s">
        <v>32</v>
      </c>
      <c r="H6471" t="s">
        <v>33</v>
      </c>
      <c r="I6471" t="s">
        <v>59</v>
      </c>
      <c r="AB6471" t="s">
        <v>86</v>
      </c>
      <c r="AC6471" t="s">
        <v>41</v>
      </c>
    </row>
    <row r="6472" spans="1:29" x14ac:dyDescent="0.35">
      <c r="A6472" s="7">
        <v>43256</v>
      </c>
      <c r="B6472" t="s">
        <v>30</v>
      </c>
      <c r="C6472">
        <v>701</v>
      </c>
      <c r="D6472">
        <v>5</v>
      </c>
      <c r="E6472">
        <v>1</v>
      </c>
      <c r="F6472" t="s">
        <v>1020</v>
      </c>
      <c r="G6472" t="s">
        <v>32</v>
      </c>
      <c r="H6472" t="s">
        <v>33</v>
      </c>
      <c r="I6472" t="s">
        <v>59</v>
      </c>
      <c r="AB6472" t="s">
        <v>86</v>
      </c>
      <c r="AC6472" t="s">
        <v>41</v>
      </c>
    </row>
    <row r="6473" spans="1:29" x14ac:dyDescent="0.35">
      <c r="A6473" s="7">
        <v>43256</v>
      </c>
      <c r="B6473" t="s">
        <v>30</v>
      </c>
      <c r="C6473">
        <v>701</v>
      </c>
      <c r="D6473">
        <v>6</v>
      </c>
      <c r="E6473">
        <v>1</v>
      </c>
      <c r="F6473" t="s">
        <v>1020</v>
      </c>
      <c r="G6473" t="s">
        <v>32</v>
      </c>
      <c r="H6473" t="s">
        <v>33</v>
      </c>
      <c r="I6473" t="s">
        <v>59</v>
      </c>
      <c r="AB6473" t="s">
        <v>86</v>
      </c>
      <c r="AC6473" t="s">
        <v>41</v>
      </c>
    </row>
    <row r="6474" spans="1:29" x14ac:dyDescent="0.35">
      <c r="A6474" s="7">
        <v>43256</v>
      </c>
      <c r="B6474" t="s">
        <v>30</v>
      </c>
      <c r="C6474">
        <v>701</v>
      </c>
      <c r="D6474">
        <v>8</v>
      </c>
      <c r="E6474">
        <v>1</v>
      </c>
      <c r="F6474" t="s">
        <v>1020</v>
      </c>
      <c r="G6474" t="s">
        <v>32</v>
      </c>
      <c r="H6474" t="s">
        <v>33</v>
      </c>
      <c r="I6474" t="s">
        <v>59</v>
      </c>
      <c r="AB6474" t="s">
        <v>86</v>
      </c>
      <c r="AC6474" t="s">
        <v>41</v>
      </c>
    </row>
    <row r="6475" spans="1:29" x14ac:dyDescent="0.35">
      <c r="A6475" s="7">
        <v>43256</v>
      </c>
      <c r="B6475" t="s">
        <v>30</v>
      </c>
      <c r="C6475">
        <v>701</v>
      </c>
      <c r="D6475">
        <v>10</v>
      </c>
      <c r="E6475">
        <v>1</v>
      </c>
      <c r="F6475" t="s">
        <v>1020</v>
      </c>
      <c r="G6475" t="s">
        <v>32</v>
      </c>
      <c r="H6475" t="s">
        <v>33</v>
      </c>
      <c r="I6475" t="s">
        <v>59</v>
      </c>
      <c r="AB6475" t="s">
        <v>86</v>
      </c>
      <c r="AC6475" t="s">
        <v>41</v>
      </c>
    </row>
    <row r="6476" spans="1:29" x14ac:dyDescent="0.35">
      <c r="A6476" s="7">
        <v>43256</v>
      </c>
      <c r="B6476" t="s">
        <v>30</v>
      </c>
      <c r="C6476">
        <v>703</v>
      </c>
      <c r="D6476">
        <v>1</v>
      </c>
      <c r="E6476">
        <v>2</v>
      </c>
      <c r="F6476" t="s">
        <v>1020</v>
      </c>
      <c r="G6476" t="s">
        <v>32</v>
      </c>
      <c r="H6476" t="s">
        <v>33</v>
      </c>
      <c r="I6476" t="s">
        <v>59</v>
      </c>
      <c r="AB6476" t="s">
        <v>86</v>
      </c>
      <c r="AC6476" t="s">
        <v>41</v>
      </c>
    </row>
    <row r="6477" spans="1:29" x14ac:dyDescent="0.35">
      <c r="A6477" s="7">
        <v>43256</v>
      </c>
      <c r="B6477" t="s">
        <v>30</v>
      </c>
      <c r="C6477">
        <v>703</v>
      </c>
      <c r="D6477">
        <v>2</v>
      </c>
      <c r="E6477">
        <v>1</v>
      </c>
      <c r="F6477" t="s">
        <v>1020</v>
      </c>
      <c r="G6477" t="s">
        <v>32</v>
      </c>
      <c r="H6477" t="s">
        <v>33</v>
      </c>
      <c r="I6477" t="s">
        <v>59</v>
      </c>
      <c r="AB6477" t="s">
        <v>86</v>
      </c>
      <c r="AC6477" t="s">
        <v>41</v>
      </c>
    </row>
    <row r="6478" spans="1:29" x14ac:dyDescent="0.35">
      <c r="A6478" s="7">
        <v>43256</v>
      </c>
      <c r="B6478" t="s">
        <v>30</v>
      </c>
      <c r="C6478">
        <v>703</v>
      </c>
      <c r="D6478">
        <v>6</v>
      </c>
      <c r="E6478">
        <v>1</v>
      </c>
      <c r="F6478" t="s">
        <v>1020</v>
      </c>
      <c r="G6478" t="s">
        <v>32</v>
      </c>
      <c r="H6478" t="s">
        <v>33</v>
      </c>
      <c r="I6478" t="s">
        <v>59</v>
      </c>
      <c r="AB6478" t="s">
        <v>86</v>
      </c>
      <c r="AC6478" t="s">
        <v>41</v>
      </c>
    </row>
    <row r="6479" spans="1:29" x14ac:dyDescent="0.35">
      <c r="A6479" s="7">
        <v>43256</v>
      </c>
      <c r="B6479" t="s">
        <v>30</v>
      </c>
      <c r="C6479">
        <v>703</v>
      </c>
      <c r="D6479">
        <v>8</v>
      </c>
      <c r="E6479">
        <v>1</v>
      </c>
      <c r="F6479" t="s">
        <v>1020</v>
      </c>
      <c r="G6479" t="s">
        <v>32</v>
      </c>
      <c r="H6479" t="s">
        <v>33</v>
      </c>
      <c r="I6479" t="s">
        <v>59</v>
      </c>
      <c r="AB6479" t="s">
        <v>86</v>
      </c>
      <c r="AC6479" t="s">
        <v>41</v>
      </c>
    </row>
    <row r="6480" spans="1:29" x14ac:dyDescent="0.35">
      <c r="A6480" s="7">
        <v>43256</v>
      </c>
      <c r="B6480" t="s">
        <v>30</v>
      </c>
      <c r="C6480">
        <v>703</v>
      </c>
      <c r="D6480">
        <v>9</v>
      </c>
      <c r="E6480">
        <v>1</v>
      </c>
      <c r="F6480" t="s">
        <v>1020</v>
      </c>
      <c r="G6480" t="s">
        <v>32</v>
      </c>
      <c r="H6480" t="s">
        <v>33</v>
      </c>
      <c r="I6480" t="s">
        <v>59</v>
      </c>
      <c r="AB6480" t="s">
        <v>86</v>
      </c>
      <c r="AC6480" t="s">
        <v>41</v>
      </c>
    </row>
    <row r="6481" spans="1:30" x14ac:dyDescent="0.35">
      <c r="A6481" s="7">
        <v>43256</v>
      </c>
      <c r="B6481" t="s">
        <v>30</v>
      </c>
      <c r="C6481">
        <v>703</v>
      </c>
      <c r="D6481">
        <v>10</v>
      </c>
      <c r="E6481">
        <v>1</v>
      </c>
      <c r="F6481" t="s">
        <v>1020</v>
      </c>
      <c r="G6481" t="s">
        <v>32</v>
      </c>
      <c r="H6481" t="s">
        <v>33</v>
      </c>
      <c r="I6481" t="s">
        <v>59</v>
      </c>
      <c r="AB6481" t="s">
        <v>86</v>
      </c>
      <c r="AC6481" t="s">
        <v>41</v>
      </c>
    </row>
    <row r="6482" spans="1:30" x14ac:dyDescent="0.35">
      <c r="A6482" s="7">
        <v>43256</v>
      </c>
      <c r="B6482" t="s">
        <v>30</v>
      </c>
      <c r="C6482">
        <v>801</v>
      </c>
      <c r="D6482">
        <v>3</v>
      </c>
      <c r="E6482">
        <v>1</v>
      </c>
      <c r="F6482" t="s">
        <v>1020</v>
      </c>
      <c r="G6482" t="s">
        <v>32</v>
      </c>
      <c r="H6482" t="s">
        <v>33</v>
      </c>
      <c r="I6482" t="s">
        <v>59</v>
      </c>
      <c r="AB6482" t="s">
        <v>86</v>
      </c>
      <c r="AC6482" t="s">
        <v>41</v>
      </c>
    </row>
    <row r="6483" spans="1:30" x14ac:dyDescent="0.35">
      <c r="A6483" s="7">
        <v>43256</v>
      </c>
      <c r="B6483" t="s">
        <v>30</v>
      </c>
      <c r="C6483">
        <v>801</v>
      </c>
      <c r="D6483">
        <v>4</v>
      </c>
      <c r="E6483">
        <v>1</v>
      </c>
      <c r="F6483" t="s">
        <v>1020</v>
      </c>
      <c r="G6483" t="s">
        <v>32</v>
      </c>
      <c r="H6483" t="s">
        <v>33</v>
      </c>
      <c r="I6483" t="s">
        <v>59</v>
      </c>
      <c r="AB6483" t="s">
        <v>86</v>
      </c>
      <c r="AC6483" t="s">
        <v>41</v>
      </c>
    </row>
    <row r="6484" spans="1:30" x14ac:dyDescent="0.35">
      <c r="A6484" s="7">
        <v>43256</v>
      </c>
      <c r="B6484" t="s">
        <v>30</v>
      </c>
      <c r="C6484">
        <v>803</v>
      </c>
      <c r="D6484">
        <v>6</v>
      </c>
      <c r="E6484">
        <v>1</v>
      </c>
      <c r="F6484" t="s">
        <v>1020</v>
      </c>
      <c r="G6484" t="s">
        <v>32</v>
      </c>
      <c r="H6484" t="s">
        <v>33</v>
      </c>
      <c r="I6484" t="s">
        <v>59</v>
      </c>
      <c r="AB6484" t="s">
        <v>86</v>
      </c>
      <c r="AC6484" t="s">
        <v>41</v>
      </c>
    </row>
    <row r="6485" spans="1:30" x14ac:dyDescent="0.35">
      <c r="A6485" s="7">
        <v>43256</v>
      </c>
      <c r="B6485" t="s">
        <v>30</v>
      </c>
      <c r="C6485">
        <v>803</v>
      </c>
      <c r="D6485">
        <v>7</v>
      </c>
      <c r="E6485">
        <v>1</v>
      </c>
      <c r="F6485" t="s">
        <v>1020</v>
      </c>
      <c r="G6485" t="s">
        <v>32</v>
      </c>
      <c r="H6485" t="s">
        <v>33</v>
      </c>
      <c r="I6485" t="s">
        <v>59</v>
      </c>
      <c r="AB6485" t="s">
        <v>86</v>
      </c>
      <c r="AC6485" t="s">
        <v>41</v>
      </c>
    </row>
    <row r="6486" spans="1:30" x14ac:dyDescent="0.35">
      <c r="A6486" s="7">
        <v>43256</v>
      </c>
      <c r="B6486" t="s">
        <v>30</v>
      </c>
      <c r="C6486">
        <v>703</v>
      </c>
      <c r="D6486">
        <v>3</v>
      </c>
      <c r="E6486">
        <v>1</v>
      </c>
      <c r="F6486" t="s">
        <v>1020</v>
      </c>
      <c r="G6486" t="s">
        <v>32</v>
      </c>
      <c r="H6486" t="s">
        <v>33</v>
      </c>
      <c r="I6486" t="s">
        <v>94</v>
      </c>
      <c r="J6486" t="s">
        <v>44</v>
      </c>
      <c r="K6486" t="s">
        <v>36</v>
      </c>
      <c r="L6486" t="s">
        <v>37</v>
      </c>
      <c r="M6486">
        <v>0</v>
      </c>
      <c r="N6486">
        <v>0</v>
      </c>
      <c r="O6486">
        <v>38953</v>
      </c>
      <c r="Q6486">
        <f>39-13.5</f>
        <v>25.5</v>
      </c>
      <c r="R6486" t="s">
        <v>38</v>
      </c>
      <c r="AB6486" t="s">
        <v>86</v>
      </c>
      <c r="AC6486" t="s">
        <v>41</v>
      </c>
    </row>
    <row r="6487" spans="1:30" x14ac:dyDescent="0.35">
      <c r="A6487" s="7">
        <v>43256</v>
      </c>
      <c r="B6487" t="s">
        <v>30</v>
      </c>
      <c r="C6487">
        <v>803</v>
      </c>
      <c r="D6487">
        <v>6</v>
      </c>
      <c r="E6487">
        <v>2</v>
      </c>
      <c r="F6487" t="s">
        <v>1020</v>
      </c>
      <c r="G6487" t="s">
        <v>32</v>
      </c>
      <c r="H6487" t="s">
        <v>33</v>
      </c>
      <c r="I6487" t="s">
        <v>94</v>
      </c>
      <c r="J6487" t="s">
        <v>44</v>
      </c>
      <c r="K6487" t="s">
        <v>36</v>
      </c>
      <c r="L6487" t="s">
        <v>37</v>
      </c>
      <c r="M6487">
        <v>0</v>
      </c>
      <c r="N6487">
        <v>0</v>
      </c>
      <c r="O6487">
        <v>39784</v>
      </c>
      <c r="Q6487">
        <f>34-13</f>
        <v>21</v>
      </c>
      <c r="R6487" t="s">
        <v>38</v>
      </c>
      <c r="AB6487" t="s">
        <v>86</v>
      </c>
      <c r="AC6487" t="s">
        <v>41</v>
      </c>
      <c r="AD6487" t="s">
        <v>1163</v>
      </c>
    </row>
    <row r="6488" spans="1:30" x14ac:dyDescent="0.35">
      <c r="A6488" s="7">
        <v>43257</v>
      </c>
      <c r="B6488" t="s">
        <v>30</v>
      </c>
      <c r="C6488">
        <v>303</v>
      </c>
      <c r="D6488">
        <v>3</v>
      </c>
      <c r="E6488">
        <v>1</v>
      </c>
      <c r="F6488" t="s">
        <v>1139</v>
      </c>
      <c r="G6488" t="s">
        <v>32</v>
      </c>
      <c r="H6488" t="s">
        <v>33</v>
      </c>
      <c r="I6488" t="s">
        <v>43</v>
      </c>
      <c r="J6488" t="s">
        <v>44</v>
      </c>
      <c r="K6488" t="s">
        <v>36</v>
      </c>
      <c r="L6488" t="s">
        <v>45</v>
      </c>
      <c r="M6488">
        <v>0</v>
      </c>
      <c r="N6488">
        <v>0</v>
      </c>
      <c r="O6488">
        <v>2903</v>
      </c>
      <c r="P6488">
        <v>2901</v>
      </c>
      <c r="Q6488">
        <f>42-14</f>
        <v>28</v>
      </c>
      <c r="R6488" t="s">
        <v>1028</v>
      </c>
      <c r="S6488" t="s">
        <v>102</v>
      </c>
      <c r="AB6488" t="s">
        <v>1136</v>
      </c>
      <c r="AC6488" t="s">
        <v>41</v>
      </c>
    </row>
    <row r="6489" spans="1:30" x14ac:dyDescent="0.35">
      <c r="A6489" s="7">
        <v>43257</v>
      </c>
      <c r="B6489" t="s">
        <v>30</v>
      </c>
      <c r="C6489">
        <v>303</v>
      </c>
      <c r="D6489">
        <v>10</v>
      </c>
      <c r="E6489">
        <v>1</v>
      </c>
      <c r="F6489" t="s">
        <v>1139</v>
      </c>
      <c r="G6489" t="s">
        <v>32</v>
      </c>
      <c r="H6489" t="s">
        <v>33</v>
      </c>
      <c r="I6489" t="s">
        <v>43</v>
      </c>
      <c r="J6489" t="s">
        <v>44</v>
      </c>
      <c r="K6489" t="s">
        <v>36</v>
      </c>
      <c r="L6489" t="s">
        <v>45</v>
      </c>
      <c r="M6489">
        <v>0</v>
      </c>
      <c r="N6489">
        <v>0</v>
      </c>
      <c r="O6489">
        <v>2913</v>
      </c>
      <c r="P6489">
        <v>2912</v>
      </c>
      <c r="Q6489">
        <f>36-13.5</f>
        <v>22.5</v>
      </c>
      <c r="R6489" t="s">
        <v>77</v>
      </c>
      <c r="S6489" t="s">
        <v>39</v>
      </c>
      <c r="AB6489" t="s">
        <v>1136</v>
      </c>
      <c r="AC6489" t="s">
        <v>41</v>
      </c>
    </row>
    <row r="6490" spans="1:30" x14ac:dyDescent="0.35">
      <c r="A6490" s="7">
        <v>43257</v>
      </c>
      <c r="B6490" t="s">
        <v>30</v>
      </c>
      <c r="C6490">
        <v>401</v>
      </c>
      <c r="D6490">
        <v>3</v>
      </c>
      <c r="E6490">
        <v>1</v>
      </c>
      <c r="F6490" t="s">
        <v>1139</v>
      </c>
      <c r="G6490" t="s">
        <v>32</v>
      </c>
      <c r="H6490" t="s">
        <v>33</v>
      </c>
      <c r="I6490" t="s">
        <v>43</v>
      </c>
      <c r="J6490" t="s">
        <v>44</v>
      </c>
      <c r="K6490" t="s">
        <v>36</v>
      </c>
      <c r="L6490" t="s">
        <v>45</v>
      </c>
      <c r="M6490">
        <v>0</v>
      </c>
      <c r="N6490">
        <v>0</v>
      </c>
      <c r="O6490">
        <v>2911</v>
      </c>
      <c r="P6490">
        <v>2910</v>
      </c>
      <c r="Q6490">
        <f>36.5-13.5</f>
        <v>23</v>
      </c>
      <c r="R6490" t="s">
        <v>79</v>
      </c>
      <c r="S6490" t="s">
        <v>39</v>
      </c>
      <c r="AB6490" t="s">
        <v>1136</v>
      </c>
      <c r="AC6490" t="s">
        <v>41</v>
      </c>
    </row>
    <row r="6491" spans="1:30" x14ac:dyDescent="0.35">
      <c r="A6491" s="7">
        <v>43257</v>
      </c>
      <c r="B6491" t="s">
        <v>30</v>
      </c>
      <c r="C6491">
        <v>501</v>
      </c>
      <c r="D6491">
        <v>2</v>
      </c>
      <c r="E6491">
        <v>1</v>
      </c>
      <c r="F6491" t="s">
        <v>1139</v>
      </c>
      <c r="G6491" t="s">
        <v>32</v>
      </c>
      <c r="H6491" t="s">
        <v>33</v>
      </c>
      <c r="I6491" t="s">
        <v>43</v>
      </c>
      <c r="J6491" t="s">
        <v>35</v>
      </c>
      <c r="K6491" t="s">
        <v>113</v>
      </c>
      <c r="L6491" t="s">
        <v>37</v>
      </c>
      <c r="M6491">
        <v>0</v>
      </c>
      <c r="N6491">
        <v>1</v>
      </c>
      <c r="O6491">
        <v>39823</v>
      </c>
      <c r="P6491">
        <v>39822</v>
      </c>
      <c r="Q6491">
        <f>32-15</f>
        <v>17</v>
      </c>
      <c r="R6491" t="s">
        <v>64</v>
      </c>
      <c r="AB6491" t="s">
        <v>1136</v>
      </c>
      <c r="AC6491" t="s">
        <v>41</v>
      </c>
    </row>
    <row r="6492" spans="1:30" x14ac:dyDescent="0.35">
      <c r="A6492" s="7">
        <v>43257</v>
      </c>
      <c r="B6492" t="s">
        <v>30</v>
      </c>
      <c r="C6492">
        <v>501</v>
      </c>
      <c r="D6492">
        <v>3</v>
      </c>
      <c r="E6492">
        <v>2</v>
      </c>
      <c r="F6492" t="s">
        <v>1139</v>
      </c>
      <c r="G6492" t="s">
        <v>32</v>
      </c>
      <c r="H6492" t="s">
        <v>33</v>
      </c>
      <c r="I6492" t="s">
        <v>43</v>
      </c>
      <c r="J6492" t="s">
        <v>44</v>
      </c>
      <c r="K6492" t="s">
        <v>36</v>
      </c>
      <c r="L6492" t="s">
        <v>45</v>
      </c>
      <c r="M6492">
        <v>0</v>
      </c>
      <c r="N6492">
        <v>0</v>
      </c>
      <c r="O6492">
        <v>2953</v>
      </c>
      <c r="P6492">
        <v>2952</v>
      </c>
      <c r="Q6492">
        <f>37-14.5</f>
        <v>22.5</v>
      </c>
      <c r="R6492" t="s">
        <v>1021</v>
      </c>
      <c r="S6492" t="s">
        <v>102</v>
      </c>
      <c r="AB6492" t="s">
        <v>1136</v>
      </c>
      <c r="AC6492" t="s">
        <v>41</v>
      </c>
    </row>
    <row r="6493" spans="1:30" x14ac:dyDescent="0.35">
      <c r="A6493" s="7">
        <v>43257</v>
      </c>
      <c r="B6493" t="s">
        <v>30</v>
      </c>
      <c r="C6493">
        <v>501</v>
      </c>
      <c r="D6493">
        <v>8</v>
      </c>
      <c r="E6493">
        <v>1</v>
      </c>
      <c r="F6493" t="s">
        <v>1139</v>
      </c>
      <c r="G6493" t="s">
        <v>32</v>
      </c>
      <c r="H6493" t="s">
        <v>33</v>
      </c>
      <c r="I6493" t="s">
        <v>43</v>
      </c>
      <c r="J6493" t="s">
        <v>44</v>
      </c>
      <c r="K6493" t="s">
        <v>36</v>
      </c>
      <c r="L6493" t="s">
        <v>45</v>
      </c>
      <c r="M6493">
        <v>0</v>
      </c>
      <c r="N6493">
        <v>0</v>
      </c>
      <c r="O6493">
        <v>2956</v>
      </c>
      <c r="P6493">
        <v>2955</v>
      </c>
      <c r="Q6493">
        <f>31.5-14</f>
        <v>17.5</v>
      </c>
      <c r="R6493" t="s">
        <v>1028</v>
      </c>
      <c r="S6493" t="s">
        <v>102</v>
      </c>
      <c r="AB6493" t="s">
        <v>1136</v>
      </c>
      <c r="AC6493" t="s">
        <v>41</v>
      </c>
    </row>
    <row r="6494" spans="1:30" x14ac:dyDescent="0.35">
      <c r="A6494" s="7">
        <v>43257</v>
      </c>
      <c r="B6494" t="s">
        <v>30</v>
      </c>
      <c r="C6494">
        <v>501</v>
      </c>
      <c r="D6494">
        <v>9</v>
      </c>
      <c r="E6494">
        <v>1</v>
      </c>
      <c r="F6494" t="s">
        <v>1139</v>
      </c>
      <c r="G6494" t="s">
        <v>32</v>
      </c>
      <c r="H6494" t="s">
        <v>33</v>
      </c>
      <c r="I6494" t="s">
        <v>43</v>
      </c>
      <c r="J6494" t="s">
        <v>35</v>
      </c>
      <c r="K6494" t="s">
        <v>36</v>
      </c>
      <c r="L6494" t="s">
        <v>45</v>
      </c>
      <c r="M6494">
        <v>0</v>
      </c>
      <c r="N6494">
        <v>1</v>
      </c>
      <c r="O6494">
        <v>39825</v>
      </c>
      <c r="P6494">
        <v>39824</v>
      </c>
      <c r="Q6494">
        <f>33-13</f>
        <v>20</v>
      </c>
      <c r="R6494" t="s">
        <v>46</v>
      </c>
      <c r="S6494" t="s">
        <v>39</v>
      </c>
      <c r="AB6494" t="s">
        <v>1136</v>
      </c>
      <c r="AC6494" t="s">
        <v>41</v>
      </c>
    </row>
    <row r="6495" spans="1:30" x14ac:dyDescent="0.35">
      <c r="A6495" s="7">
        <v>43257</v>
      </c>
      <c r="B6495" t="s">
        <v>30</v>
      </c>
      <c r="C6495">
        <v>701</v>
      </c>
      <c r="D6495">
        <v>2</v>
      </c>
      <c r="E6495">
        <v>1</v>
      </c>
      <c r="F6495" t="s">
        <v>1020</v>
      </c>
      <c r="G6495" t="s">
        <v>32</v>
      </c>
      <c r="H6495" t="s">
        <v>33</v>
      </c>
      <c r="I6495" t="s">
        <v>43</v>
      </c>
      <c r="J6495" t="s">
        <v>44</v>
      </c>
      <c r="K6495" t="s">
        <v>36</v>
      </c>
      <c r="L6495" t="s">
        <v>37</v>
      </c>
      <c r="M6495">
        <v>0</v>
      </c>
      <c r="N6495">
        <v>0</v>
      </c>
      <c r="O6495">
        <v>2454</v>
      </c>
      <c r="P6495">
        <v>2453</v>
      </c>
      <c r="Q6495">
        <f>33-13</f>
        <v>20</v>
      </c>
      <c r="R6495" t="s">
        <v>38</v>
      </c>
      <c r="AB6495" t="s">
        <v>86</v>
      </c>
      <c r="AC6495" t="s">
        <v>41</v>
      </c>
    </row>
    <row r="6496" spans="1:30" x14ac:dyDescent="0.35">
      <c r="A6496" s="7">
        <v>43257</v>
      </c>
      <c r="B6496" t="s">
        <v>30</v>
      </c>
      <c r="C6496">
        <v>701</v>
      </c>
      <c r="D6496">
        <v>6</v>
      </c>
      <c r="E6496">
        <v>1</v>
      </c>
      <c r="F6496" t="s">
        <v>1020</v>
      </c>
      <c r="G6496" t="s">
        <v>32</v>
      </c>
      <c r="H6496" t="s">
        <v>33</v>
      </c>
      <c r="I6496" t="s">
        <v>43</v>
      </c>
      <c r="J6496" t="s">
        <v>44</v>
      </c>
      <c r="K6496" t="s">
        <v>36</v>
      </c>
      <c r="L6496" t="s">
        <v>45</v>
      </c>
      <c r="M6496">
        <v>0</v>
      </c>
      <c r="N6496">
        <v>0</v>
      </c>
      <c r="O6496">
        <v>2471</v>
      </c>
      <c r="P6496">
        <v>2470</v>
      </c>
      <c r="Q6496">
        <f>36.5-12</f>
        <v>24.5</v>
      </c>
      <c r="R6496" t="s">
        <v>1028</v>
      </c>
      <c r="S6496" t="s">
        <v>102</v>
      </c>
      <c r="AB6496" t="s">
        <v>86</v>
      </c>
      <c r="AC6496" t="s">
        <v>41</v>
      </c>
    </row>
    <row r="6497" spans="1:30" x14ac:dyDescent="0.35">
      <c r="A6497" s="7">
        <v>43257</v>
      </c>
      <c r="B6497" t="s">
        <v>30</v>
      </c>
      <c r="C6497">
        <v>701</v>
      </c>
      <c r="D6497">
        <v>9</v>
      </c>
      <c r="E6497">
        <v>1</v>
      </c>
      <c r="F6497" t="s">
        <v>1020</v>
      </c>
      <c r="G6497" t="s">
        <v>32</v>
      </c>
      <c r="H6497" t="s">
        <v>33</v>
      </c>
      <c r="I6497" t="s">
        <v>43</v>
      </c>
      <c r="J6497" t="s">
        <v>44</v>
      </c>
      <c r="K6497" t="s">
        <v>36</v>
      </c>
      <c r="L6497" t="s">
        <v>45</v>
      </c>
      <c r="M6497">
        <v>0</v>
      </c>
      <c r="N6497">
        <v>0</v>
      </c>
      <c r="O6497">
        <v>2469</v>
      </c>
      <c r="P6497">
        <v>2468</v>
      </c>
      <c r="Q6497">
        <f>28.5-12</f>
        <v>16.5</v>
      </c>
      <c r="R6497" t="s">
        <v>77</v>
      </c>
      <c r="S6497" t="s">
        <v>39</v>
      </c>
      <c r="AB6497" t="s">
        <v>86</v>
      </c>
      <c r="AC6497" t="s">
        <v>41</v>
      </c>
    </row>
    <row r="6498" spans="1:30" x14ac:dyDescent="0.35">
      <c r="A6498" s="7">
        <v>43257</v>
      </c>
      <c r="B6498" t="s">
        <v>30</v>
      </c>
      <c r="C6498">
        <v>703</v>
      </c>
      <c r="D6498">
        <v>2</v>
      </c>
      <c r="E6498">
        <v>1</v>
      </c>
      <c r="F6498" t="s">
        <v>1020</v>
      </c>
      <c r="G6498" t="s">
        <v>32</v>
      </c>
      <c r="H6498" t="s">
        <v>33</v>
      </c>
      <c r="I6498" t="s">
        <v>43</v>
      </c>
      <c r="J6498" t="s">
        <v>44</v>
      </c>
      <c r="K6498" t="s">
        <v>36</v>
      </c>
      <c r="L6498" t="s">
        <v>37</v>
      </c>
      <c r="M6498">
        <v>0</v>
      </c>
      <c r="N6498">
        <v>0</v>
      </c>
      <c r="O6498">
        <v>2456</v>
      </c>
      <c r="P6498">
        <v>2455</v>
      </c>
      <c r="Q6498">
        <f>35-13</f>
        <v>22</v>
      </c>
      <c r="R6498" t="s">
        <v>38</v>
      </c>
      <c r="AB6498" t="s">
        <v>86</v>
      </c>
      <c r="AC6498" t="s">
        <v>41</v>
      </c>
    </row>
    <row r="6499" spans="1:30" x14ac:dyDescent="0.35">
      <c r="A6499" s="7">
        <v>43257</v>
      </c>
      <c r="B6499" t="s">
        <v>30</v>
      </c>
      <c r="C6499">
        <v>703</v>
      </c>
      <c r="D6499">
        <v>7</v>
      </c>
      <c r="E6499">
        <v>2</v>
      </c>
      <c r="F6499" t="s">
        <v>1020</v>
      </c>
      <c r="G6499" t="s">
        <v>32</v>
      </c>
      <c r="H6499" t="s">
        <v>33</v>
      </c>
      <c r="I6499" t="s">
        <v>43</v>
      </c>
      <c r="J6499" t="s">
        <v>44</v>
      </c>
      <c r="K6499" t="s">
        <v>36</v>
      </c>
      <c r="L6499" t="s">
        <v>45</v>
      </c>
      <c r="M6499">
        <v>0</v>
      </c>
      <c r="N6499">
        <v>0</v>
      </c>
      <c r="O6499">
        <v>39771</v>
      </c>
      <c r="P6499">
        <v>39770</v>
      </c>
      <c r="Q6499">
        <f>35.5-12.5</f>
        <v>23</v>
      </c>
      <c r="R6499" t="s">
        <v>1028</v>
      </c>
      <c r="S6499" t="s">
        <v>102</v>
      </c>
      <c r="AB6499" t="s">
        <v>86</v>
      </c>
      <c r="AC6499" t="s">
        <v>41</v>
      </c>
    </row>
    <row r="6500" spans="1:30" x14ac:dyDescent="0.35">
      <c r="A6500" s="7">
        <v>43257</v>
      </c>
      <c r="B6500" t="s">
        <v>30</v>
      </c>
      <c r="C6500">
        <v>801</v>
      </c>
      <c r="D6500">
        <v>3</v>
      </c>
      <c r="E6500">
        <v>1</v>
      </c>
      <c r="F6500" t="s">
        <v>1020</v>
      </c>
      <c r="G6500" t="s">
        <v>32</v>
      </c>
      <c r="H6500" t="s">
        <v>33</v>
      </c>
      <c r="I6500" t="s">
        <v>43</v>
      </c>
      <c r="J6500" t="s">
        <v>44</v>
      </c>
      <c r="K6500" t="s">
        <v>36</v>
      </c>
      <c r="L6500" t="s">
        <v>45</v>
      </c>
      <c r="M6500">
        <v>0</v>
      </c>
      <c r="N6500">
        <v>0</v>
      </c>
      <c r="O6500">
        <v>2425</v>
      </c>
      <c r="P6500">
        <v>2424</v>
      </c>
      <c r="Q6500">
        <f>37.5-13.5</f>
        <v>24</v>
      </c>
      <c r="R6500" t="s">
        <v>79</v>
      </c>
      <c r="S6500" t="s">
        <v>39</v>
      </c>
      <c r="AB6500" t="s">
        <v>86</v>
      </c>
      <c r="AC6500" t="s">
        <v>41</v>
      </c>
    </row>
    <row r="6501" spans="1:30" x14ac:dyDescent="0.35">
      <c r="A6501" s="7">
        <v>43257</v>
      </c>
      <c r="B6501" t="s">
        <v>30</v>
      </c>
      <c r="C6501">
        <v>801</v>
      </c>
      <c r="D6501">
        <v>8</v>
      </c>
      <c r="E6501">
        <v>1</v>
      </c>
      <c r="F6501" t="s">
        <v>1020</v>
      </c>
      <c r="G6501" t="s">
        <v>32</v>
      </c>
      <c r="H6501" t="s">
        <v>33</v>
      </c>
      <c r="I6501" t="s">
        <v>43</v>
      </c>
      <c r="J6501" t="s">
        <v>35</v>
      </c>
      <c r="K6501" t="s">
        <v>88</v>
      </c>
      <c r="L6501" t="s">
        <v>37</v>
      </c>
      <c r="M6501">
        <v>0</v>
      </c>
      <c r="N6501">
        <v>1</v>
      </c>
      <c r="O6501">
        <v>2421</v>
      </c>
      <c r="P6501">
        <v>2420</v>
      </c>
      <c r="Q6501">
        <f>31-13.25</f>
        <v>17.75</v>
      </c>
      <c r="R6501" t="s">
        <v>64</v>
      </c>
      <c r="AB6501" t="s">
        <v>86</v>
      </c>
      <c r="AC6501" t="s">
        <v>41</v>
      </c>
    </row>
    <row r="6502" spans="1:30" x14ac:dyDescent="0.35">
      <c r="A6502" s="7">
        <v>43257</v>
      </c>
      <c r="B6502" t="s">
        <v>30</v>
      </c>
      <c r="C6502">
        <v>803</v>
      </c>
      <c r="D6502">
        <v>3</v>
      </c>
      <c r="E6502">
        <v>1</v>
      </c>
      <c r="F6502" t="s">
        <v>1020</v>
      </c>
      <c r="G6502" t="s">
        <v>32</v>
      </c>
      <c r="H6502" t="s">
        <v>33</v>
      </c>
      <c r="I6502" t="s">
        <v>43</v>
      </c>
      <c r="J6502" t="s">
        <v>35</v>
      </c>
      <c r="K6502" t="s">
        <v>88</v>
      </c>
      <c r="L6502" t="s">
        <v>37</v>
      </c>
      <c r="M6502">
        <v>0</v>
      </c>
      <c r="N6502">
        <v>1</v>
      </c>
      <c r="O6502">
        <v>2419</v>
      </c>
      <c r="P6502">
        <v>2418</v>
      </c>
      <c r="Q6502">
        <f>32-13.5</f>
        <v>18.5</v>
      </c>
      <c r="R6502" t="s">
        <v>64</v>
      </c>
      <c r="AB6502" t="s">
        <v>86</v>
      </c>
      <c r="AC6502" t="s">
        <v>41</v>
      </c>
    </row>
    <row r="6503" spans="1:30" x14ac:dyDescent="0.35">
      <c r="A6503" s="7">
        <v>43257</v>
      </c>
      <c r="B6503" t="s">
        <v>30</v>
      </c>
      <c r="C6503">
        <v>501</v>
      </c>
      <c r="D6503">
        <v>7</v>
      </c>
      <c r="E6503">
        <v>1</v>
      </c>
      <c r="F6503" t="s">
        <v>1139</v>
      </c>
      <c r="G6503" t="s">
        <v>32</v>
      </c>
      <c r="H6503" t="s">
        <v>33</v>
      </c>
      <c r="I6503" t="s">
        <v>34</v>
      </c>
      <c r="J6503" t="s">
        <v>44</v>
      </c>
      <c r="K6503" t="s">
        <v>36</v>
      </c>
      <c r="L6503" t="s">
        <v>45</v>
      </c>
      <c r="M6503">
        <v>0</v>
      </c>
      <c r="N6503">
        <v>0</v>
      </c>
      <c r="P6503">
        <v>39189</v>
      </c>
      <c r="Q6503">
        <f>165-95</f>
        <v>70</v>
      </c>
      <c r="R6503" t="s">
        <v>1021</v>
      </c>
      <c r="S6503" t="s">
        <v>102</v>
      </c>
      <c r="AB6503" t="s">
        <v>1136</v>
      </c>
      <c r="AC6503" t="s">
        <v>41</v>
      </c>
    </row>
    <row r="6504" spans="1:30" x14ac:dyDescent="0.35">
      <c r="A6504" s="7">
        <v>43257</v>
      </c>
      <c r="B6504" t="s">
        <v>30</v>
      </c>
      <c r="C6504">
        <v>303</v>
      </c>
      <c r="D6504">
        <v>2</v>
      </c>
      <c r="E6504">
        <v>1</v>
      </c>
      <c r="F6504" t="s">
        <v>1139</v>
      </c>
      <c r="G6504" t="s">
        <v>32</v>
      </c>
      <c r="H6504" t="s">
        <v>33</v>
      </c>
      <c r="I6504" t="s">
        <v>58</v>
      </c>
      <c r="J6504" t="s">
        <v>35</v>
      </c>
      <c r="K6504" t="s">
        <v>36</v>
      </c>
      <c r="L6504" t="s">
        <v>37</v>
      </c>
      <c r="M6504">
        <v>0</v>
      </c>
      <c r="N6504">
        <v>1</v>
      </c>
      <c r="O6504">
        <v>39821</v>
      </c>
      <c r="Q6504">
        <f>38-14</f>
        <v>24</v>
      </c>
      <c r="R6504" t="s">
        <v>38</v>
      </c>
      <c r="AB6504" t="s">
        <v>1136</v>
      </c>
      <c r="AC6504" t="s">
        <v>41</v>
      </c>
    </row>
    <row r="6505" spans="1:30" x14ac:dyDescent="0.35">
      <c r="A6505" s="7">
        <v>43257</v>
      </c>
      <c r="B6505" t="s">
        <v>30</v>
      </c>
      <c r="C6505">
        <v>303</v>
      </c>
      <c r="D6505">
        <v>5</v>
      </c>
      <c r="E6505">
        <v>1</v>
      </c>
      <c r="F6505" t="s">
        <v>1139</v>
      </c>
      <c r="G6505" t="s">
        <v>32</v>
      </c>
      <c r="H6505" t="s">
        <v>33</v>
      </c>
      <c r="I6505" t="s">
        <v>58</v>
      </c>
      <c r="J6505" t="s">
        <v>44</v>
      </c>
      <c r="K6505" t="s">
        <v>36</v>
      </c>
      <c r="L6505" t="s">
        <v>45</v>
      </c>
      <c r="M6505">
        <v>0</v>
      </c>
      <c r="N6505">
        <v>0</v>
      </c>
      <c r="O6505">
        <v>2815</v>
      </c>
      <c r="Q6505">
        <f>35-13.5</f>
        <v>21.5</v>
      </c>
      <c r="R6505" t="s">
        <v>46</v>
      </c>
      <c r="S6505" t="s">
        <v>39</v>
      </c>
      <c r="AB6505" t="s">
        <v>1136</v>
      </c>
      <c r="AC6505" t="s">
        <v>41</v>
      </c>
      <c r="AD6505" t="s">
        <v>1164</v>
      </c>
    </row>
    <row r="6506" spans="1:30" x14ac:dyDescent="0.35">
      <c r="A6506" s="7">
        <v>43257</v>
      </c>
      <c r="B6506" t="s">
        <v>30</v>
      </c>
      <c r="C6506">
        <v>401</v>
      </c>
      <c r="D6506">
        <v>8</v>
      </c>
      <c r="E6506">
        <v>1</v>
      </c>
      <c r="F6506" t="s">
        <v>1139</v>
      </c>
      <c r="G6506" t="s">
        <v>32</v>
      </c>
      <c r="H6506" t="s">
        <v>33</v>
      </c>
      <c r="I6506" t="s">
        <v>58</v>
      </c>
      <c r="J6506" t="s">
        <v>44</v>
      </c>
      <c r="K6506" t="s">
        <v>36</v>
      </c>
      <c r="L6506" t="s">
        <v>45</v>
      </c>
      <c r="M6506">
        <v>0</v>
      </c>
      <c r="N6506">
        <v>0</v>
      </c>
      <c r="O6506">
        <v>2811</v>
      </c>
      <c r="Q6506">
        <f>39-13.5</f>
        <v>25.5</v>
      </c>
      <c r="R6506" t="s">
        <v>79</v>
      </c>
      <c r="S6506" t="s">
        <v>39</v>
      </c>
      <c r="AB6506" t="s">
        <v>1136</v>
      </c>
      <c r="AC6506" t="s">
        <v>41</v>
      </c>
    </row>
    <row r="6507" spans="1:30" x14ac:dyDescent="0.35">
      <c r="A6507" s="7">
        <v>43257</v>
      </c>
      <c r="B6507" t="s">
        <v>30</v>
      </c>
      <c r="C6507">
        <v>501</v>
      </c>
      <c r="D6507">
        <v>3</v>
      </c>
      <c r="E6507">
        <v>1</v>
      </c>
      <c r="F6507" t="s">
        <v>1139</v>
      </c>
      <c r="G6507" t="s">
        <v>32</v>
      </c>
      <c r="H6507" t="s">
        <v>33</v>
      </c>
      <c r="I6507" t="s">
        <v>58</v>
      </c>
      <c r="J6507" t="s">
        <v>35</v>
      </c>
      <c r="K6507" t="s">
        <v>36</v>
      </c>
      <c r="L6507" t="s">
        <v>37</v>
      </c>
      <c r="M6507">
        <v>0</v>
      </c>
      <c r="N6507">
        <v>1</v>
      </c>
      <c r="O6507">
        <v>39419</v>
      </c>
      <c r="Q6507">
        <f>39.5-13</f>
        <v>26.5</v>
      </c>
      <c r="R6507" t="s">
        <v>38</v>
      </c>
      <c r="AB6507" t="s">
        <v>1136</v>
      </c>
      <c r="AC6507" t="s">
        <v>41</v>
      </c>
    </row>
    <row r="6508" spans="1:30" x14ac:dyDescent="0.35">
      <c r="A6508" s="7">
        <v>43257</v>
      </c>
      <c r="B6508" t="s">
        <v>30</v>
      </c>
      <c r="C6508">
        <v>501</v>
      </c>
      <c r="D6508">
        <v>10</v>
      </c>
      <c r="E6508">
        <v>1</v>
      </c>
      <c r="F6508" t="s">
        <v>1139</v>
      </c>
      <c r="G6508" t="s">
        <v>32</v>
      </c>
      <c r="H6508" t="s">
        <v>33</v>
      </c>
      <c r="I6508" t="s">
        <v>58</v>
      </c>
      <c r="J6508" t="s">
        <v>35</v>
      </c>
      <c r="K6508" t="s">
        <v>36</v>
      </c>
      <c r="L6508" t="s">
        <v>37</v>
      </c>
      <c r="M6508">
        <v>0</v>
      </c>
      <c r="N6508">
        <v>1</v>
      </c>
      <c r="O6508">
        <v>2806</v>
      </c>
      <c r="Q6508">
        <f>43-13.5</f>
        <v>29.5</v>
      </c>
      <c r="R6508" t="s">
        <v>38</v>
      </c>
      <c r="AB6508" t="s">
        <v>1136</v>
      </c>
      <c r="AC6508" t="s">
        <v>41</v>
      </c>
    </row>
    <row r="6509" spans="1:30" x14ac:dyDescent="0.35">
      <c r="A6509" s="7">
        <v>43257</v>
      </c>
      <c r="B6509" t="s">
        <v>30</v>
      </c>
      <c r="C6509">
        <v>503</v>
      </c>
      <c r="D6509">
        <v>7</v>
      </c>
      <c r="E6509">
        <v>1</v>
      </c>
      <c r="F6509" t="s">
        <v>1139</v>
      </c>
      <c r="G6509" t="s">
        <v>32</v>
      </c>
      <c r="H6509" t="s">
        <v>33</v>
      </c>
      <c r="I6509" t="s">
        <v>58</v>
      </c>
      <c r="J6509" t="s">
        <v>44</v>
      </c>
      <c r="K6509" t="s">
        <v>36</v>
      </c>
      <c r="L6509" t="s">
        <v>45</v>
      </c>
      <c r="M6509">
        <v>0</v>
      </c>
      <c r="N6509">
        <v>0</v>
      </c>
      <c r="O6509">
        <v>2908</v>
      </c>
      <c r="Q6509">
        <f>47-13.5</f>
        <v>33.5</v>
      </c>
      <c r="R6509" t="s">
        <v>1028</v>
      </c>
      <c r="S6509" t="s">
        <v>102</v>
      </c>
      <c r="AB6509" t="s">
        <v>1136</v>
      </c>
      <c r="AC6509" t="s">
        <v>41</v>
      </c>
    </row>
    <row r="6510" spans="1:30" x14ac:dyDescent="0.35">
      <c r="A6510" s="7">
        <v>43257</v>
      </c>
      <c r="B6510" t="s">
        <v>30</v>
      </c>
      <c r="C6510">
        <v>501</v>
      </c>
      <c r="D6510">
        <v>1</v>
      </c>
      <c r="E6510">
        <v>1</v>
      </c>
      <c r="F6510" t="s">
        <v>1139</v>
      </c>
      <c r="G6510" t="s">
        <v>32</v>
      </c>
      <c r="H6510" t="s">
        <v>33</v>
      </c>
      <c r="I6510" t="s">
        <v>59</v>
      </c>
      <c r="AB6510" t="s">
        <v>1136</v>
      </c>
      <c r="AC6510" t="s">
        <v>41</v>
      </c>
    </row>
    <row r="6511" spans="1:30" x14ac:dyDescent="0.35">
      <c r="A6511" s="7">
        <v>43257</v>
      </c>
      <c r="B6511" t="s">
        <v>30</v>
      </c>
      <c r="C6511">
        <v>501</v>
      </c>
      <c r="D6511">
        <v>4</v>
      </c>
      <c r="E6511">
        <v>1</v>
      </c>
      <c r="F6511" t="s">
        <v>1139</v>
      </c>
      <c r="G6511" t="s">
        <v>32</v>
      </c>
      <c r="H6511" t="s">
        <v>33</v>
      </c>
      <c r="I6511" t="s">
        <v>59</v>
      </c>
      <c r="AB6511" t="s">
        <v>1136</v>
      </c>
      <c r="AC6511" t="s">
        <v>41</v>
      </c>
    </row>
    <row r="6512" spans="1:30" x14ac:dyDescent="0.35">
      <c r="A6512" s="7">
        <v>43257</v>
      </c>
      <c r="B6512" t="s">
        <v>30</v>
      </c>
      <c r="C6512">
        <v>501</v>
      </c>
      <c r="D6512">
        <v>4</v>
      </c>
      <c r="E6512">
        <v>2</v>
      </c>
      <c r="F6512" t="s">
        <v>1139</v>
      </c>
      <c r="G6512" t="s">
        <v>32</v>
      </c>
      <c r="H6512" t="s">
        <v>33</v>
      </c>
      <c r="I6512" t="s">
        <v>59</v>
      </c>
      <c r="AB6512" t="s">
        <v>1136</v>
      </c>
      <c r="AC6512" t="s">
        <v>41</v>
      </c>
    </row>
    <row r="6513" spans="1:29" x14ac:dyDescent="0.35">
      <c r="A6513" s="7">
        <v>43257</v>
      </c>
      <c r="B6513" t="s">
        <v>30</v>
      </c>
      <c r="C6513">
        <v>501</v>
      </c>
      <c r="D6513">
        <v>5</v>
      </c>
      <c r="E6513">
        <v>1</v>
      </c>
      <c r="F6513" t="s">
        <v>1139</v>
      </c>
      <c r="G6513" t="s">
        <v>32</v>
      </c>
      <c r="H6513" t="s">
        <v>33</v>
      </c>
      <c r="I6513" t="s">
        <v>59</v>
      </c>
      <c r="AB6513" t="s">
        <v>1136</v>
      </c>
      <c r="AC6513" t="s">
        <v>41</v>
      </c>
    </row>
    <row r="6514" spans="1:29" x14ac:dyDescent="0.35">
      <c r="A6514" s="7">
        <v>43257</v>
      </c>
      <c r="B6514" t="s">
        <v>30</v>
      </c>
      <c r="C6514">
        <v>501</v>
      </c>
      <c r="D6514">
        <v>5</v>
      </c>
      <c r="E6514">
        <v>2</v>
      </c>
      <c r="F6514" t="s">
        <v>1139</v>
      </c>
      <c r="G6514" t="s">
        <v>32</v>
      </c>
      <c r="H6514" t="s">
        <v>33</v>
      </c>
      <c r="I6514" t="s">
        <v>59</v>
      </c>
      <c r="AB6514" t="s">
        <v>1136</v>
      </c>
      <c r="AC6514" t="s">
        <v>41</v>
      </c>
    </row>
    <row r="6515" spans="1:29" x14ac:dyDescent="0.35">
      <c r="A6515" s="7">
        <v>43257</v>
      </c>
      <c r="B6515" t="s">
        <v>30</v>
      </c>
      <c r="C6515">
        <v>501</v>
      </c>
      <c r="D6515">
        <v>6</v>
      </c>
      <c r="E6515">
        <v>1</v>
      </c>
      <c r="F6515" t="s">
        <v>1139</v>
      </c>
      <c r="G6515" t="s">
        <v>32</v>
      </c>
      <c r="H6515" t="s">
        <v>33</v>
      </c>
      <c r="I6515" t="s">
        <v>59</v>
      </c>
      <c r="AB6515" t="s">
        <v>1136</v>
      </c>
      <c r="AC6515" t="s">
        <v>41</v>
      </c>
    </row>
    <row r="6516" spans="1:29" x14ac:dyDescent="0.35">
      <c r="A6516" s="7">
        <v>43257</v>
      </c>
      <c r="B6516" t="s">
        <v>30</v>
      </c>
      <c r="C6516">
        <v>501</v>
      </c>
      <c r="D6516">
        <v>6</v>
      </c>
      <c r="E6516">
        <v>2</v>
      </c>
      <c r="F6516" t="s">
        <v>1139</v>
      </c>
      <c r="G6516" t="s">
        <v>32</v>
      </c>
      <c r="H6516" t="s">
        <v>33</v>
      </c>
      <c r="I6516" t="s">
        <v>59</v>
      </c>
      <c r="AB6516" t="s">
        <v>1136</v>
      </c>
      <c r="AC6516" t="s">
        <v>41</v>
      </c>
    </row>
    <row r="6517" spans="1:29" x14ac:dyDescent="0.35">
      <c r="A6517" s="7">
        <v>43257</v>
      </c>
      <c r="B6517" t="s">
        <v>30</v>
      </c>
      <c r="C6517">
        <v>501</v>
      </c>
      <c r="D6517">
        <v>7</v>
      </c>
      <c r="E6517">
        <v>2</v>
      </c>
      <c r="F6517" t="s">
        <v>1139</v>
      </c>
      <c r="G6517" t="s">
        <v>32</v>
      </c>
      <c r="H6517" t="s">
        <v>33</v>
      </c>
      <c r="I6517" t="s">
        <v>59</v>
      </c>
      <c r="AB6517" t="s">
        <v>1136</v>
      </c>
      <c r="AC6517" t="s">
        <v>41</v>
      </c>
    </row>
    <row r="6518" spans="1:29" x14ac:dyDescent="0.35">
      <c r="A6518" s="7">
        <v>43257</v>
      </c>
      <c r="B6518" t="s">
        <v>30</v>
      </c>
      <c r="C6518">
        <v>503</v>
      </c>
      <c r="D6518">
        <v>5</v>
      </c>
      <c r="E6518">
        <v>1</v>
      </c>
      <c r="F6518" t="s">
        <v>1139</v>
      </c>
      <c r="G6518" t="s">
        <v>32</v>
      </c>
      <c r="H6518" t="s">
        <v>33</v>
      </c>
      <c r="I6518" t="s">
        <v>59</v>
      </c>
      <c r="AB6518" t="s">
        <v>1136</v>
      </c>
      <c r="AC6518" t="s">
        <v>41</v>
      </c>
    </row>
    <row r="6519" spans="1:29" x14ac:dyDescent="0.35">
      <c r="A6519" s="7">
        <v>43257</v>
      </c>
      <c r="B6519" t="s">
        <v>30</v>
      </c>
      <c r="C6519">
        <v>503</v>
      </c>
      <c r="D6519">
        <v>6</v>
      </c>
      <c r="E6519">
        <v>1</v>
      </c>
      <c r="F6519" t="s">
        <v>1139</v>
      </c>
      <c r="G6519" t="s">
        <v>32</v>
      </c>
      <c r="H6519" t="s">
        <v>33</v>
      </c>
      <c r="I6519" t="s">
        <v>59</v>
      </c>
      <c r="AB6519" t="s">
        <v>1136</v>
      </c>
      <c r="AC6519" t="s">
        <v>41</v>
      </c>
    </row>
    <row r="6520" spans="1:29" x14ac:dyDescent="0.35">
      <c r="A6520" s="7">
        <v>43257</v>
      </c>
      <c r="B6520" t="s">
        <v>30</v>
      </c>
      <c r="C6520">
        <v>503</v>
      </c>
      <c r="D6520">
        <v>7</v>
      </c>
      <c r="E6520">
        <v>2</v>
      </c>
      <c r="F6520" t="s">
        <v>1139</v>
      </c>
      <c r="G6520" t="s">
        <v>32</v>
      </c>
      <c r="H6520" t="s">
        <v>33</v>
      </c>
      <c r="I6520" t="s">
        <v>59</v>
      </c>
      <c r="AB6520" t="s">
        <v>1136</v>
      </c>
      <c r="AC6520" t="s">
        <v>41</v>
      </c>
    </row>
    <row r="6521" spans="1:29" x14ac:dyDescent="0.35">
      <c r="A6521" s="7">
        <v>43257</v>
      </c>
      <c r="B6521" t="s">
        <v>30</v>
      </c>
      <c r="C6521">
        <v>701</v>
      </c>
      <c r="D6521">
        <v>1</v>
      </c>
      <c r="E6521">
        <v>1</v>
      </c>
      <c r="F6521" t="s">
        <v>1020</v>
      </c>
      <c r="G6521" t="s">
        <v>32</v>
      </c>
      <c r="H6521" t="s">
        <v>33</v>
      </c>
      <c r="I6521" t="s">
        <v>59</v>
      </c>
      <c r="AB6521" t="s">
        <v>86</v>
      </c>
      <c r="AC6521" t="s">
        <v>41</v>
      </c>
    </row>
    <row r="6522" spans="1:29" x14ac:dyDescent="0.35">
      <c r="A6522" s="7">
        <v>43257</v>
      </c>
      <c r="B6522" t="s">
        <v>30</v>
      </c>
      <c r="C6522">
        <v>701</v>
      </c>
      <c r="D6522">
        <v>3</v>
      </c>
      <c r="E6522">
        <v>1</v>
      </c>
      <c r="F6522" t="s">
        <v>1020</v>
      </c>
      <c r="G6522" t="s">
        <v>32</v>
      </c>
      <c r="H6522" t="s">
        <v>33</v>
      </c>
      <c r="I6522" t="s">
        <v>59</v>
      </c>
      <c r="AB6522" t="s">
        <v>86</v>
      </c>
      <c r="AC6522" t="s">
        <v>41</v>
      </c>
    </row>
    <row r="6523" spans="1:29" x14ac:dyDescent="0.35">
      <c r="A6523" s="7">
        <v>43257</v>
      </c>
      <c r="B6523" t="s">
        <v>30</v>
      </c>
      <c r="C6523">
        <v>701</v>
      </c>
      <c r="D6523">
        <v>3</v>
      </c>
      <c r="E6523">
        <v>2</v>
      </c>
      <c r="F6523" t="s">
        <v>1020</v>
      </c>
      <c r="G6523" t="s">
        <v>32</v>
      </c>
      <c r="H6523" t="s">
        <v>33</v>
      </c>
      <c r="I6523" t="s">
        <v>59</v>
      </c>
      <c r="AB6523" t="s">
        <v>86</v>
      </c>
      <c r="AC6523" t="s">
        <v>41</v>
      </c>
    </row>
    <row r="6524" spans="1:29" x14ac:dyDescent="0.35">
      <c r="A6524" s="7">
        <v>43257</v>
      </c>
      <c r="B6524" t="s">
        <v>30</v>
      </c>
      <c r="C6524">
        <v>701</v>
      </c>
      <c r="D6524">
        <v>4</v>
      </c>
      <c r="E6524">
        <v>1</v>
      </c>
      <c r="F6524" t="s">
        <v>1020</v>
      </c>
      <c r="G6524" t="s">
        <v>32</v>
      </c>
      <c r="H6524" t="s">
        <v>33</v>
      </c>
      <c r="I6524" t="s">
        <v>59</v>
      </c>
      <c r="AB6524" t="s">
        <v>86</v>
      </c>
      <c r="AC6524" t="s">
        <v>41</v>
      </c>
    </row>
    <row r="6525" spans="1:29" x14ac:dyDescent="0.35">
      <c r="A6525" s="7">
        <v>43257</v>
      </c>
      <c r="B6525" t="s">
        <v>30</v>
      </c>
      <c r="C6525">
        <v>701</v>
      </c>
      <c r="D6525">
        <v>4</v>
      </c>
      <c r="E6525">
        <v>2</v>
      </c>
      <c r="F6525" t="s">
        <v>1020</v>
      </c>
      <c r="G6525" t="s">
        <v>32</v>
      </c>
      <c r="H6525" t="s">
        <v>33</v>
      </c>
      <c r="I6525" t="s">
        <v>59</v>
      </c>
      <c r="AB6525" t="s">
        <v>86</v>
      </c>
      <c r="AC6525" t="s">
        <v>41</v>
      </c>
    </row>
    <row r="6526" spans="1:29" x14ac:dyDescent="0.35">
      <c r="A6526" s="7">
        <v>43257</v>
      </c>
      <c r="B6526" t="s">
        <v>30</v>
      </c>
      <c r="C6526">
        <v>701</v>
      </c>
      <c r="D6526">
        <v>5</v>
      </c>
      <c r="E6526">
        <v>1</v>
      </c>
      <c r="F6526" t="s">
        <v>1020</v>
      </c>
      <c r="G6526" t="s">
        <v>32</v>
      </c>
      <c r="H6526" t="s">
        <v>33</v>
      </c>
      <c r="I6526" t="s">
        <v>59</v>
      </c>
      <c r="AB6526" t="s">
        <v>86</v>
      </c>
      <c r="AC6526" t="s">
        <v>41</v>
      </c>
    </row>
    <row r="6527" spans="1:29" x14ac:dyDescent="0.35">
      <c r="A6527" s="7">
        <v>43257</v>
      </c>
      <c r="B6527" t="s">
        <v>30</v>
      </c>
      <c r="C6527">
        <v>701</v>
      </c>
      <c r="D6527">
        <v>8</v>
      </c>
      <c r="E6527">
        <v>1</v>
      </c>
      <c r="F6527" t="s">
        <v>1020</v>
      </c>
      <c r="G6527" t="s">
        <v>32</v>
      </c>
      <c r="H6527" t="s">
        <v>33</v>
      </c>
      <c r="I6527" t="s">
        <v>59</v>
      </c>
      <c r="AB6527" t="s">
        <v>86</v>
      </c>
      <c r="AC6527" t="s">
        <v>41</v>
      </c>
    </row>
    <row r="6528" spans="1:29" x14ac:dyDescent="0.35">
      <c r="A6528" s="7">
        <v>43257</v>
      </c>
      <c r="B6528" t="s">
        <v>30</v>
      </c>
      <c r="C6528">
        <v>703</v>
      </c>
      <c r="D6528">
        <v>5</v>
      </c>
      <c r="E6528">
        <v>1</v>
      </c>
      <c r="F6528" t="s">
        <v>1020</v>
      </c>
      <c r="G6528" t="s">
        <v>32</v>
      </c>
      <c r="H6528" t="s">
        <v>33</v>
      </c>
      <c r="I6528" t="s">
        <v>59</v>
      </c>
      <c r="AB6528" t="s">
        <v>86</v>
      </c>
      <c r="AC6528" t="s">
        <v>41</v>
      </c>
    </row>
    <row r="6529" spans="1:30" x14ac:dyDescent="0.35">
      <c r="A6529" s="7">
        <v>43257</v>
      </c>
      <c r="B6529" t="s">
        <v>30</v>
      </c>
      <c r="C6529">
        <v>703</v>
      </c>
      <c r="D6529">
        <v>5</v>
      </c>
      <c r="E6529">
        <v>2</v>
      </c>
      <c r="F6529" t="s">
        <v>1020</v>
      </c>
      <c r="G6529" t="s">
        <v>32</v>
      </c>
      <c r="H6529" t="s">
        <v>33</v>
      </c>
      <c r="I6529" t="s">
        <v>59</v>
      </c>
      <c r="AB6529" t="s">
        <v>86</v>
      </c>
      <c r="AC6529" t="s">
        <v>41</v>
      </c>
    </row>
    <row r="6530" spans="1:30" x14ac:dyDescent="0.35">
      <c r="A6530" s="7">
        <v>43257</v>
      </c>
      <c r="B6530" t="s">
        <v>30</v>
      </c>
      <c r="C6530">
        <v>703</v>
      </c>
      <c r="D6530">
        <v>6</v>
      </c>
      <c r="E6530">
        <v>1</v>
      </c>
      <c r="F6530" t="s">
        <v>1020</v>
      </c>
      <c r="G6530" t="s">
        <v>32</v>
      </c>
      <c r="H6530" t="s">
        <v>33</v>
      </c>
      <c r="I6530" t="s">
        <v>59</v>
      </c>
      <c r="AB6530" t="s">
        <v>86</v>
      </c>
      <c r="AC6530" t="s">
        <v>41</v>
      </c>
    </row>
    <row r="6531" spans="1:30" x14ac:dyDescent="0.35">
      <c r="A6531" s="7">
        <v>43257</v>
      </c>
      <c r="B6531" t="s">
        <v>30</v>
      </c>
      <c r="C6531">
        <v>703</v>
      </c>
      <c r="D6531">
        <v>6</v>
      </c>
      <c r="E6531">
        <v>2</v>
      </c>
      <c r="F6531" t="s">
        <v>1020</v>
      </c>
      <c r="G6531" t="s">
        <v>32</v>
      </c>
      <c r="H6531" t="s">
        <v>33</v>
      </c>
      <c r="I6531" t="s">
        <v>59</v>
      </c>
      <c r="AB6531" t="s">
        <v>86</v>
      </c>
      <c r="AC6531" t="s">
        <v>41</v>
      </c>
    </row>
    <row r="6532" spans="1:30" x14ac:dyDescent="0.35">
      <c r="A6532" s="7">
        <v>43257</v>
      </c>
      <c r="B6532" t="s">
        <v>30</v>
      </c>
      <c r="C6532">
        <v>703</v>
      </c>
      <c r="D6532">
        <v>7</v>
      </c>
      <c r="E6532">
        <v>1</v>
      </c>
      <c r="F6532" t="s">
        <v>1020</v>
      </c>
      <c r="G6532" t="s">
        <v>32</v>
      </c>
      <c r="H6532" t="s">
        <v>33</v>
      </c>
      <c r="I6532" t="s">
        <v>59</v>
      </c>
      <c r="AB6532" t="s">
        <v>86</v>
      </c>
      <c r="AC6532" t="s">
        <v>41</v>
      </c>
    </row>
    <row r="6533" spans="1:30" x14ac:dyDescent="0.35">
      <c r="A6533" s="7">
        <v>43257</v>
      </c>
      <c r="B6533" t="s">
        <v>30</v>
      </c>
      <c r="C6533">
        <v>703</v>
      </c>
      <c r="D6533">
        <v>9</v>
      </c>
      <c r="E6533">
        <v>1</v>
      </c>
      <c r="F6533" t="s">
        <v>1020</v>
      </c>
      <c r="G6533" t="s">
        <v>32</v>
      </c>
      <c r="H6533" t="s">
        <v>33</v>
      </c>
      <c r="I6533" t="s">
        <v>59</v>
      </c>
      <c r="AB6533" t="s">
        <v>86</v>
      </c>
      <c r="AC6533" t="s">
        <v>41</v>
      </c>
    </row>
    <row r="6534" spans="1:30" x14ac:dyDescent="0.35">
      <c r="A6534" s="7">
        <v>43257</v>
      </c>
      <c r="B6534" t="s">
        <v>30</v>
      </c>
      <c r="C6534">
        <v>703</v>
      </c>
      <c r="D6534">
        <v>10</v>
      </c>
      <c r="E6534">
        <v>1</v>
      </c>
      <c r="F6534" t="s">
        <v>1020</v>
      </c>
      <c r="G6534" t="s">
        <v>32</v>
      </c>
      <c r="H6534" t="s">
        <v>33</v>
      </c>
      <c r="I6534" t="s">
        <v>59</v>
      </c>
      <c r="AB6534" t="s">
        <v>86</v>
      </c>
      <c r="AC6534" t="s">
        <v>41</v>
      </c>
    </row>
    <row r="6535" spans="1:30" x14ac:dyDescent="0.35">
      <c r="A6535" s="7">
        <v>43257</v>
      </c>
      <c r="B6535" t="s">
        <v>30</v>
      </c>
      <c r="C6535">
        <v>801</v>
      </c>
      <c r="D6535">
        <v>4</v>
      </c>
      <c r="E6535">
        <v>1</v>
      </c>
      <c r="F6535" t="s">
        <v>1020</v>
      </c>
      <c r="G6535" t="s">
        <v>32</v>
      </c>
      <c r="H6535" t="s">
        <v>33</v>
      </c>
      <c r="I6535" t="s">
        <v>59</v>
      </c>
      <c r="AB6535" t="s">
        <v>86</v>
      </c>
      <c r="AC6535" t="s">
        <v>41</v>
      </c>
    </row>
    <row r="6536" spans="1:30" x14ac:dyDescent="0.35">
      <c r="A6536" s="7">
        <v>43257</v>
      </c>
      <c r="B6536" t="s">
        <v>30</v>
      </c>
      <c r="C6536">
        <v>801</v>
      </c>
      <c r="D6536">
        <v>4</v>
      </c>
      <c r="E6536">
        <v>2</v>
      </c>
      <c r="F6536" t="s">
        <v>1020</v>
      </c>
      <c r="G6536" t="s">
        <v>32</v>
      </c>
      <c r="H6536" t="s">
        <v>33</v>
      </c>
      <c r="I6536" t="s">
        <v>59</v>
      </c>
      <c r="AB6536" t="s">
        <v>86</v>
      </c>
      <c r="AC6536" t="s">
        <v>41</v>
      </c>
    </row>
    <row r="6537" spans="1:30" x14ac:dyDescent="0.35">
      <c r="A6537" s="7">
        <v>43257</v>
      </c>
      <c r="B6537" t="s">
        <v>30</v>
      </c>
      <c r="C6537">
        <v>801</v>
      </c>
      <c r="D6537">
        <v>10</v>
      </c>
      <c r="E6537">
        <v>1</v>
      </c>
      <c r="F6537" t="s">
        <v>1020</v>
      </c>
      <c r="G6537" t="s">
        <v>32</v>
      </c>
      <c r="H6537" t="s">
        <v>33</v>
      </c>
      <c r="I6537" t="s">
        <v>59</v>
      </c>
      <c r="AB6537" t="s">
        <v>86</v>
      </c>
      <c r="AC6537" t="s">
        <v>41</v>
      </c>
    </row>
    <row r="6538" spans="1:30" x14ac:dyDescent="0.35">
      <c r="A6538" s="7">
        <v>43257</v>
      </c>
      <c r="B6538" t="s">
        <v>30</v>
      </c>
      <c r="C6538">
        <v>803</v>
      </c>
      <c r="D6538">
        <v>6</v>
      </c>
      <c r="E6538">
        <v>1</v>
      </c>
      <c r="F6538" t="s">
        <v>1020</v>
      </c>
      <c r="G6538" t="s">
        <v>32</v>
      </c>
      <c r="H6538" t="s">
        <v>33</v>
      </c>
      <c r="I6538" t="s">
        <v>59</v>
      </c>
      <c r="AB6538" t="s">
        <v>86</v>
      </c>
      <c r="AC6538" t="s">
        <v>41</v>
      </c>
    </row>
    <row r="6539" spans="1:30" x14ac:dyDescent="0.35">
      <c r="A6539" s="7">
        <v>43257</v>
      </c>
      <c r="B6539" t="s">
        <v>30</v>
      </c>
      <c r="C6539">
        <v>803</v>
      </c>
      <c r="D6539">
        <v>10</v>
      </c>
      <c r="E6539">
        <v>1</v>
      </c>
      <c r="F6539" t="s">
        <v>1020</v>
      </c>
      <c r="G6539" t="s">
        <v>32</v>
      </c>
      <c r="H6539" t="s">
        <v>33</v>
      </c>
      <c r="I6539" t="s">
        <v>59</v>
      </c>
      <c r="AB6539" t="s">
        <v>86</v>
      </c>
      <c r="AC6539" t="s">
        <v>41</v>
      </c>
    </row>
    <row r="6540" spans="1:30" x14ac:dyDescent="0.35">
      <c r="A6540" s="7">
        <v>43257</v>
      </c>
      <c r="B6540" t="s">
        <v>30</v>
      </c>
      <c r="C6540">
        <v>701</v>
      </c>
      <c r="D6540">
        <v>7</v>
      </c>
      <c r="E6540">
        <v>1</v>
      </c>
      <c r="F6540" t="s">
        <v>1020</v>
      </c>
      <c r="G6540" t="s">
        <v>32</v>
      </c>
      <c r="H6540" t="s">
        <v>33</v>
      </c>
      <c r="I6540" t="s">
        <v>94</v>
      </c>
      <c r="J6540" t="s">
        <v>35</v>
      </c>
      <c r="K6540" t="s">
        <v>36</v>
      </c>
      <c r="L6540" t="s">
        <v>37</v>
      </c>
      <c r="M6540">
        <v>0</v>
      </c>
      <c r="N6540">
        <v>1</v>
      </c>
      <c r="O6540">
        <v>2422</v>
      </c>
      <c r="Q6540">
        <f>34.5-15</f>
        <v>19.5</v>
      </c>
      <c r="R6540" t="s">
        <v>38</v>
      </c>
      <c r="AB6540" t="s">
        <v>86</v>
      </c>
      <c r="AC6540" t="s">
        <v>41</v>
      </c>
    </row>
    <row r="6541" spans="1:30" x14ac:dyDescent="0.35">
      <c r="A6541" s="7">
        <v>43262</v>
      </c>
      <c r="B6541" t="s">
        <v>30</v>
      </c>
      <c r="C6541">
        <v>112</v>
      </c>
      <c r="D6541">
        <v>5</v>
      </c>
      <c r="E6541">
        <v>1</v>
      </c>
      <c r="F6541" t="s">
        <v>1020</v>
      </c>
      <c r="G6541" t="s">
        <v>32</v>
      </c>
      <c r="H6541" t="s">
        <v>33</v>
      </c>
      <c r="I6541" t="s">
        <v>43</v>
      </c>
      <c r="J6541" t="s">
        <v>35</v>
      </c>
      <c r="K6541" t="s">
        <v>36</v>
      </c>
      <c r="L6541" t="s">
        <v>45</v>
      </c>
      <c r="M6541">
        <v>0</v>
      </c>
      <c r="N6541">
        <v>1</v>
      </c>
      <c r="O6541">
        <v>2415</v>
      </c>
      <c r="P6541">
        <v>2414</v>
      </c>
      <c r="Q6541">
        <f>36-12.5</f>
        <v>23.5</v>
      </c>
      <c r="R6541" t="s">
        <v>1021</v>
      </c>
      <c r="S6541" t="s">
        <v>102</v>
      </c>
      <c r="AB6541" t="s">
        <v>60</v>
      </c>
      <c r="AC6541" t="s">
        <v>41</v>
      </c>
      <c r="AD6541" t="s">
        <v>1165</v>
      </c>
    </row>
    <row r="6542" spans="1:30" x14ac:dyDescent="0.35">
      <c r="A6542" s="7">
        <v>43262</v>
      </c>
      <c r="B6542" t="s">
        <v>30</v>
      </c>
      <c r="C6542">
        <v>113</v>
      </c>
      <c r="D6542">
        <v>4</v>
      </c>
      <c r="E6542">
        <v>1</v>
      </c>
      <c r="F6542" t="s">
        <v>1020</v>
      </c>
      <c r="G6542" t="s">
        <v>32</v>
      </c>
      <c r="H6542" t="s">
        <v>33</v>
      </c>
      <c r="I6542" t="s">
        <v>43</v>
      </c>
      <c r="J6542" t="s">
        <v>35</v>
      </c>
      <c r="K6542" t="s">
        <v>88</v>
      </c>
      <c r="L6542" t="s">
        <v>45</v>
      </c>
      <c r="M6542">
        <v>0</v>
      </c>
      <c r="N6542">
        <v>1</v>
      </c>
      <c r="O6542">
        <v>2413</v>
      </c>
      <c r="P6542">
        <v>2412</v>
      </c>
      <c r="Q6542">
        <f>27.5-14.5</f>
        <v>13</v>
      </c>
      <c r="R6542" t="s">
        <v>46</v>
      </c>
      <c r="S6542" t="s">
        <v>39</v>
      </c>
      <c r="AB6542" t="s">
        <v>60</v>
      </c>
      <c r="AC6542" t="s">
        <v>41</v>
      </c>
    </row>
    <row r="6543" spans="1:30" x14ac:dyDescent="0.35">
      <c r="A6543" s="7">
        <v>43262</v>
      </c>
      <c r="B6543" t="s">
        <v>30</v>
      </c>
      <c r="C6543">
        <v>113</v>
      </c>
      <c r="D6543">
        <v>6</v>
      </c>
      <c r="E6543">
        <v>1</v>
      </c>
      <c r="F6543" t="s">
        <v>1020</v>
      </c>
      <c r="G6543" t="s">
        <v>32</v>
      </c>
      <c r="H6543" t="s">
        <v>33</v>
      </c>
      <c r="I6543" t="s">
        <v>43</v>
      </c>
      <c r="J6543" t="s">
        <v>35</v>
      </c>
      <c r="K6543" t="s">
        <v>88</v>
      </c>
      <c r="L6543" t="s">
        <v>45</v>
      </c>
      <c r="M6543">
        <v>0</v>
      </c>
      <c r="N6543">
        <v>1</v>
      </c>
      <c r="O6543">
        <v>2411</v>
      </c>
      <c r="P6543">
        <v>2410</v>
      </c>
      <c r="Q6543">
        <f>25.75-13.25</f>
        <v>12.5</v>
      </c>
      <c r="R6543" t="s">
        <v>46</v>
      </c>
      <c r="S6543" t="s">
        <v>39</v>
      </c>
      <c r="AB6543" t="s">
        <v>60</v>
      </c>
      <c r="AC6543" t="s">
        <v>41</v>
      </c>
    </row>
    <row r="6544" spans="1:30" x14ac:dyDescent="0.35">
      <c r="A6544" s="7">
        <v>43262</v>
      </c>
      <c r="B6544" t="s">
        <v>30</v>
      </c>
      <c r="C6544">
        <v>201</v>
      </c>
      <c r="D6544">
        <v>3</v>
      </c>
      <c r="E6544">
        <v>1</v>
      </c>
      <c r="F6544" t="s">
        <v>1139</v>
      </c>
      <c r="G6544" t="s">
        <v>32</v>
      </c>
      <c r="H6544" t="s">
        <v>33</v>
      </c>
      <c r="I6544" t="s">
        <v>43</v>
      </c>
      <c r="J6544" t="s">
        <v>35</v>
      </c>
      <c r="K6544" t="s">
        <v>36</v>
      </c>
      <c r="L6544" t="s">
        <v>37</v>
      </c>
      <c r="M6544">
        <v>0</v>
      </c>
      <c r="N6544">
        <v>1</v>
      </c>
      <c r="O6544">
        <v>39819</v>
      </c>
      <c r="P6544">
        <v>39818</v>
      </c>
      <c r="Q6544">
        <f>32-13.5</f>
        <v>18.5</v>
      </c>
      <c r="R6544" t="s">
        <v>38</v>
      </c>
      <c r="AB6544" t="s">
        <v>47</v>
      </c>
      <c r="AC6544" t="s">
        <v>1140</v>
      </c>
    </row>
    <row r="6545" spans="1:30" x14ac:dyDescent="0.35">
      <c r="A6545" s="7">
        <v>43262</v>
      </c>
      <c r="B6545" t="s">
        <v>30</v>
      </c>
      <c r="C6545">
        <v>201</v>
      </c>
      <c r="D6545">
        <v>7</v>
      </c>
      <c r="E6545">
        <v>2</v>
      </c>
      <c r="F6545" t="s">
        <v>1139</v>
      </c>
      <c r="G6545" t="s">
        <v>32</v>
      </c>
      <c r="H6545" t="s">
        <v>33</v>
      </c>
      <c r="I6545" t="s">
        <v>43</v>
      </c>
      <c r="J6545" t="s">
        <v>35</v>
      </c>
      <c r="K6545" t="s">
        <v>36</v>
      </c>
      <c r="L6545" t="s">
        <v>37</v>
      </c>
      <c r="M6545">
        <v>0</v>
      </c>
      <c r="N6545">
        <v>1</v>
      </c>
      <c r="O6545">
        <v>39815</v>
      </c>
      <c r="P6545">
        <v>39814</v>
      </c>
      <c r="Q6545">
        <f>34-13</f>
        <v>21</v>
      </c>
      <c r="R6545" t="s">
        <v>38</v>
      </c>
      <c r="AB6545" t="s">
        <v>47</v>
      </c>
      <c r="AC6545" t="s">
        <v>1140</v>
      </c>
    </row>
    <row r="6546" spans="1:30" x14ac:dyDescent="0.35">
      <c r="A6546" s="7">
        <v>43262</v>
      </c>
      <c r="B6546" t="s">
        <v>30</v>
      </c>
      <c r="C6546">
        <v>201</v>
      </c>
      <c r="D6546">
        <v>9</v>
      </c>
      <c r="E6546">
        <v>1</v>
      </c>
      <c r="F6546" t="s">
        <v>1139</v>
      </c>
      <c r="G6546" t="s">
        <v>32</v>
      </c>
      <c r="H6546" t="s">
        <v>33</v>
      </c>
      <c r="I6546" t="s">
        <v>43</v>
      </c>
      <c r="J6546" t="s">
        <v>35</v>
      </c>
      <c r="K6546" t="s">
        <v>36</v>
      </c>
      <c r="L6546" t="s">
        <v>37</v>
      </c>
      <c r="M6546">
        <v>0</v>
      </c>
      <c r="N6546">
        <v>1</v>
      </c>
      <c r="O6546">
        <v>39817</v>
      </c>
      <c r="P6546">
        <v>39816</v>
      </c>
      <c r="Q6546">
        <f>32-13</f>
        <v>19</v>
      </c>
      <c r="R6546" t="s">
        <v>38</v>
      </c>
      <c r="AB6546" t="s">
        <v>47</v>
      </c>
      <c r="AC6546" t="s">
        <v>1140</v>
      </c>
    </row>
    <row r="6547" spans="1:30" x14ac:dyDescent="0.35">
      <c r="A6547" s="7">
        <v>43262</v>
      </c>
      <c r="B6547" t="s">
        <v>30</v>
      </c>
      <c r="C6547">
        <v>202</v>
      </c>
      <c r="D6547">
        <v>6</v>
      </c>
      <c r="E6547">
        <v>1</v>
      </c>
      <c r="F6547" t="s">
        <v>1139</v>
      </c>
      <c r="G6547" t="s">
        <v>32</v>
      </c>
      <c r="H6547" t="s">
        <v>33</v>
      </c>
      <c r="I6547" t="s">
        <v>43</v>
      </c>
      <c r="J6547" t="s">
        <v>35</v>
      </c>
      <c r="K6547" t="s">
        <v>36</v>
      </c>
      <c r="L6547" t="s">
        <v>45</v>
      </c>
      <c r="M6547">
        <v>0</v>
      </c>
      <c r="N6547">
        <v>1</v>
      </c>
      <c r="O6547">
        <v>39809</v>
      </c>
      <c r="P6547">
        <v>39808</v>
      </c>
      <c r="Q6547">
        <f>32-13.5</f>
        <v>18.5</v>
      </c>
      <c r="R6547" t="s">
        <v>79</v>
      </c>
      <c r="S6547" t="s">
        <v>102</v>
      </c>
      <c r="AB6547" t="s">
        <v>47</v>
      </c>
      <c r="AC6547" t="s">
        <v>1140</v>
      </c>
    </row>
    <row r="6548" spans="1:30" x14ac:dyDescent="0.35">
      <c r="A6548" s="7">
        <v>43262</v>
      </c>
      <c r="B6548" t="s">
        <v>30</v>
      </c>
      <c r="C6548">
        <v>203</v>
      </c>
      <c r="D6548">
        <v>2</v>
      </c>
      <c r="E6548">
        <v>1</v>
      </c>
      <c r="F6548" t="s">
        <v>1139</v>
      </c>
      <c r="G6548" t="s">
        <v>32</v>
      </c>
      <c r="H6548" t="s">
        <v>33</v>
      </c>
      <c r="I6548" t="s">
        <v>43</v>
      </c>
      <c r="J6548" t="s">
        <v>35</v>
      </c>
      <c r="K6548" t="s">
        <v>88</v>
      </c>
      <c r="L6548" t="s">
        <v>37</v>
      </c>
      <c r="M6548">
        <v>0</v>
      </c>
      <c r="N6548">
        <v>1</v>
      </c>
      <c r="O6548">
        <v>39811</v>
      </c>
      <c r="P6548">
        <v>39810</v>
      </c>
      <c r="Q6548">
        <f>26.5-13</f>
        <v>13.5</v>
      </c>
      <c r="R6548" t="s">
        <v>64</v>
      </c>
      <c r="AB6548" t="s">
        <v>47</v>
      </c>
      <c r="AC6548" t="s">
        <v>1140</v>
      </c>
    </row>
    <row r="6549" spans="1:30" x14ac:dyDescent="0.35">
      <c r="A6549" s="7">
        <v>43262</v>
      </c>
      <c r="B6549" t="s">
        <v>30</v>
      </c>
      <c r="C6549">
        <v>203</v>
      </c>
      <c r="D6549">
        <v>4</v>
      </c>
      <c r="E6549">
        <v>1</v>
      </c>
      <c r="F6549" t="s">
        <v>1139</v>
      </c>
      <c r="G6549" t="s">
        <v>32</v>
      </c>
      <c r="H6549" t="s">
        <v>33</v>
      </c>
      <c r="I6549" t="s">
        <v>43</v>
      </c>
      <c r="J6549" t="s">
        <v>35</v>
      </c>
      <c r="K6549" t="s">
        <v>36</v>
      </c>
      <c r="L6549" t="s">
        <v>45</v>
      </c>
      <c r="M6549">
        <v>0</v>
      </c>
      <c r="N6549">
        <v>1</v>
      </c>
      <c r="O6549">
        <v>39813</v>
      </c>
      <c r="P6549">
        <v>39812</v>
      </c>
      <c r="Q6549">
        <f>32-13</f>
        <v>19</v>
      </c>
      <c r="R6549" t="s">
        <v>1021</v>
      </c>
      <c r="S6549" t="s">
        <v>102</v>
      </c>
      <c r="AB6549" t="s">
        <v>47</v>
      </c>
      <c r="AC6549" t="s">
        <v>1140</v>
      </c>
    </row>
    <row r="6550" spans="1:30" x14ac:dyDescent="0.35">
      <c r="A6550" s="7">
        <v>43262</v>
      </c>
      <c r="B6550" t="s">
        <v>30</v>
      </c>
      <c r="C6550">
        <v>402</v>
      </c>
      <c r="D6550">
        <v>2</v>
      </c>
      <c r="E6550">
        <v>1</v>
      </c>
      <c r="F6550" t="s">
        <v>1020</v>
      </c>
      <c r="G6550" t="s">
        <v>32</v>
      </c>
      <c r="H6550" t="s">
        <v>33</v>
      </c>
      <c r="I6550" t="s">
        <v>43</v>
      </c>
      <c r="J6550" t="s">
        <v>44</v>
      </c>
      <c r="K6550" t="s">
        <v>36</v>
      </c>
      <c r="L6550" t="s">
        <v>37</v>
      </c>
      <c r="M6550">
        <v>0</v>
      </c>
      <c r="N6550">
        <v>0</v>
      </c>
      <c r="O6550">
        <v>2805</v>
      </c>
      <c r="P6550">
        <v>2804</v>
      </c>
      <c r="Q6550">
        <f>31-13.5</f>
        <v>17.5</v>
      </c>
      <c r="R6550" t="s">
        <v>38</v>
      </c>
      <c r="AB6550" t="s">
        <v>60</v>
      </c>
      <c r="AC6550" t="s">
        <v>41</v>
      </c>
      <c r="AD6550" t="s">
        <v>1166</v>
      </c>
    </row>
    <row r="6551" spans="1:30" x14ac:dyDescent="0.35">
      <c r="A6551" s="7">
        <v>43262</v>
      </c>
      <c r="B6551" t="s">
        <v>30</v>
      </c>
      <c r="C6551">
        <v>111</v>
      </c>
      <c r="D6551">
        <v>9</v>
      </c>
      <c r="E6551">
        <v>2</v>
      </c>
      <c r="F6551" t="s">
        <v>1020</v>
      </c>
      <c r="G6551" t="s">
        <v>32</v>
      </c>
      <c r="H6551" t="s">
        <v>33</v>
      </c>
      <c r="I6551" t="s">
        <v>72</v>
      </c>
      <c r="J6551" t="s">
        <v>56</v>
      </c>
      <c r="AB6551" t="s">
        <v>60</v>
      </c>
      <c r="AC6551" t="s">
        <v>41</v>
      </c>
    </row>
    <row r="6552" spans="1:30" x14ac:dyDescent="0.35">
      <c r="A6552" s="7">
        <v>43262</v>
      </c>
      <c r="B6552" t="s">
        <v>30</v>
      </c>
      <c r="C6552">
        <v>201</v>
      </c>
      <c r="D6552">
        <v>10</v>
      </c>
      <c r="E6552">
        <v>1</v>
      </c>
      <c r="F6552" t="s">
        <v>1139</v>
      </c>
      <c r="G6552" t="s">
        <v>32</v>
      </c>
      <c r="H6552" t="s">
        <v>33</v>
      </c>
      <c r="I6552" t="s">
        <v>72</v>
      </c>
      <c r="J6552" t="s">
        <v>56</v>
      </c>
      <c r="AB6552" t="s">
        <v>47</v>
      </c>
      <c r="AC6552" t="s">
        <v>1140</v>
      </c>
    </row>
    <row r="6553" spans="1:30" x14ac:dyDescent="0.35">
      <c r="A6553" s="7">
        <v>43262</v>
      </c>
      <c r="B6553" t="s">
        <v>30</v>
      </c>
      <c r="C6553">
        <v>203</v>
      </c>
      <c r="D6553">
        <v>4</v>
      </c>
      <c r="E6553">
        <v>2</v>
      </c>
      <c r="F6553" t="s">
        <v>1139</v>
      </c>
      <c r="G6553" t="s">
        <v>32</v>
      </c>
      <c r="H6553" t="s">
        <v>33</v>
      </c>
      <c r="I6553" t="s">
        <v>72</v>
      </c>
      <c r="J6553" t="s">
        <v>56</v>
      </c>
      <c r="AB6553" t="s">
        <v>47</v>
      </c>
      <c r="AC6553" t="s">
        <v>1140</v>
      </c>
    </row>
    <row r="6554" spans="1:30" x14ac:dyDescent="0.35">
      <c r="A6554" s="7">
        <v>43262</v>
      </c>
      <c r="B6554" t="s">
        <v>30</v>
      </c>
      <c r="C6554">
        <v>111</v>
      </c>
      <c r="D6554">
        <v>4</v>
      </c>
      <c r="E6554">
        <v>1</v>
      </c>
      <c r="F6554" t="s">
        <v>1020</v>
      </c>
      <c r="G6554" t="s">
        <v>32</v>
      </c>
      <c r="H6554" t="s">
        <v>33</v>
      </c>
      <c r="I6554" t="s">
        <v>59</v>
      </c>
      <c r="AB6554" t="s">
        <v>60</v>
      </c>
      <c r="AC6554" t="s">
        <v>41</v>
      </c>
    </row>
    <row r="6555" spans="1:30" x14ac:dyDescent="0.35">
      <c r="A6555" s="7">
        <v>43262</v>
      </c>
      <c r="B6555" t="s">
        <v>30</v>
      </c>
      <c r="C6555">
        <v>111</v>
      </c>
      <c r="D6555">
        <v>9</v>
      </c>
      <c r="E6555">
        <v>1</v>
      </c>
      <c r="F6555" t="s">
        <v>1020</v>
      </c>
      <c r="G6555" t="s">
        <v>32</v>
      </c>
      <c r="H6555" t="s">
        <v>33</v>
      </c>
      <c r="I6555" t="s">
        <v>59</v>
      </c>
      <c r="AB6555" t="s">
        <v>60</v>
      </c>
      <c r="AC6555" t="s">
        <v>41</v>
      </c>
    </row>
    <row r="6556" spans="1:30" x14ac:dyDescent="0.35">
      <c r="A6556" s="7">
        <v>43262</v>
      </c>
      <c r="B6556" t="s">
        <v>30</v>
      </c>
      <c r="C6556">
        <v>113</v>
      </c>
      <c r="D6556">
        <v>8</v>
      </c>
      <c r="E6556">
        <v>1</v>
      </c>
      <c r="F6556" t="s">
        <v>1020</v>
      </c>
      <c r="G6556" t="s">
        <v>32</v>
      </c>
      <c r="H6556" t="s">
        <v>33</v>
      </c>
      <c r="I6556" t="s">
        <v>59</v>
      </c>
      <c r="AB6556" t="s">
        <v>60</v>
      </c>
      <c r="AC6556" t="s">
        <v>41</v>
      </c>
    </row>
    <row r="6557" spans="1:30" x14ac:dyDescent="0.35">
      <c r="A6557" s="7">
        <v>43262</v>
      </c>
      <c r="B6557" t="s">
        <v>30</v>
      </c>
      <c r="C6557">
        <v>113</v>
      </c>
      <c r="D6557">
        <v>8</v>
      </c>
      <c r="E6557">
        <v>2</v>
      </c>
      <c r="F6557" t="s">
        <v>1020</v>
      </c>
      <c r="G6557" t="s">
        <v>32</v>
      </c>
      <c r="H6557" t="s">
        <v>33</v>
      </c>
      <c r="I6557" t="s">
        <v>59</v>
      </c>
      <c r="AB6557" t="s">
        <v>60</v>
      </c>
      <c r="AC6557" t="s">
        <v>41</v>
      </c>
    </row>
    <row r="6558" spans="1:30" x14ac:dyDescent="0.35">
      <c r="A6558" s="7">
        <v>43262</v>
      </c>
      <c r="B6558" t="s">
        <v>30</v>
      </c>
      <c r="C6558">
        <v>201</v>
      </c>
      <c r="D6558">
        <v>7</v>
      </c>
      <c r="E6558">
        <v>1</v>
      </c>
      <c r="F6558" t="s">
        <v>1139</v>
      </c>
      <c r="G6558" t="s">
        <v>32</v>
      </c>
      <c r="H6558" t="s">
        <v>33</v>
      </c>
      <c r="I6558" t="s">
        <v>59</v>
      </c>
      <c r="AB6558" t="s">
        <v>47</v>
      </c>
      <c r="AC6558" t="s">
        <v>1140</v>
      </c>
    </row>
    <row r="6559" spans="1:30" x14ac:dyDescent="0.35">
      <c r="A6559" s="7">
        <v>43262</v>
      </c>
      <c r="B6559" t="s">
        <v>30</v>
      </c>
      <c r="C6559">
        <v>201</v>
      </c>
      <c r="D6559">
        <v>8</v>
      </c>
      <c r="E6559">
        <v>1</v>
      </c>
      <c r="F6559" t="s">
        <v>1139</v>
      </c>
      <c r="G6559" t="s">
        <v>32</v>
      </c>
      <c r="H6559" t="s">
        <v>33</v>
      </c>
      <c r="I6559" t="s">
        <v>59</v>
      </c>
      <c r="AB6559" t="s">
        <v>47</v>
      </c>
      <c r="AC6559" t="s">
        <v>1140</v>
      </c>
    </row>
    <row r="6560" spans="1:30" x14ac:dyDescent="0.35">
      <c r="A6560" s="7">
        <v>43262</v>
      </c>
      <c r="B6560" t="s">
        <v>30</v>
      </c>
      <c r="C6560">
        <v>201</v>
      </c>
      <c r="D6560">
        <v>9</v>
      </c>
      <c r="E6560">
        <v>2</v>
      </c>
      <c r="F6560" t="s">
        <v>1139</v>
      </c>
      <c r="G6560" t="s">
        <v>32</v>
      </c>
      <c r="H6560" t="s">
        <v>33</v>
      </c>
      <c r="I6560" t="s">
        <v>59</v>
      </c>
      <c r="AB6560" t="s">
        <v>47</v>
      </c>
      <c r="AC6560" t="s">
        <v>1140</v>
      </c>
    </row>
    <row r="6561" spans="1:30" x14ac:dyDescent="0.35">
      <c r="A6561" s="7">
        <v>43262</v>
      </c>
      <c r="B6561" t="s">
        <v>30</v>
      </c>
      <c r="C6561">
        <v>202</v>
      </c>
      <c r="D6561">
        <v>4</v>
      </c>
      <c r="E6561">
        <v>1</v>
      </c>
      <c r="F6561" t="s">
        <v>1139</v>
      </c>
      <c r="G6561" t="s">
        <v>32</v>
      </c>
      <c r="H6561" t="s">
        <v>33</v>
      </c>
      <c r="I6561" t="s">
        <v>59</v>
      </c>
      <c r="AB6561" t="s">
        <v>47</v>
      </c>
      <c r="AC6561" t="s">
        <v>1140</v>
      </c>
    </row>
    <row r="6562" spans="1:30" x14ac:dyDescent="0.35">
      <c r="A6562" s="7">
        <v>43262</v>
      </c>
      <c r="B6562" t="s">
        <v>30</v>
      </c>
      <c r="C6562">
        <v>202</v>
      </c>
      <c r="D6562">
        <v>5</v>
      </c>
      <c r="E6562">
        <v>1</v>
      </c>
      <c r="F6562" t="s">
        <v>1139</v>
      </c>
      <c r="G6562" t="s">
        <v>32</v>
      </c>
      <c r="H6562" t="s">
        <v>33</v>
      </c>
      <c r="I6562" t="s">
        <v>59</v>
      </c>
      <c r="AB6562" t="s">
        <v>47</v>
      </c>
      <c r="AC6562" t="s">
        <v>1140</v>
      </c>
    </row>
    <row r="6563" spans="1:30" x14ac:dyDescent="0.35">
      <c r="A6563" s="7">
        <v>43262</v>
      </c>
      <c r="B6563" t="s">
        <v>30</v>
      </c>
      <c r="C6563">
        <v>202</v>
      </c>
      <c r="D6563">
        <v>5</v>
      </c>
      <c r="E6563">
        <v>2</v>
      </c>
      <c r="F6563" t="s">
        <v>1139</v>
      </c>
      <c r="G6563" t="s">
        <v>32</v>
      </c>
      <c r="H6563" t="s">
        <v>33</v>
      </c>
      <c r="I6563" t="s">
        <v>59</v>
      </c>
      <c r="AB6563" t="s">
        <v>47</v>
      </c>
      <c r="AC6563" t="s">
        <v>1140</v>
      </c>
    </row>
    <row r="6564" spans="1:30" x14ac:dyDescent="0.35">
      <c r="A6564" s="7">
        <v>43262</v>
      </c>
      <c r="B6564" t="s">
        <v>30</v>
      </c>
      <c r="C6564">
        <v>203</v>
      </c>
      <c r="D6564">
        <v>3</v>
      </c>
      <c r="E6564">
        <v>1</v>
      </c>
      <c r="F6564" t="s">
        <v>1139</v>
      </c>
      <c r="G6564" t="s">
        <v>32</v>
      </c>
      <c r="H6564" t="s">
        <v>33</v>
      </c>
      <c r="I6564" t="s">
        <v>59</v>
      </c>
      <c r="AB6564" t="s">
        <v>47</v>
      </c>
      <c r="AC6564" t="s">
        <v>1140</v>
      </c>
    </row>
    <row r="6565" spans="1:30" x14ac:dyDescent="0.35">
      <c r="A6565" s="7">
        <v>43262</v>
      </c>
      <c r="B6565" t="s">
        <v>30</v>
      </c>
      <c r="C6565">
        <v>203</v>
      </c>
      <c r="D6565">
        <v>3</v>
      </c>
      <c r="E6565">
        <v>2</v>
      </c>
      <c r="F6565" t="s">
        <v>1139</v>
      </c>
      <c r="G6565" t="s">
        <v>32</v>
      </c>
      <c r="H6565" t="s">
        <v>33</v>
      </c>
      <c r="I6565" t="s">
        <v>59</v>
      </c>
      <c r="AB6565" t="s">
        <v>47</v>
      </c>
      <c r="AC6565" t="s">
        <v>1140</v>
      </c>
    </row>
    <row r="6566" spans="1:30" x14ac:dyDescent="0.35">
      <c r="A6566" s="7">
        <v>43262</v>
      </c>
      <c r="B6566" t="s">
        <v>30</v>
      </c>
      <c r="C6566">
        <v>203</v>
      </c>
      <c r="D6566">
        <v>8</v>
      </c>
      <c r="E6566">
        <v>1</v>
      </c>
      <c r="F6566" t="s">
        <v>1139</v>
      </c>
      <c r="G6566" t="s">
        <v>32</v>
      </c>
      <c r="H6566" t="s">
        <v>33</v>
      </c>
      <c r="I6566" t="s">
        <v>59</v>
      </c>
      <c r="AB6566" t="s">
        <v>60</v>
      </c>
      <c r="AC6566" t="s">
        <v>41</v>
      </c>
    </row>
    <row r="6567" spans="1:30" x14ac:dyDescent="0.35">
      <c r="A6567" s="7">
        <v>43262</v>
      </c>
      <c r="B6567" t="s">
        <v>30</v>
      </c>
      <c r="C6567">
        <v>203</v>
      </c>
      <c r="D6567">
        <v>9</v>
      </c>
      <c r="E6567">
        <v>1</v>
      </c>
      <c r="F6567" t="s">
        <v>1139</v>
      </c>
      <c r="G6567" t="s">
        <v>32</v>
      </c>
      <c r="H6567" t="s">
        <v>33</v>
      </c>
      <c r="I6567" t="s">
        <v>59</v>
      </c>
      <c r="AB6567" t="s">
        <v>47</v>
      </c>
      <c r="AC6567" t="s">
        <v>1140</v>
      </c>
    </row>
    <row r="6568" spans="1:30" x14ac:dyDescent="0.35">
      <c r="A6568" s="7">
        <v>43262</v>
      </c>
      <c r="B6568" t="s">
        <v>30</v>
      </c>
      <c r="C6568">
        <v>203</v>
      </c>
      <c r="D6568">
        <v>10</v>
      </c>
      <c r="E6568">
        <v>1</v>
      </c>
      <c r="F6568" t="s">
        <v>1139</v>
      </c>
      <c r="G6568" t="s">
        <v>32</v>
      </c>
      <c r="H6568" t="s">
        <v>33</v>
      </c>
      <c r="I6568" t="s">
        <v>59</v>
      </c>
      <c r="AB6568" t="s">
        <v>47</v>
      </c>
      <c r="AC6568" t="s">
        <v>1140</v>
      </c>
    </row>
    <row r="6569" spans="1:30" x14ac:dyDescent="0.35">
      <c r="A6569" s="7">
        <v>43262</v>
      </c>
      <c r="B6569" t="s">
        <v>30</v>
      </c>
      <c r="C6569">
        <v>402</v>
      </c>
      <c r="D6569">
        <v>6</v>
      </c>
      <c r="E6569">
        <v>1</v>
      </c>
      <c r="F6569" t="s">
        <v>1020</v>
      </c>
      <c r="G6569" t="s">
        <v>32</v>
      </c>
      <c r="H6569" t="s">
        <v>33</v>
      </c>
      <c r="I6569" t="s">
        <v>94</v>
      </c>
      <c r="J6569" t="s">
        <v>35</v>
      </c>
      <c r="K6569" t="s">
        <v>36</v>
      </c>
      <c r="L6569" t="s">
        <v>45</v>
      </c>
      <c r="M6569">
        <v>0</v>
      </c>
      <c r="N6569">
        <v>1</v>
      </c>
      <c r="P6569">
        <v>2409</v>
      </c>
      <c r="Q6569">
        <f>33-13</f>
        <v>20</v>
      </c>
      <c r="R6569" t="s">
        <v>79</v>
      </c>
      <c r="S6569" t="s">
        <v>39</v>
      </c>
      <c r="AB6569" t="s">
        <v>60</v>
      </c>
      <c r="AC6569" t="s">
        <v>41</v>
      </c>
      <c r="AD6569" t="s">
        <v>1167</v>
      </c>
    </row>
    <row r="6570" spans="1:30" x14ac:dyDescent="0.35">
      <c r="A6570" s="7">
        <v>43263</v>
      </c>
      <c r="B6570" t="s">
        <v>30</v>
      </c>
      <c r="C6570">
        <v>111</v>
      </c>
      <c r="D6570">
        <v>4</v>
      </c>
      <c r="E6570">
        <v>1</v>
      </c>
      <c r="F6570" t="s">
        <v>1020</v>
      </c>
      <c r="G6570" t="s">
        <v>32</v>
      </c>
      <c r="H6570" t="s">
        <v>33</v>
      </c>
      <c r="I6570" t="s">
        <v>43</v>
      </c>
      <c r="J6570" t="s">
        <v>35</v>
      </c>
      <c r="K6570" t="s">
        <v>36</v>
      </c>
      <c r="L6570" t="s">
        <v>45</v>
      </c>
      <c r="M6570">
        <v>0</v>
      </c>
      <c r="N6570">
        <v>1</v>
      </c>
      <c r="O6570">
        <v>2408</v>
      </c>
      <c r="P6570">
        <v>2407</v>
      </c>
      <c r="Q6570">
        <f>37-12.75</f>
        <v>24.25</v>
      </c>
      <c r="R6570" t="s">
        <v>1028</v>
      </c>
      <c r="S6570" t="s">
        <v>102</v>
      </c>
      <c r="AB6570" t="s">
        <v>60</v>
      </c>
      <c r="AC6570" t="s">
        <v>41</v>
      </c>
    </row>
    <row r="6571" spans="1:30" x14ac:dyDescent="0.35">
      <c r="A6571" s="7">
        <v>43263</v>
      </c>
      <c r="B6571" t="s">
        <v>30</v>
      </c>
      <c r="C6571">
        <v>111</v>
      </c>
      <c r="D6571">
        <v>9</v>
      </c>
      <c r="E6571">
        <v>2</v>
      </c>
      <c r="F6571" t="s">
        <v>1020</v>
      </c>
      <c r="G6571" t="s">
        <v>32</v>
      </c>
      <c r="H6571" t="s">
        <v>33</v>
      </c>
      <c r="I6571" t="s">
        <v>43</v>
      </c>
      <c r="J6571" t="s">
        <v>35</v>
      </c>
      <c r="K6571" t="s">
        <v>36</v>
      </c>
      <c r="L6571" t="s">
        <v>45</v>
      </c>
      <c r="M6571">
        <v>0</v>
      </c>
      <c r="N6571">
        <v>1</v>
      </c>
      <c r="O6571">
        <v>2406</v>
      </c>
      <c r="P6571">
        <v>2405</v>
      </c>
      <c r="R6571" t="s">
        <v>1028</v>
      </c>
      <c r="S6571" t="s">
        <v>102</v>
      </c>
      <c r="AB6571" t="s">
        <v>60</v>
      </c>
      <c r="AC6571" t="s">
        <v>41</v>
      </c>
    </row>
    <row r="6572" spans="1:30" x14ac:dyDescent="0.35">
      <c r="A6572" s="7">
        <v>43263</v>
      </c>
      <c r="B6572" t="s">
        <v>30</v>
      </c>
      <c r="C6572">
        <v>112</v>
      </c>
      <c r="D6572">
        <v>6</v>
      </c>
      <c r="E6572">
        <v>1</v>
      </c>
      <c r="F6572" t="s">
        <v>1020</v>
      </c>
      <c r="G6572" t="s">
        <v>32</v>
      </c>
      <c r="H6572" t="s">
        <v>33</v>
      </c>
      <c r="I6572" t="s">
        <v>43</v>
      </c>
      <c r="J6572" t="s">
        <v>44</v>
      </c>
      <c r="K6572" t="s">
        <v>36</v>
      </c>
      <c r="L6572" t="s">
        <v>45</v>
      </c>
      <c r="M6572">
        <v>0</v>
      </c>
      <c r="N6572">
        <v>0</v>
      </c>
      <c r="O6572">
        <v>2415</v>
      </c>
      <c r="P6572">
        <v>2414</v>
      </c>
      <c r="Q6572">
        <f>35-13.5</f>
        <v>21.5</v>
      </c>
      <c r="R6572" t="s">
        <v>1021</v>
      </c>
      <c r="S6572" t="s">
        <v>102</v>
      </c>
      <c r="AB6572" t="s">
        <v>60</v>
      </c>
      <c r="AC6572" t="s">
        <v>41</v>
      </c>
      <c r="AD6572" t="s">
        <v>1165</v>
      </c>
    </row>
    <row r="6573" spans="1:30" x14ac:dyDescent="0.35">
      <c r="A6573" s="7">
        <v>43263</v>
      </c>
      <c r="B6573" t="s">
        <v>30</v>
      </c>
      <c r="C6573">
        <v>113</v>
      </c>
      <c r="D6573">
        <v>1</v>
      </c>
      <c r="E6573">
        <v>1</v>
      </c>
      <c r="F6573" t="s">
        <v>1020</v>
      </c>
      <c r="G6573" t="s">
        <v>32</v>
      </c>
      <c r="H6573" t="s">
        <v>33</v>
      </c>
      <c r="I6573" t="s">
        <v>43</v>
      </c>
      <c r="J6573" t="s">
        <v>35</v>
      </c>
      <c r="K6573" t="s">
        <v>36</v>
      </c>
      <c r="L6573" t="s">
        <v>37</v>
      </c>
      <c r="M6573">
        <v>0</v>
      </c>
      <c r="N6573">
        <v>1</v>
      </c>
      <c r="O6573">
        <v>2404</v>
      </c>
      <c r="P6573">
        <v>2403</v>
      </c>
      <c r="Q6573">
        <f>31.5-13.5</f>
        <v>18</v>
      </c>
      <c r="R6573" t="s">
        <v>38</v>
      </c>
      <c r="AB6573" t="s">
        <v>60</v>
      </c>
      <c r="AC6573" t="s">
        <v>41</v>
      </c>
    </row>
    <row r="6574" spans="1:30" x14ac:dyDescent="0.35">
      <c r="A6574" s="7">
        <v>43263</v>
      </c>
      <c r="B6574" t="s">
        <v>30</v>
      </c>
      <c r="C6574">
        <v>113</v>
      </c>
      <c r="D6574">
        <v>2</v>
      </c>
      <c r="E6574">
        <v>1</v>
      </c>
      <c r="F6574" t="s">
        <v>1020</v>
      </c>
      <c r="G6574" t="s">
        <v>32</v>
      </c>
      <c r="H6574" t="s">
        <v>33</v>
      </c>
      <c r="I6574" t="s">
        <v>43</v>
      </c>
      <c r="J6574" t="s">
        <v>44</v>
      </c>
      <c r="K6574" t="s">
        <v>88</v>
      </c>
      <c r="L6574" t="s">
        <v>45</v>
      </c>
      <c r="M6574">
        <v>0</v>
      </c>
      <c r="N6574">
        <v>0</v>
      </c>
      <c r="O6574">
        <v>2413</v>
      </c>
      <c r="P6574">
        <v>2412</v>
      </c>
      <c r="Q6574">
        <f>27.5-14</f>
        <v>13.5</v>
      </c>
      <c r="R6574" t="s">
        <v>46</v>
      </c>
      <c r="S6574" t="s">
        <v>39</v>
      </c>
      <c r="AB6574" t="s">
        <v>60</v>
      </c>
      <c r="AC6574" t="s">
        <v>41</v>
      </c>
    </row>
    <row r="6575" spans="1:30" x14ac:dyDescent="0.35">
      <c r="A6575" s="7">
        <v>43263</v>
      </c>
      <c r="B6575" t="s">
        <v>30</v>
      </c>
      <c r="C6575">
        <v>113</v>
      </c>
      <c r="D6575">
        <v>5</v>
      </c>
      <c r="E6575">
        <v>1</v>
      </c>
      <c r="F6575" t="s">
        <v>1020</v>
      </c>
      <c r="G6575" t="s">
        <v>32</v>
      </c>
      <c r="H6575" t="s">
        <v>33</v>
      </c>
      <c r="I6575" t="s">
        <v>43</v>
      </c>
      <c r="J6575" t="s">
        <v>44</v>
      </c>
      <c r="K6575" t="s">
        <v>88</v>
      </c>
      <c r="L6575" t="s">
        <v>45</v>
      </c>
      <c r="M6575">
        <v>0</v>
      </c>
      <c r="N6575">
        <v>0</v>
      </c>
      <c r="O6575">
        <v>2411</v>
      </c>
      <c r="P6575">
        <v>2410</v>
      </c>
      <c r="Q6575">
        <f>25-13</f>
        <v>12</v>
      </c>
      <c r="R6575" t="s">
        <v>46</v>
      </c>
      <c r="S6575" t="s">
        <v>39</v>
      </c>
      <c r="AB6575" t="s">
        <v>60</v>
      </c>
      <c r="AC6575" t="s">
        <v>41</v>
      </c>
    </row>
    <row r="6576" spans="1:30" x14ac:dyDescent="0.35">
      <c r="A6576" s="7">
        <v>43263</v>
      </c>
      <c r="B6576" t="s">
        <v>30</v>
      </c>
      <c r="C6576">
        <v>113</v>
      </c>
      <c r="D6576">
        <v>9</v>
      </c>
      <c r="E6576">
        <v>2</v>
      </c>
      <c r="F6576" t="s">
        <v>1020</v>
      </c>
      <c r="G6576" t="s">
        <v>32</v>
      </c>
      <c r="H6576" t="s">
        <v>33</v>
      </c>
      <c r="I6576" t="s">
        <v>43</v>
      </c>
      <c r="J6576" t="s">
        <v>35</v>
      </c>
      <c r="K6576" t="s">
        <v>88</v>
      </c>
      <c r="L6576" t="s">
        <v>45</v>
      </c>
      <c r="M6576">
        <v>0</v>
      </c>
      <c r="N6576">
        <v>1</v>
      </c>
      <c r="O6576">
        <v>1077</v>
      </c>
      <c r="P6576">
        <v>1076</v>
      </c>
      <c r="Q6576">
        <f>27-13.5</f>
        <v>13.5</v>
      </c>
      <c r="R6576" t="s">
        <v>46</v>
      </c>
      <c r="S6576" t="s">
        <v>39</v>
      </c>
      <c r="AB6576" t="s">
        <v>60</v>
      </c>
      <c r="AC6576" t="s">
        <v>41</v>
      </c>
    </row>
    <row r="6577" spans="1:30" x14ac:dyDescent="0.35">
      <c r="A6577" s="7">
        <v>43263</v>
      </c>
      <c r="B6577" t="s">
        <v>30</v>
      </c>
      <c r="C6577">
        <v>201</v>
      </c>
      <c r="D6577">
        <v>3</v>
      </c>
      <c r="E6577">
        <v>1</v>
      </c>
      <c r="F6577" t="s">
        <v>1139</v>
      </c>
      <c r="G6577" t="s">
        <v>32</v>
      </c>
      <c r="H6577" t="s">
        <v>33</v>
      </c>
      <c r="I6577" t="s">
        <v>43</v>
      </c>
      <c r="J6577" t="s">
        <v>44</v>
      </c>
      <c r="K6577" t="s">
        <v>36</v>
      </c>
      <c r="L6577" t="s">
        <v>37</v>
      </c>
      <c r="M6577">
        <v>0</v>
      </c>
      <c r="N6577">
        <v>0</v>
      </c>
      <c r="O6577">
        <v>39819</v>
      </c>
      <c r="P6577">
        <v>39818</v>
      </c>
      <c r="Q6577">
        <f>33-13</f>
        <v>20</v>
      </c>
      <c r="R6577" t="s">
        <v>38</v>
      </c>
      <c r="AB6577" t="s">
        <v>47</v>
      </c>
      <c r="AC6577" t="s">
        <v>1140</v>
      </c>
    </row>
    <row r="6578" spans="1:30" x14ac:dyDescent="0.35">
      <c r="A6578" s="7">
        <v>43263</v>
      </c>
      <c r="B6578" t="s">
        <v>30</v>
      </c>
      <c r="C6578">
        <v>201</v>
      </c>
      <c r="D6578">
        <v>5</v>
      </c>
      <c r="E6578">
        <v>1</v>
      </c>
      <c r="F6578" t="s">
        <v>1139</v>
      </c>
      <c r="G6578" t="s">
        <v>32</v>
      </c>
      <c r="H6578" t="s">
        <v>33</v>
      </c>
      <c r="I6578" t="s">
        <v>43</v>
      </c>
      <c r="J6578" t="s">
        <v>44</v>
      </c>
      <c r="K6578" t="s">
        <v>36</v>
      </c>
      <c r="L6578" t="s">
        <v>37</v>
      </c>
      <c r="M6578">
        <v>0</v>
      </c>
      <c r="N6578">
        <v>0</v>
      </c>
      <c r="O6578">
        <v>39815</v>
      </c>
      <c r="P6578">
        <v>39814</v>
      </c>
      <c r="Q6578">
        <f>33.5-13</f>
        <v>20.5</v>
      </c>
      <c r="R6578" t="s">
        <v>38</v>
      </c>
      <c r="AB6578" t="s">
        <v>47</v>
      </c>
      <c r="AC6578" t="s">
        <v>1140</v>
      </c>
    </row>
    <row r="6579" spans="1:30" x14ac:dyDescent="0.35">
      <c r="A6579" s="7">
        <v>43263</v>
      </c>
      <c r="B6579" t="s">
        <v>30</v>
      </c>
      <c r="C6579">
        <v>201</v>
      </c>
      <c r="D6579">
        <v>7</v>
      </c>
      <c r="E6579">
        <v>1</v>
      </c>
      <c r="F6579" t="s">
        <v>1139</v>
      </c>
      <c r="G6579" t="s">
        <v>32</v>
      </c>
      <c r="H6579" t="s">
        <v>33</v>
      </c>
      <c r="I6579" t="s">
        <v>43</v>
      </c>
      <c r="J6579" t="s">
        <v>44</v>
      </c>
      <c r="K6579" t="s">
        <v>36</v>
      </c>
      <c r="L6579" t="s">
        <v>37</v>
      </c>
      <c r="M6579">
        <v>0</v>
      </c>
      <c r="N6579">
        <v>0</v>
      </c>
      <c r="O6579">
        <v>39817</v>
      </c>
      <c r="P6579">
        <v>39816</v>
      </c>
      <c r="Q6579">
        <f>33-13.5</f>
        <v>19.5</v>
      </c>
      <c r="R6579" t="s">
        <v>38</v>
      </c>
      <c r="AB6579" t="s">
        <v>47</v>
      </c>
      <c r="AC6579" t="s">
        <v>1140</v>
      </c>
    </row>
    <row r="6580" spans="1:30" x14ac:dyDescent="0.35">
      <c r="A6580" s="7">
        <v>43263</v>
      </c>
      <c r="B6580" t="s">
        <v>30</v>
      </c>
      <c r="C6580">
        <v>201</v>
      </c>
      <c r="D6580">
        <v>7</v>
      </c>
      <c r="E6580">
        <v>2</v>
      </c>
      <c r="F6580" t="s">
        <v>1139</v>
      </c>
      <c r="G6580" t="s">
        <v>32</v>
      </c>
      <c r="H6580" t="s">
        <v>33</v>
      </c>
      <c r="I6580" t="s">
        <v>43</v>
      </c>
      <c r="J6580" t="s">
        <v>35</v>
      </c>
      <c r="K6580" t="s">
        <v>88</v>
      </c>
      <c r="L6580" t="s">
        <v>45</v>
      </c>
      <c r="M6580">
        <v>0</v>
      </c>
      <c r="N6580">
        <v>1</v>
      </c>
      <c r="O6580">
        <v>39806</v>
      </c>
      <c r="P6580">
        <v>39805</v>
      </c>
      <c r="Q6580">
        <f>26-13.5</f>
        <v>12.5</v>
      </c>
      <c r="R6580" t="s">
        <v>46</v>
      </c>
      <c r="S6580" t="s">
        <v>39</v>
      </c>
      <c r="AB6580" t="s">
        <v>47</v>
      </c>
      <c r="AC6580" t="s">
        <v>1140</v>
      </c>
    </row>
    <row r="6581" spans="1:30" x14ac:dyDescent="0.35">
      <c r="A6581" s="7">
        <v>43263</v>
      </c>
      <c r="B6581" t="s">
        <v>30</v>
      </c>
      <c r="C6581">
        <v>202</v>
      </c>
      <c r="D6581">
        <v>1</v>
      </c>
      <c r="E6581">
        <v>1</v>
      </c>
      <c r="F6581" t="s">
        <v>1139</v>
      </c>
      <c r="G6581" t="s">
        <v>32</v>
      </c>
      <c r="H6581" t="s">
        <v>33</v>
      </c>
      <c r="I6581" t="s">
        <v>43</v>
      </c>
      <c r="J6581" t="s">
        <v>35</v>
      </c>
      <c r="K6581" t="s">
        <v>36</v>
      </c>
      <c r="L6581" t="s">
        <v>37</v>
      </c>
      <c r="M6581">
        <v>0</v>
      </c>
      <c r="N6581">
        <v>1</v>
      </c>
      <c r="O6581">
        <v>1157</v>
      </c>
      <c r="P6581">
        <v>1156</v>
      </c>
      <c r="Q6581">
        <f>34-14.5</f>
        <v>19.5</v>
      </c>
      <c r="R6581" t="s">
        <v>38</v>
      </c>
      <c r="AB6581" t="s">
        <v>47</v>
      </c>
      <c r="AC6581" t="s">
        <v>1140</v>
      </c>
    </row>
    <row r="6582" spans="1:30" x14ac:dyDescent="0.35">
      <c r="A6582" s="7">
        <v>43263</v>
      </c>
      <c r="B6582" t="s">
        <v>30</v>
      </c>
      <c r="C6582">
        <v>202</v>
      </c>
      <c r="D6582">
        <v>3</v>
      </c>
      <c r="E6582">
        <v>2</v>
      </c>
      <c r="F6582" t="s">
        <v>1139</v>
      </c>
      <c r="G6582" t="s">
        <v>32</v>
      </c>
      <c r="H6582" t="s">
        <v>33</v>
      </c>
      <c r="I6582" t="s">
        <v>43</v>
      </c>
      <c r="J6582" t="s">
        <v>35</v>
      </c>
      <c r="K6582" t="s">
        <v>36</v>
      </c>
      <c r="L6582" t="s">
        <v>37</v>
      </c>
      <c r="M6582">
        <v>0</v>
      </c>
      <c r="N6582">
        <v>1</v>
      </c>
      <c r="O6582">
        <v>1155</v>
      </c>
      <c r="P6582">
        <v>1154</v>
      </c>
      <c r="Q6582">
        <f>37-13.5</f>
        <v>23.5</v>
      </c>
      <c r="R6582" t="s">
        <v>38</v>
      </c>
      <c r="AB6582" t="s">
        <v>47</v>
      </c>
      <c r="AC6582" t="s">
        <v>1140</v>
      </c>
      <c r="AD6582" t="s">
        <v>1168</v>
      </c>
    </row>
    <row r="6583" spans="1:30" x14ac:dyDescent="0.35">
      <c r="A6583" s="7">
        <v>43263</v>
      </c>
      <c r="B6583" t="s">
        <v>30</v>
      </c>
      <c r="C6583">
        <v>202</v>
      </c>
      <c r="D6583">
        <v>6</v>
      </c>
      <c r="E6583">
        <v>1</v>
      </c>
      <c r="F6583" t="s">
        <v>1139</v>
      </c>
      <c r="G6583" t="s">
        <v>32</v>
      </c>
      <c r="H6583" t="s">
        <v>33</v>
      </c>
      <c r="I6583" t="s">
        <v>43</v>
      </c>
      <c r="J6583" t="s">
        <v>35</v>
      </c>
      <c r="K6583" t="s">
        <v>36</v>
      </c>
      <c r="L6583" t="s">
        <v>37</v>
      </c>
      <c r="M6583">
        <v>0</v>
      </c>
      <c r="N6583">
        <v>1</v>
      </c>
      <c r="O6583">
        <v>1152</v>
      </c>
      <c r="P6583">
        <v>1151</v>
      </c>
      <c r="Q6583">
        <f>36-14</f>
        <v>22</v>
      </c>
      <c r="R6583" t="s">
        <v>38</v>
      </c>
      <c r="AB6583" t="s">
        <v>47</v>
      </c>
      <c r="AC6583" t="s">
        <v>1140</v>
      </c>
    </row>
    <row r="6584" spans="1:30" x14ac:dyDescent="0.35">
      <c r="A6584" s="7">
        <v>43263</v>
      </c>
      <c r="B6584" t="s">
        <v>30</v>
      </c>
      <c r="C6584">
        <v>203</v>
      </c>
      <c r="D6584">
        <v>2</v>
      </c>
      <c r="E6584">
        <v>1</v>
      </c>
      <c r="F6584" t="s">
        <v>1139</v>
      </c>
      <c r="G6584" t="s">
        <v>32</v>
      </c>
      <c r="H6584" t="s">
        <v>33</v>
      </c>
      <c r="I6584" t="s">
        <v>43</v>
      </c>
      <c r="J6584" t="s">
        <v>35</v>
      </c>
      <c r="K6584" t="s">
        <v>36</v>
      </c>
      <c r="L6584" t="s">
        <v>45</v>
      </c>
      <c r="M6584">
        <v>0</v>
      </c>
      <c r="N6584">
        <v>1</v>
      </c>
      <c r="O6584">
        <v>39804</v>
      </c>
      <c r="P6584">
        <v>39803</v>
      </c>
      <c r="Q6584">
        <f>36.5-14</f>
        <v>22.5</v>
      </c>
      <c r="R6584" t="s">
        <v>46</v>
      </c>
      <c r="S6584" t="s">
        <v>39</v>
      </c>
      <c r="AB6584" t="s">
        <v>47</v>
      </c>
      <c r="AC6584" t="s">
        <v>1140</v>
      </c>
    </row>
    <row r="6585" spans="1:30" x14ac:dyDescent="0.35">
      <c r="A6585" s="7">
        <v>43263</v>
      </c>
      <c r="B6585" t="s">
        <v>30</v>
      </c>
      <c r="C6585">
        <v>203</v>
      </c>
      <c r="D6585">
        <v>3</v>
      </c>
      <c r="E6585">
        <v>1</v>
      </c>
      <c r="F6585" t="s">
        <v>1139</v>
      </c>
      <c r="G6585" t="s">
        <v>32</v>
      </c>
      <c r="H6585" t="s">
        <v>33</v>
      </c>
      <c r="I6585" t="s">
        <v>43</v>
      </c>
      <c r="J6585" t="s">
        <v>44</v>
      </c>
      <c r="K6585" t="s">
        <v>36</v>
      </c>
      <c r="L6585" t="s">
        <v>45</v>
      </c>
      <c r="M6585">
        <v>0</v>
      </c>
      <c r="N6585">
        <v>0</v>
      </c>
      <c r="O6585">
        <v>39813</v>
      </c>
      <c r="P6585">
        <v>39812</v>
      </c>
      <c r="Q6585">
        <f>33-13.5</f>
        <v>19.5</v>
      </c>
      <c r="R6585" t="s">
        <v>1021</v>
      </c>
      <c r="S6585" t="s">
        <v>102</v>
      </c>
      <c r="AB6585" t="s">
        <v>47</v>
      </c>
      <c r="AC6585" t="s">
        <v>1140</v>
      </c>
    </row>
    <row r="6586" spans="1:30" x14ac:dyDescent="0.35">
      <c r="A6586" s="7">
        <v>43263</v>
      </c>
      <c r="B6586" t="s">
        <v>30</v>
      </c>
      <c r="C6586">
        <v>203</v>
      </c>
      <c r="D6586">
        <v>5</v>
      </c>
      <c r="E6586">
        <v>1</v>
      </c>
      <c r="F6586" t="s">
        <v>1139</v>
      </c>
      <c r="G6586" t="s">
        <v>32</v>
      </c>
      <c r="H6586" t="s">
        <v>33</v>
      </c>
      <c r="I6586" t="s">
        <v>43</v>
      </c>
      <c r="J6586" t="s">
        <v>35</v>
      </c>
      <c r="K6586" t="s">
        <v>88</v>
      </c>
      <c r="L6586" t="s">
        <v>37</v>
      </c>
      <c r="M6586">
        <v>0</v>
      </c>
      <c r="N6586">
        <v>1</v>
      </c>
      <c r="O6586">
        <v>39811</v>
      </c>
      <c r="P6586">
        <v>39810</v>
      </c>
      <c r="Q6586">
        <f>29-15</f>
        <v>14</v>
      </c>
      <c r="R6586" t="s">
        <v>64</v>
      </c>
      <c r="AB6586" t="s">
        <v>47</v>
      </c>
      <c r="AC6586" t="s">
        <v>1140</v>
      </c>
    </row>
    <row r="6587" spans="1:30" x14ac:dyDescent="0.35">
      <c r="A6587" s="7">
        <v>43263</v>
      </c>
      <c r="B6587" t="s">
        <v>30</v>
      </c>
      <c r="C6587">
        <v>402</v>
      </c>
      <c r="D6587">
        <v>3</v>
      </c>
      <c r="E6587">
        <v>1</v>
      </c>
      <c r="F6587" t="s">
        <v>1020</v>
      </c>
      <c r="G6587" t="s">
        <v>32</v>
      </c>
      <c r="H6587" t="s">
        <v>33</v>
      </c>
      <c r="I6587" t="s">
        <v>43</v>
      </c>
      <c r="J6587" t="s">
        <v>35</v>
      </c>
      <c r="K6587" t="s">
        <v>88</v>
      </c>
      <c r="L6587" t="s">
        <v>45</v>
      </c>
      <c r="M6587">
        <v>0</v>
      </c>
      <c r="N6587">
        <v>1</v>
      </c>
      <c r="O6587">
        <v>1079</v>
      </c>
      <c r="P6587">
        <v>1078</v>
      </c>
      <c r="R6587" t="s">
        <v>46</v>
      </c>
      <c r="S6587" t="s">
        <v>39</v>
      </c>
      <c r="AB6587" t="s">
        <v>60</v>
      </c>
      <c r="AC6587" t="s">
        <v>41</v>
      </c>
      <c r="AD6587" t="s">
        <v>1169</v>
      </c>
    </row>
    <row r="6588" spans="1:30" x14ac:dyDescent="0.35">
      <c r="A6588" s="7">
        <v>43263</v>
      </c>
      <c r="B6588" t="s">
        <v>30</v>
      </c>
      <c r="C6588">
        <v>111</v>
      </c>
      <c r="D6588">
        <v>5</v>
      </c>
      <c r="E6588">
        <v>2</v>
      </c>
      <c r="F6588" t="s">
        <v>1020</v>
      </c>
      <c r="G6588" t="s">
        <v>32</v>
      </c>
      <c r="H6588" t="s">
        <v>33</v>
      </c>
      <c r="I6588" t="s">
        <v>34</v>
      </c>
      <c r="J6588" t="s">
        <v>56</v>
      </c>
      <c r="K6588" t="s">
        <v>36</v>
      </c>
      <c r="L6588" t="s">
        <v>37</v>
      </c>
      <c r="M6588">
        <v>0</v>
      </c>
      <c r="N6588">
        <v>0</v>
      </c>
      <c r="R6588" t="s">
        <v>64</v>
      </c>
      <c r="AB6588" t="s">
        <v>60</v>
      </c>
      <c r="AC6588" t="s">
        <v>41</v>
      </c>
      <c r="AD6588" t="s">
        <v>1142</v>
      </c>
    </row>
    <row r="6589" spans="1:30" x14ac:dyDescent="0.35">
      <c r="A6589" s="7">
        <v>43263</v>
      </c>
      <c r="B6589" t="s">
        <v>30</v>
      </c>
      <c r="C6589">
        <v>202</v>
      </c>
      <c r="D6589">
        <v>4</v>
      </c>
      <c r="E6589">
        <v>1</v>
      </c>
      <c r="F6589" t="s">
        <v>1139</v>
      </c>
      <c r="G6589" t="s">
        <v>32</v>
      </c>
      <c r="H6589" t="s">
        <v>33</v>
      </c>
      <c r="I6589" t="s">
        <v>34</v>
      </c>
      <c r="J6589" t="s">
        <v>92</v>
      </c>
      <c r="K6589" t="s">
        <v>36</v>
      </c>
      <c r="L6589" t="s">
        <v>45</v>
      </c>
      <c r="Q6589">
        <f>185-90</f>
        <v>95</v>
      </c>
      <c r="R6589" t="s">
        <v>46</v>
      </c>
      <c r="AB6589" t="s">
        <v>47</v>
      </c>
      <c r="AC6589" t="s">
        <v>1140</v>
      </c>
    </row>
    <row r="6590" spans="1:30" x14ac:dyDescent="0.35">
      <c r="A6590" s="7">
        <v>43263</v>
      </c>
      <c r="B6590" t="s">
        <v>30</v>
      </c>
      <c r="C6590">
        <v>304</v>
      </c>
      <c r="D6590">
        <v>4</v>
      </c>
      <c r="E6590">
        <v>1</v>
      </c>
      <c r="F6590" t="s">
        <v>1139</v>
      </c>
      <c r="G6590" t="s">
        <v>32</v>
      </c>
      <c r="H6590" t="s">
        <v>33</v>
      </c>
      <c r="I6590" t="s">
        <v>34</v>
      </c>
      <c r="J6590" t="s">
        <v>35</v>
      </c>
      <c r="K6590" t="s">
        <v>36</v>
      </c>
      <c r="L6590" t="s">
        <v>37</v>
      </c>
      <c r="M6590">
        <v>0</v>
      </c>
      <c r="N6590">
        <v>1</v>
      </c>
      <c r="O6590">
        <v>1158</v>
      </c>
      <c r="Q6590">
        <f>175-90</f>
        <v>85</v>
      </c>
      <c r="R6590" t="s">
        <v>64</v>
      </c>
      <c r="AB6590" t="s">
        <v>47</v>
      </c>
      <c r="AC6590" t="s">
        <v>1140</v>
      </c>
    </row>
    <row r="6591" spans="1:30" x14ac:dyDescent="0.35">
      <c r="A6591" s="7">
        <v>43263</v>
      </c>
      <c r="B6591" t="s">
        <v>30</v>
      </c>
      <c r="C6591">
        <v>201</v>
      </c>
      <c r="D6591">
        <v>4</v>
      </c>
      <c r="E6591">
        <v>1</v>
      </c>
      <c r="F6591" t="s">
        <v>1139</v>
      </c>
      <c r="G6591" t="s">
        <v>32</v>
      </c>
      <c r="H6591" t="s">
        <v>33</v>
      </c>
      <c r="I6591" t="s">
        <v>58</v>
      </c>
      <c r="J6591" t="s">
        <v>44</v>
      </c>
      <c r="K6591" t="s">
        <v>36</v>
      </c>
      <c r="L6591" t="s">
        <v>45</v>
      </c>
      <c r="M6591">
        <v>0</v>
      </c>
      <c r="N6591">
        <v>0</v>
      </c>
      <c r="O6591">
        <v>39707</v>
      </c>
      <c r="P6591">
        <v>39706</v>
      </c>
      <c r="Q6591">
        <f>41.5-13</f>
        <v>28.5</v>
      </c>
      <c r="R6591" t="s">
        <v>46</v>
      </c>
      <c r="S6591" t="s">
        <v>39</v>
      </c>
      <c r="AB6591" t="s">
        <v>47</v>
      </c>
      <c r="AC6591" t="s">
        <v>1140</v>
      </c>
    </row>
    <row r="6592" spans="1:30" x14ac:dyDescent="0.35">
      <c r="A6592" s="7">
        <v>43263</v>
      </c>
      <c r="B6592" t="s">
        <v>30</v>
      </c>
      <c r="C6592">
        <v>201</v>
      </c>
      <c r="D6592">
        <v>8</v>
      </c>
      <c r="E6592">
        <v>1</v>
      </c>
      <c r="F6592" t="s">
        <v>1139</v>
      </c>
      <c r="G6592" t="s">
        <v>32</v>
      </c>
      <c r="H6592" t="s">
        <v>33</v>
      </c>
      <c r="I6592" t="s">
        <v>58</v>
      </c>
      <c r="J6592" t="s">
        <v>35</v>
      </c>
      <c r="K6592" t="s">
        <v>36</v>
      </c>
      <c r="L6592" t="s">
        <v>45</v>
      </c>
      <c r="M6592">
        <v>0</v>
      </c>
      <c r="N6592">
        <v>1</v>
      </c>
      <c r="O6592">
        <v>39807</v>
      </c>
      <c r="Q6592">
        <f>35-13</f>
        <v>22</v>
      </c>
      <c r="R6592" t="s">
        <v>46</v>
      </c>
      <c r="S6592" t="s">
        <v>39</v>
      </c>
      <c r="AB6592" t="s">
        <v>47</v>
      </c>
      <c r="AC6592" t="s">
        <v>1140</v>
      </c>
    </row>
    <row r="6593" spans="1:29" x14ac:dyDescent="0.35">
      <c r="A6593" s="7">
        <v>43263</v>
      </c>
      <c r="B6593" t="s">
        <v>30</v>
      </c>
      <c r="C6593">
        <v>202</v>
      </c>
      <c r="D6593">
        <v>10</v>
      </c>
      <c r="E6593">
        <v>1</v>
      </c>
      <c r="F6593" t="s">
        <v>1139</v>
      </c>
      <c r="G6593" t="s">
        <v>32</v>
      </c>
      <c r="H6593" t="s">
        <v>33</v>
      </c>
      <c r="I6593" t="s">
        <v>65</v>
      </c>
      <c r="J6593" t="s">
        <v>35</v>
      </c>
      <c r="K6593" t="s">
        <v>36</v>
      </c>
      <c r="L6593" t="s">
        <v>45</v>
      </c>
      <c r="M6593">
        <v>0</v>
      </c>
      <c r="N6593">
        <v>1</v>
      </c>
      <c r="O6593">
        <v>39802</v>
      </c>
      <c r="Q6593">
        <f>265-90</f>
        <v>175</v>
      </c>
      <c r="R6593" t="s">
        <v>46</v>
      </c>
      <c r="S6593" t="s">
        <v>39</v>
      </c>
      <c r="AB6593" t="s">
        <v>47</v>
      </c>
      <c r="AC6593" t="s">
        <v>1140</v>
      </c>
    </row>
    <row r="6594" spans="1:29" x14ac:dyDescent="0.35">
      <c r="A6594" s="7">
        <v>43263</v>
      </c>
      <c r="B6594" t="s">
        <v>30</v>
      </c>
      <c r="C6594">
        <v>203</v>
      </c>
      <c r="D6594">
        <v>4</v>
      </c>
      <c r="E6594">
        <v>1</v>
      </c>
      <c r="F6594" t="s">
        <v>1139</v>
      </c>
      <c r="G6594" t="s">
        <v>32</v>
      </c>
      <c r="H6594" t="s">
        <v>33</v>
      </c>
      <c r="I6594" t="s">
        <v>1029</v>
      </c>
      <c r="J6594" t="s">
        <v>56</v>
      </c>
      <c r="AB6594" t="s">
        <v>47</v>
      </c>
      <c r="AC6594" t="s">
        <v>1140</v>
      </c>
    </row>
    <row r="6595" spans="1:29" x14ac:dyDescent="0.35">
      <c r="A6595" s="7">
        <v>43263</v>
      </c>
      <c r="B6595" t="s">
        <v>30</v>
      </c>
      <c r="C6595">
        <v>111</v>
      </c>
      <c r="D6595">
        <v>3</v>
      </c>
      <c r="E6595">
        <v>1</v>
      </c>
      <c r="F6595" t="s">
        <v>1020</v>
      </c>
      <c r="G6595" t="s">
        <v>32</v>
      </c>
      <c r="H6595" t="s">
        <v>33</v>
      </c>
      <c r="I6595" t="s">
        <v>72</v>
      </c>
      <c r="J6595" t="s">
        <v>56</v>
      </c>
      <c r="AB6595" t="s">
        <v>60</v>
      </c>
      <c r="AC6595" t="s">
        <v>41</v>
      </c>
    </row>
    <row r="6596" spans="1:29" x14ac:dyDescent="0.35">
      <c r="A6596" s="7">
        <v>43263</v>
      </c>
      <c r="B6596" t="s">
        <v>30</v>
      </c>
      <c r="C6596">
        <v>111</v>
      </c>
      <c r="D6596">
        <v>10</v>
      </c>
      <c r="E6596">
        <v>1</v>
      </c>
      <c r="F6596" t="s">
        <v>1020</v>
      </c>
      <c r="G6596" t="s">
        <v>32</v>
      </c>
      <c r="H6596" t="s">
        <v>33</v>
      </c>
      <c r="I6596" t="s">
        <v>72</v>
      </c>
      <c r="J6596" t="s">
        <v>56</v>
      </c>
      <c r="AB6596" t="s">
        <v>60</v>
      </c>
      <c r="AC6596" t="s">
        <v>41</v>
      </c>
    </row>
    <row r="6597" spans="1:29" x14ac:dyDescent="0.35">
      <c r="A6597" s="7">
        <v>43263</v>
      </c>
      <c r="B6597" t="s">
        <v>30</v>
      </c>
      <c r="C6597">
        <v>112</v>
      </c>
      <c r="D6597">
        <v>7</v>
      </c>
      <c r="E6597">
        <v>1</v>
      </c>
      <c r="F6597" t="s">
        <v>1020</v>
      </c>
      <c r="G6597" t="s">
        <v>32</v>
      </c>
      <c r="H6597" t="s">
        <v>33</v>
      </c>
      <c r="I6597" t="s">
        <v>72</v>
      </c>
      <c r="J6597" t="s">
        <v>56</v>
      </c>
      <c r="AB6597" t="s">
        <v>60</v>
      </c>
      <c r="AC6597" t="s">
        <v>41</v>
      </c>
    </row>
    <row r="6598" spans="1:29" x14ac:dyDescent="0.35">
      <c r="A6598" s="7">
        <v>43263</v>
      </c>
      <c r="B6598" t="s">
        <v>30</v>
      </c>
      <c r="C6598">
        <v>113</v>
      </c>
      <c r="D6598">
        <v>6</v>
      </c>
      <c r="E6598">
        <v>1</v>
      </c>
      <c r="F6598" t="s">
        <v>1020</v>
      </c>
      <c r="G6598" t="s">
        <v>32</v>
      </c>
      <c r="H6598" t="s">
        <v>33</v>
      </c>
      <c r="I6598" t="s">
        <v>72</v>
      </c>
      <c r="J6598" t="s">
        <v>56</v>
      </c>
      <c r="AB6598" t="s">
        <v>60</v>
      </c>
      <c r="AC6598" t="s">
        <v>41</v>
      </c>
    </row>
    <row r="6599" spans="1:29" x14ac:dyDescent="0.35">
      <c r="A6599" s="7">
        <v>43263</v>
      </c>
      <c r="B6599" t="s">
        <v>30</v>
      </c>
      <c r="C6599">
        <v>113</v>
      </c>
      <c r="D6599">
        <v>10</v>
      </c>
      <c r="E6599">
        <v>1</v>
      </c>
      <c r="F6599" t="s">
        <v>1020</v>
      </c>
      <c r="G6599" t="s">
        <v>32</v>
      </c>
      <c r="H6599" t="s">
        <v>33</v>
      </c>
      <c r="I6599" t="s">
        <v>72</v>
      </c>
      <c r="J6599" t="s">
        <v>56</v>
      </c>
      <c r="AB6599" t="s">
        <v>60</v>
      </c>
      <c r="AC6599" t="s">
        <v>41</v>
      </c>
    </row>
    <row r="6600" spans="1:29" x14ac:dyDescent="0.35">
      <c r="A6600" s="7">
        <v>43263</v>
      </c>
      <c r="B6600" t="s">
        <v>30</v>
      </c>
      <c r="C6600">
        <v>113</v>
      </c>
      <c r="D6600">
        <v>10</v>
      </c>
      <c r="E6600">
        <v>2</v>
      </c>
      <c r="F6600" t="s">
        <v>1020</v>
      </c>
      <c r="G6600" t="s">
        <v>32</v>
      </c>
      <c r="H6600" t="s">
        <v>33</v>
      </c>
      <c r="I6600" t="s">
        <v>72</v>
      </c>
      <c r="J6600" t="s">
        <v>56</v>
      </c>
      <c r="AB6600" t="s">
        <v>60</v>
      </c>
      <c r="AC6600" t="s">
        <v>41</v>
      </c>
    </row>
    <row r="6601" spans="1:29" x14ac:dyDescent="0.35">
      <c r="A6601" s="7">
        <v>43263</v>
      </c>
      <c r="B6601" t="s">
        <v>30</v>
      </c>
      <c r="C6601">
        <v>111</v>
      </c>
      <c r="D6601">
        <v>1</v>
      </c>
      <c r="E6601">
        <v>1</v>
      </c>
      <c r="F6601" t="s">
        <v>1020</v>
      </c>
      <c r="G6601" t="s">
        <v>32</v>
      </c>
      <c r="H6601" t="s">
        <v>33</v>
      </c>
      <c r="I6601" t="s">
        <v>59</v>
      </c>
      <c r="AB6601" t="s">
        <v>60</v>
      </c>
      <c r="AC6601" t="s">
        <v>41</v>
      </c>
    </row>
    <row r="6602" spans="1:29" x14ac:dyDescent="0.35">
      <c r="A6602" s="7">
        <v>43263</v>
      </c>
      <c r="B6602" t="s">
        <v>30</v>
      </c>
      <c r="C6602">
        <v>111</v>
      </c>
      <c r="D6602">
        <v>5</v>
      </c>
      <c r="E6602">
        <v>1</v>
      </c>
      <c r="F6602" t="s">
        <v>1020</v>
      </c>
      <c r="G6602" t="s">
        <v>32</v>
      </c>
      <c r="H6602" t="s">
        <v>33</v>
      </c>
      <c r="I6602" t="s">
        <v>59</v>
      </c>
      <c r="AB6602" t="s">
        <v>60</v>
      </c>
      <c r="AC6602" t="s">
        <v>41</v>
      </c>
    </row>
    <row r="6603" spans="1:29" x14ac:dyDescent="0.35">
      <c r="A6603" s="7">
        <v>43263</v>
      </c>
      <c r="B6603" t="s">
        <v>30</v>
      </c>
      <c r="C6603">
        <v>111</v>
      </c>
      <c r="D6603">
        <v>8</v>
      </c>
      <c r="E6603">
        <v>1</v>
      </c>
      <c r="F6603" t="s">
        <v>1020</v>
      </c>
      <c r="G6603" t="s">
        <v>32</v>
      </c>
      <c r="H6603" t="s">
        <v>33</v>
      </c>
      <c r="I6603" t="s">
        <v>59</v>
      </c>
      <c r="AB6603" t="s">
        <v>60</v>
      </c>
      <c r="AC6603" t="s">
        <v>41</v>
      </c>
    </row>
    <row r="6604" spans="1:29" x14ac:dyDescent="0.35">
      <c r="A6604" s="7">
        <v>43263</v>
      </c>
      <c r="B6604" t="s">
        <v>30</v>
      </c>
      <c r="C6604">
        <v>111</v>
      </c>
      <c r="D6604">
        <v>9</v>
      </c>
      <c r="E6604">
        <v>1</v>
      </c>
      <c r="F6604" t="s">
        <v>1020</v>
      </c>
      <c r="G6604" t="s">
        <v>32</v>
      </c>
      <c r="H6604" t="s">
        <v>33</v>
      </c>
      <c r="I6604" t="s">
        <v>59</v>
      </c>
      <c r="AB6604" t="s">
        <v>60</v>
      </c>
      <c r="AC6604" t="s">
        <v>41</v>
      </c>
    </row>
    <row r="6605" spans="1:29" x14ac:dyDescent="0.35">
      <c r="A6605" s="7">
        <v>43263</v>
      </c>
      <c r="B6605" t="s">
        <v>30</v>
      </c>
      <c r="C6605">
        <v>112</v>
      </c>
      <c r="D6605">
        <v>4</v>
      </c>
      <c r="E6605">
        <v>1</v>
      </c>
      <c r="F6605" t="s">
        <v>1020</v>
      </c>
      <c r="G6605" t="s">
        <v>32</v>
      </c>
      <c r="H6605" t="s">
        <v>33</v>
      </c>
      <c r="I6605" t="s">
        <v>59</v>
      </c>
      <c r="AB6605" t="s">
        <v>60</v>
      </c>
      <c r="AC6605" t="s">
        <v>41</v>
      </c>
    </row>
    <row r="6606" spans="1:29" x14ac:dyDescent="0.35">
      <c r="A6606" s="7">
        <v>43263</v>
      </c>
      <c r="B6606" t="s">
        <v>30</v>
      </c>
      <c r="C6606">
        <v>113</v>
      </c>
      <c r="D6606">
        <v>4</v>
      </c>
      <c r="E6606">
        <v>1</v>
      </c>
      <c r="F6606" t="s">
        <v>1020</v>
      </c>
      <c r="G6606" t="s">
        <v>32</v>
      </c>
      <c r="H6606" t="s">
        <v>33</v>
      </c>
      <c r="I6606" t="s">
        <v>59</v>
      </c>
      <c r="AB6606" t="s">
        <v>60</v>
      </c>
      <c r="AC6606" t="s">
        <v>41</v>
      </c>
    </row>
    <row r="6607" spans="1:29" x14ac:dyDescent="0.35">
      <c r="A6607" s="7">
        <v>43263</v>
      </c>
      <c r="B6607" t="s">
        <v>30</v>
      </c>
      <c r="C6607">
        <v>113</v>
      </c>
      <c r="D6607">
        <v>8</v>
      </c>
      <c r="E6607">
        <v>1</v>
      </c>
      <c r="F6607" t="s">
        <v>1020</v>
      </c>
      <c r="G6607" t="s">
        <v>32</v>
      </c>
      <c r="H6607" t="s">
        <v>33</v>
      </c>
      <c r="I6607" t="s">
        <v>59</v>
      </c>
      <c r="AB6607" t="s">
        <v>60</v>
      </c>
      <c r="AC6607" t="s">
        <v>41</v>
      </c>
    </row>
    <row r="6608" spans="1:29" x14ac:dyDescent="0.35">
      <c r="A6608" s="7">
        <v>43263</v>
      </c>
      <c r="B6608" t="s">
        <v>30</v>
      </c>
      <c r="C6608">
        <v>113</v>
      </c>
      <c r="D6608">
        <v>8</v>
      </c>
      <c r="E6608">
        <v>2</v>
      </c>
      <c r="F6608" t="s">
        <v>1020</v>
      </c>
      <c r="G6608" t="s">
        <v>32</v>
      </c>
      <c r="H6608" t="s">
        <v>33</v>
      </c>
      <c r="I6608" t="s">
        <v>59</v>
      </c>
      <c r="AB6608" t="s">
        <v>60</v>
      </c>
      <c r="AC6608" t="s">
        <v>41</v>
      </c>
    </row>
    <row r="6609" spans="1:30" x14ac:dyDescent="0.35">
      <c r="A6609" s="7">
        <v>43263</v>
      </c>
      <c r="B6609" t="s">
        <v>30</v>
      </c>
      <c r="C6609">
        <v>113</v>
      </c>
      <c r="D6609">
        <v>9</v>
      </c>
      <c r="E6609">
        <v>1</v>
      </c>
      <c r="F6609" t="s">
        <v>1020</v>
      </c>
      <c r="G6609" t="s">
        <v>32</v>
      </c>
      <c r="H6609" t="s">
        <v>33</v>
      </c>
      <c r="I6609" t="s">
        <v>59</v>
      </c>
      <c r="AB6609" t="s">
        <v>60</v>
      </c>
      <c r="AC6609" t="s">
        <v>41</v>
      </c>
    </row>
    <row r="6610" spans="1:30" x14ac:dyDescent="0.35">
      <c r="A6610" s="7">
        <v>43263</v>
      </c>
      <c r="B6610" t="s">
        <v>30</v>
      </c>
      <c r="C6610">
        <v>201</v>
      </c>
      <c r="D6610">
        <v>8</v>
      </c>
      <c r="E6610">
        <v>2</v>
      </c>
      <c r="F6610" t="s">
        <v>1139</v>
      </c>
      <c r="G6610" t="s">
        <v>32</v>
      </c>
      <c r="H6610" t="s">
        <v>33</v>
      </c>
      <c r="I6610" t="s">
        <v>59</v>
      </c>
      <c r="AB6610" t="s">
        <v>47</v>
      </c>
      <c r="AC6610" t="s">
        <v>1140</v>
      </c>
    </row>
    <row r="6611" spans="1:30" x14ac:dyDescent="0.35">
      <c r="A6611" s="7">
        <v>43263</v>
      </c>
      <c r="B6611" t="s">
        <v>30</v>
      </c>
      <c r="C6611">
        <v>202</v>
      </c>
      <c r="D6611">
        <v>3</v>
      </c>
      <c r="E6611">
        <v>1</v>
      </c>
      <c r="F6611" t="s">
        <v>1139</v>
      </c>
      <c r="G6611" t="s">
        <v>32</v>
      </c>
      <c r="H6611" t="s">
        <v>33</v>
      </c>
      <c r="I6611" t="s">
        <v>59</v>
      </c>
      <c r="AB6611" t="s">
        <v>47</v>
      </c>
      <c r="AC6611" t="s">
        <v>1140</v>
      </c>
    </row>
    <row r="6612" spans="1:30" x14ac:dyDescent="0.35">
      <c r="A6612" s="7">
        <v>43263</v>
      </c>
      <c r="B6612" t="s">
        <v>30</v>
      </c>
      <c r="C6612">
        <v>202</v>
      </c>
      <c r="D6612">
        <v>5</v>
      </c>
      <c r="E6612">
        <v>1</v>
      </c>
      <c r="F6612" t="s">
        <v>1139</v>
      </c>
      <c r="G6612" t="s">
        <v>32</v>
      </c>
      <c r="H6612" t="s">
        <v>33</v>
      </c>
      <c r="I6612" t="s">
        <v>59</v>
      </c>
      <c r="AB6612" t="s">
        <v>47</v>
      </c>
      <c r="AC6612" t="s">
        <v>1140</v>
      </c>
    </row>
    <row r="6613" spans="1:30" x14ac:dyDescent="0.35">
      <c r="A6613" s="7">
        <v>43263</v>
      </c>
      <c r="B6613" t="s">
        <v>30</v>
      </c>
      <c r="C6613">
        <v>203</v>
      </c>
      <c r="D6613">
        <v>3</v>
      </c>
      <c r="E6613">
        <v>2</v>
      </c>
      <c r="F6613" t="s">
        <v>1139</v>
      </c>
      <c r="G6613" t="s">
        <v>32</v>
      </c>
      <c r="H6613" t="s">
        <v>33</v>
      </c>
      <c r="I6613" t="s">
        <v>59</v>
      </c>
      <c r="AB6613" t="s">
        <v>47</v>
      </c>
      <c r="AC6613" t="s">
        <v>1140</v>
      </c>
    </row>
    <row r="6614" spans="1:30" x14ac:dyDescent="0.35">
      <c r="A6614" s="7">
        <v>43263</v>
      </c>
      <c r="B6614" t="s">
        <v>30</v>
      </c>
      <c r="C6614">
        <v>304</v>
      </c>
      <c r="D6614">
        <v>10</v>
      </c>
      <c r="E6614">
        <v>1</v>
      </c>
      <c r="F6614" t="s">
        <v>1139</v>
      </c>
      <c r="G6614" t="s">
        <v>32</v>
      </c>
      <c r="H6614" t="s">
        <v>33</v>
      </c>
      <c r="I6614" t="s">
        <v>59</v>
      </c>
      <c r="AB6614" t="s">
        <v>60</v>
      </c>
      <c r="AC6614" t="s">
        <v>87</v>
      </c>
    </row>
    <row r="6615" spans="1:30" x14ac:dyDescent="0.35">
      <c r="A6615" s="7">
        <v>43263</v>
      </c>
      <c r="B6615" t="s">
        <v>30</v>
      </c>
      <c r="C6615">
        <v>402</v>
      </c>
      <c r="D6615">
        <v>1</v>
      </c>
      <c r="E6615">
        <v>1</v>
      </c>
      <c r="F6615" t="s">
        <v>1020</v>
      </c>
      <c r="G6615" t="s">
        <v>32</v>
      </c>
      <c r="H6615" t="s">
        <v>33</v>
      </c>
      <c r="I6615" t="s">
        <v>94</v>
      </c>
      <c r="J6615" t="s">
        <v>44</v>
      </c>
      <c r="K6615" t="s">
        <v>36</v>
      </c>
      <c r="L6615" t="s">
        <v>45</v>
      </c>
      <c r="M6615">
        <v>0</v>
      </c>
      <c r="N6615">
        <v>0</v>
      </c>
      <c r="P6615">
        <v>2409</v>
      </c>
      <c r="Q6615">
        <f>38-14</f>
        <v>24</v>
      </c>
      <c r="R6615" t="s">
        <v>46</v>
      </c>
      <c r="S6615" t="s">
        <v>39</v>
      </c>
      <c r="AB6615" t="s">
        <v>60</v>
      </c>
      <c r="AC6615" t="s">
        <v>41</v>
      </c>
      <c r="AD6615" t="s">
        <v>1024</v>
      </c>
    </row>
    <row r="6616" spans="1:30" x14ac:dyDescent="0.35">
      <c r="A6616" s="7">
        <v>43264</v>
      </c>
      <c r="B6616" t="s">
        <v>30</v>
      </c>
      <c r="C6616">
        <v>111</v>
      </c>
      <c r="D6616">
        <v>3</v>
      </c>
      <c r="E6616">
        <v>2</v>
      </c>
      <c r="F6616" t="s">
        <v>1020</v>
      </c>
      <c r="G6616" t="s">
        <v>32</v>
      </c>
      <c r="H6616" t="s">
        <v>33</v>
      </c>
      <c r="I6616" t="s">
        <v>43</v>
      </c>
      <c r="J6616" t="s">
        <v>44</v>
      </c>
      <c r="K6616" t="s">
        <v>36</v>
      </c>
      <c r="L6616" t="s">
        <v>45</v>
      </c>
      <c r="M6616">
        <v>0</v>
      </c>
      <c r="N6616">
        <v>0</v>
      </c>
      <c r="O6616">
        <v>2408</v>
      </c>
      <c r="P6616">
        <v>2407</v>
      </c>
      <c r="Q6616">
        <f>39-13</f>
        <v>26</v>
      </c>
      <c r="R6616" t="s">
        <v>1028</v>
      </c>
      <c r="S6616" t="s">
        <v>102</v>
      </c>
      <c r="AB6616" t="s">
        <v>60</v>
      </c>
      <c r="AC6616" t="s">
        <v>87</v>
      </c>
    </row>
    <row r="6617" spans="1:30" x14ac:dyDescent="0.35">
      <c r="A6617" s="7">
        <v>43264</v>
      </c>
      <c r="B6617" t="s">
        <v>30</v>
      </c>
      <c r="C6617">
        <v>111</v>
      </c>
      <c r="D6617">
        <v>10</v>
      </c>
      <c r="E6617">
        <v>2</v>
      </c>
      <c r="F6617" t="s">
        <v>1020</v>
      </c>
      <c r="G6617" t="s">
        <v>32</v>
      </c>
      <c r="H6617" t="s">
        <v>33</v>
      </c>
      <c r="I6617" t="s">
        <v>43</v>
      </c>
      <c r="J6617" t="s">
        <v>44</v>
      </c>
      <c r="K6617" t="s">
        <v>36</v>
      </c>
      <c r="L6617" t="s">
        <v>45</v>
      </c>
      <c r="M6617">
        <v>0</v>
      </c>
      <c r="N6617">
        <v>0</v>
      </c>
      <c r="O6617">
        <v>2406</v>
      </c>
      <c r="P6617">
        <v>2405</v>
      </c>
      <c r="Q6617">
        <f>38-13.75</f>
        <v>24.25</v>
      </c>
      <c r="R6617" t="s">
        <v>1028</v>
      </c>
      <c r="S6617" t="s">
        <v>102</v>
      </c>
      <c r="AB6617" t="s">
        <v>60</v>
      </c>
      <c r="AC6617" t="s">
        <v>87</v>
      </c>
    </row>
    <row r="6618" spans="1:30" x14ac:dyDescent="0.35">
      <c r="A6618" s="7">
        <v>43264</v>
      </c>
      <c r="B6618" t="s">
        <v>30</v>
      </c>
      <c r="C6618">
        <v>112</v>
      </c>
      <c r="D6618">
        <v>6</v>
      </c>
      <c r="E6618">
        <v>1</v>
      </c>
      <c r="F6618" t="s">
        <v>1020</v>
      </c>
      <c r="G6618" t="s">
        <v>32</v>
      </c>
      <c r="H6618" t="s">
        <v>33</v>
      </c>
      <c r="I6618" t="s">
        <v>43</v>
      </c>
      <c r="J6618" t="s">
        <v>44</v>
      </c>
      <c r="K6618" t="s">
        <v>36</v>
      </c>
      <c r="L6618" t="s">
        <v>45</v>
      </c>
      <c r="M6618">
        <v>0</v>
      </c>
      <c r="N6618">
        <v>0</v>
      </c>
      <c r="O6618">
        <v>2415</v>
      </c>
      <c r="P6618">
        <v>2414</v>
      </c>
      <c r="Q6618">
        <f>34.25-13.5</f>
        <v>20.75</v>
      </c>
      <c r="R6618" t="s">
        <v>1021</v>
      </c>
      <c r="S6618" t="s">
        <v>102</v>
      </c>
      <c r="AB6618" t="s">
        <v>60</v>
      </c>
      <c r="AC6618" t="s">
        <v>87</v>
      </c>
    </row>
    <row r="6619" spans="1:30" x14ac:dyDescent="0.35">
      <c r="A6619" s="7">
        <v>43264</v>
      </c>
      <c r="B6619" t="s">
        <v>30</v>
      </c>
      <c r="C6619">
        <v>113</v>
      </c>
      <c r="D6619">
        <v>2</v>
      </c>
      <c r="E6619">
        <v>1</v>
      </c>
      <c r="F6619" t="s">
        <v>1020</v>
      </c>
      <c r="G6619" t="s">
        <v>32</v>
      </c>
      <c r="H6619" t="s">
        <v>33</v>
      </c>
      <c r="I6619" t="s">
        <v>43</v>
      </c>
      <c r="J6619" t="s">
        <v>44</v>
      </c>
      <c r="K6619" t="s">
        <v>88</v>
      </c>
      <c r="L6619" t="s">
        <v>45</v>
      </c>
      <c r="M6619">
        <v>0</v>
      </c>
      <c r="N6619">
        <v>0</v>
      </c>
      <c r="O6619">
        <v>2413</v>
      </c>
      <c r="P6619">
        <v>2412</v>
      </c>
      <c r="Q6619">
        <f>27-13</f>
        <v>14</v>
      </c>
      <c r="R6619" t="s">
        <v>46</v>
      </c>
      <c r="S6619" t="s">
        <v>39</v>
      </c>
      <c r="AB6619" t="s">
        <v>60</v>
      </c>
      <c r="AC6619" t="s">
        <v>87</v>
      </c>
    </row>
    <row r="6620" spans="1:30" x14ac:dyDescent="0.35">
      <c r="A6620" s="7">
        <v>43264</v>
      </c>
      <c r="B6620" t="s">
        <v>30</v>
      </c>
      <c r="C6620">
        <v>113</v>
      </c>
      <c r="D6620">
        <v>2</v>
      </c>
      <c r="E6620">
        <v>2</v>
      </c>
      <c r="F6620" t="s">
        <v>1020</v>
      </c>
      <c r="G6620" t="s">
        <v>32</v>
      </c>
      <c r="H6620" t="s">
        <v>33</v>
      </c>
      <c r="I6620" t="s">
        <v>43</v>
      </c>
      <c r="J6620" t="s">
        <v>44</v>
      </c>
      <c r="K6620" t="s">
        <v>113</v>
      </c>
      <c r="L6620" t="s">
        <v>37</v>
      </c>
      <c r="M6620">
        <v>0</v>
      </c>
      <c r="N6620">
        <v>0</v>
      </c>
      <c r="O6620">
        <v>2406</v>
      </c>
      <c r="P6620">
        <v>2405</v>
      </c>
      <c r="Q6620">
        <f>31.5-13.5</f>
        <v>18</v>
      </c>
      <c r="R6620" t="s">
        <v>38</v>
      </c>
      <c r="AB6620" t="s">
        <v>60</v>
      </c>
      <c r="AC6620" t="s">
        <v>87</v>
      </c>
    </row>
    <row r="6621" spans="1:30" x14ac:dyDescent="0.35">
      <c r="A6621" s="7">
        <v>43264</v>
      </c>
      <c r="B6621" t="s">
        <v>30</v>
      </c>
      <c r="C6621">
        <v>113</v>
      </c>
      <c r="D6621">
        <v>5</v>
      </c>
      <c r="E6621">
        <v>1</v>
      </c>
      <c r="F6621" t="s">
        <v>1020</v>
      </c>
      <c r="G6621" t="s">
        <v>32</v>
      </c>
      <c r="H6621" t="s">
        <v>33</v>
      </c>
      <c r="I6621" t="s">
        <v>43</v>
      </c>
      <c r="J6621" t="s">
        <v>44</v>
      </c>
      <c r="K6621" t="s">
        <v>88</v>
      </c>
      <c r="L6621" t="s">
        <v>45</v>
      </c>
      <c r="M6621">
        <v>0</v>
      </c>
      <c r="N6621">
        <v>0</v>
      </c>
      <c r="O6621">
        <v>2411</v>
      </c>
      <c r="P6621">
        <v>2410</v>
      </c>
      <c r="Q6621">
        <f>26-13.5</f>
        <v>12.5</v>
      </c>
      <c r="R6621" t="s">
        <v>46</v>
      </c>
      <c r="S6621" t="s">
        <v>39</v>
      </c>
      <c r="AB6621" t="s">
        <v>60</v>
      </c>
      <c r="AC6621" t="s">
        <v>87</v>
      </c>
    </row>
    <row r="6622" spans="1:30" x14ac:dyDescent="0.35">
      <c r="A6622" s="7">
        <v>43264</v>
      </c>
      <c r="B6622" t="s">
        <v>30</v>
      </c>
      <c r="C6622">
        <v>113</v>
      </c>
      <c r="D6622">
        <v>8</v>
      </c>
      <c r="E6622">
        <v>1</v>
      </c>
      <c r="F6622" t="s">
        <v>1020</v>
      </c>
      <c r="G6622" t="s">
        <v>32</v>
      </c>
      <c r="H6622" t="s">
        <v>33</v>
      </c>
      <c r="I6622" t="s">
        <v>43</v>
      </c>
      <c r="J6622" t="s">
        <v>35</v>
      </c>
      <c r="K6622" t="s">
        <v>88</v>
      </c>
      <c r="L6622" t="s">
        <v>37</v>
      </c>
      <c r="M6622">
        <v>0</v>
      </c>
      <c r="N6622">
        <v>1</v>
      </c>
      <c r="O6622">
        <v>1081</v>
      </c>
      <c r="P6622">
        <v>1080</v>
      </c>
      <c r="Q6622">
        <f>27.75-13.5</f>
        <v>14.25</v>
      </c>
      <c r="R6622" t="s">
        <v>64</v>
      </c>
      <c r="AB6622" t="s">
        <v>60</v>
      </c>
      <c r="AC6622" t="s">
        <v>87</v>
      </c>
    </row>
    <row r="6623" spans="1:30" x14ac:dyDescent="0.35">
      <c r="A6623" s="7">
        <v>43264</v>
      </c>
      <c r="B6623" t="s">
        <v>30</v>
      </c>
      <c r="C6623">
        <v>201</v>
      </c>
      <c r="D6623">
        <v>1</v>
      </c>
      <c r="E6623">
        <v>1</v>
      </c>
      <c r="F6623" t="s">
        <v>1139</v>
      </c>
      <c r="G6623" t="s">
        <v>32</v>
      </c>
      <c r="H6623" t="s">
        <v>33</v>
      </c>
      <c r="I6623" t="s">
        <v>43</v>
      </c>
      <c r="J6623" t="s">
        <v>44</v>
      </c>
      <c r="K6623" t="s">
        <v>36</v>
      </c>
      <c r="L6623" t="s">
        <v>37</v>
      </c>
      <c r="M6623">
        <v>0</v>
      </c>
      <c r="N6623">
        <v>0</v>
      </c>
      <c r="O6623">
        <v>39816</v>
      </c>
      <c r="P6623">
        <v>39815</v>
      </c>
      <c r="Q6623">
        <f>34-14</f>
        <v>20</v>
      </c>
      <c r="R6623" t="s">
        <v>38</v>
      </c>
      <c r="AB6623" t="s">
        <v>47</v>
      </c>
      <c r="AC6623" t="s">
        <v>1140</v>
      </c>
    </row>
    <row r="6624" spans="1:30" x14ac:dyDescent="0.35">
      <c r="A6624" s="7">
        <v>43264</v>
      </c>
      <c r="B6624" t="s">
        <v>30</v>
      </c>
      <c r="C6624">
        <v>201</v>
      </c>
      <c r="D6624">
        <v>3</v>
      </c>
      <c r="E6624">
        <v>1</v>
      </c>
      <c r="F6624" t="s">
        <v>1139</v>
      </c>
      <c r="G6624" t="s">
        <v>32</v>
      </c>
      <c r="H6624" t="s">
        <v>33</v>
      </c>
      <c r="I6624" t="s">
        <v>43</v>
      </c>
      <c r="J6624" t="s">
        <v>44</v>
      </c>
      <c r="K6624" t="s">
        <v>36</v>
      </c>
      <c r="L6624" t="s">
        <v>37</v>
      </c>
      <c r="M6624">
        <v>0</v>
      </c>
      <c r="N6624">
        <v>0</v>
      </c>
      <c r="O6624">
        <v>39815</v>
      </c>
      <c r="P6624">
        <v>39814</v>
      </c>
      <c r="Q6624">
        <f>34-13.5</f>
        <v>20.5</v>
      </c>
      <c r="R6624" t="s">
        <v>38</v>
      </c>
      <c r="AB6624" t="s">
        <v>47</v>
      </c>
      <c r="AC6624" t="s">
        <v>1140</v>
      </c>
    </row>
    <row r="6625" spans="1:30" x14ac:dyDescent="0.35">
      <c r="A6625" s="7">
        <v>43264</v>
      </c>
      <c r="B6625" t="s">
        <v>30</v>
      </c>
      <c r="C6625">
        <v>201</v>
      </c>
      <c r="D6625">
        <v>5</v>
      </c>
      <c r="E6625">
        <v>1</v>
      </c>
      <c r="F6625" t="s">
        <v>1139</v>
      </c>
      <c r="G6625" t="s">
        <v>32</v>
      </c>
      <c r="H6625" t="s">
        <v>33</v>
      </c>
      <c r="I6625" t="s">
        <v>43</v>
      </c>
      <c r="J6625" t="s">
        <v>44</v>
      </c>
      <c r="K6625" t="s">
        <v>36</v>
      </c>
      <c r="L6625" t="s">
        <v>37</v>
      </c>
      <c r="M6625">
        <v>0</v>
      </c>
      <c r="N6625">
        <v>0</v>
      </c>
      <c r="O6625">
        <v>39817</v>
      </c>
      <c r="P6625">
        <v>39816</v>
      </c>
      <c r="Q6625">
        <f>33-13</f>
        <v>20</v>
      </c>
      <c r="R6625" t="s">
        <v>38</v>
      </c>
      <c r="AB6625" t="s">
        <v>47</v>
      </c>
      <c r="AC6625" t="s">
        <v>1140</v>
      </c>
    </row>
    <row r="6626" spans="1:30" x14ac:dyDescent="0.35">
      <c r="A6626" s="7">
        <v>43264</v>
      </c>
      <c r="B6626" t="s">
        <v>30</v>
      </c>
      <c r="C6626">
        <v>202</v>
      </c>
      <c r="D6626">
        <v>2</v>
      </c>
      <c r="E6626">
        <v>1</v>
      </c>
      <c r="F6626" t="s">
        <v>1139</v>
      </c>
      <c r="G6626" t="s">
        <v>32</v>
      </c>
      <c r="H6626" t="s">
        <v>33</v>
      </c>
      <c r="I6626" t="s">
        <v>43</v>
      </c>
      <c r="J6626" t="s">
        <v>44</v>
      </c>
      <c r="K6626" t="s">
        <v>36</v>
      </c>
      <c r="L6626" t="s">
        <v>37</v>
      </c>
      <c r="M6626">
        <v>0</v>
      </c>
      <c r="N6626">
        <v>0</v>
      </c>
      <c r="O6626">
        <v>1155</v>
      </c>
      <c r="P6626">
        <v>1154</v>
      </c>
      <c r="Q6626">
        <f>36.5-14</f>
        <v>22.5</v>
      </c>
      <c r="R6626" t="s">
        <v>64</v>
      </c>
      <c r="AB6626" t="s">
        <v>47</v>
      </c>
      <c r="AC6626" t="s">
        <v>1140</v>
      </c>
      <c r="AD6626" t="s">
        <v>1168</v>
      </c>
    </row>
    <row r="6627" spans="1:30" x14ac:dyDescent="0.35">
      <c r="A6627" s="7">
        <v>43264</v>
      </c>
      <c r="B6627" t="s">
        <v>30</v>
      </c>
      <c r="C6627">
        <v>202</v>
      </c>
      <c r="D6627">
        <v>2</v>
      </c>
      <c r="E6627">
        <v>2</v>
      </c>
      <c r="F6627" t="s">
        <v>1139</v>
      </c>
      <c r="G6627" t="s">
        <v>32</v>
      </c>
      <c r="H6627" t="s">
        <v>33</v>
      </c>
      <c r="I6627" t="s">
        <v>43</v>
      </c>
      <c r="J6627" t="s">
        <v>35</v>
      </c>
      <c r="K6627" t="s">
        <v>36</v>
      </c>
      <c r="L6627" t="s">
        <v>37</v>
      </c>
      <c r="M6627">
        <v>0</v>
      </c>
      <c r="N6627">
        <v>1</v>
      </c>
      <c r="O6627">
        <v>1163</v>
      </c>
      <c r="P6627">
        <v>1162</v>
      </c>
      <c r="Q6627">
        <f>36.5-14.5</f>
        <v>22</v>
      </c>
      <c r="R6627" t="s">
        <v>38</v>
      </c>
      <c r="AB6627" t="s">
        <v>47</v>
      </c>
      <c r="AC6627" t="s">
        <v>1140</v>
      </c>
    </row>
    <row r="6628" spans="1:30" x14ac:dyDescent="0.35">
      <c r="A6628" s="7">
        <v>43264</v>
      </c>
      <c r="B6628" t="s">
        <v>30</v>
      </c>
      <c r="C6628">
        <v>202</v>
      </c>
      <c r="D6628">
        <v>6</v>
      </c>
      <c r="E6628">
        <v>1</v>
      </c>
      <c r="F6628" t="s">
        <v>1139</v>
      </c>
      <c r="G6628" t="s">
        <v>32</v>
      </c>
      <c r="H6628" t="s">
        <v>33</v>
      </c>
      <c r="I6628" t="s">
        <v>43</v>
      </c>
      <c r="J6628" t="s">
        <v>44</v>
      </c>
      <c r="K6628" t="s">
        <v>36</v>
      </c>
      <c r="L6628" t="s">
        <v>45</v>
      </c>
      <c r="M6628">
        <v>0</v>
      </c>
      <c r="N6628">
        <v>0</v>
      </c>
      <c r="O6628">
        <v>39809</v>
      </c>
      <c r="P6628">
        <v>39808</v>
      </c>
      <c r="Q6628">
        <f>33.135</f>
        <v>33.134999999999998</v>
      </c>
      <c r="R6628" t="s">
        <v>1021</v>
      </c>
      <c r="S6628" t="s">
        <v>102</v>
      </c>
      <c r="AB6628" t="s">
        <v>47</v>
      </c>
      <c r="AC6628" t="s">
        <v>1140</v>
      </c>
    </row>
    <row r="6629" spans="1:30" x14ac:dyDescent="0.35">
      <c r="A6629" s="7">
        <v>43264</v>
      </c>
      <c r="B6629" t="s">
        <v>30</v>
      </c>
      <c r="C6629">
        <v>203</v>
      </c>
      <c r="D6629">
        <v>2</v>
      </c>
      <c r="E6629">
        <v>1</v>
      </c>
      <c r="F6629" t="s">
        <v>1139</v>
      </c>
      <c r="G6629" t="s">
        <v>32</v>
      </c>
      <c r="H6629" t="s">
        <v>33</v>
      </c>
      <c r="I6629" t="s">
        <v>43</v>
      </c>
      <c r="J6629" t="s">
        <v>44</v>
      </c>
      <c r="K6629" t="s">
        <v>88</v>
      </c>
      <c r="L6629" t="s">
        <v>37</v>
      </c>
      <c r="M6629">
        <v>0</v>
      </c>
      <c r="N6629">
        <v>0</v>
      </c>
      <c r="O6629">
        <v>39811</v>
      </c>
      <c r="P6629">
        <v>39810</v>
      </c>
      <c r="Q6629">
        <f>28.5-15</f>
        <v>13.5</v>
      </c>
      <c r="R6629" t="s">
        <v>64</v>
      </c>
      <c r="AB6629" t="s">
        <v>47</v>
      </c>
      <c r="AC6629" t="s">
        <v>1140</v>
      </c>
    </row>
    <row r="6630" spans="1:30" x14ac:dyDescent="0.35">
      <c r="A6630" s="7">
        <v>43264</v>
      </c>
      <c r="B6630" t="s">
        <v>30</v>
      </c>
      <c r="C6630">
        <v>203</v>
      </c>
      <c r="D6630">
        <v>9</v>
      </c>
      <c r="E6630">
        <v>1</v>
      </c>
      <c r="F6630" t="s">
        <v>1139</v>
      </c>
      <c r="G6630" t="s">
        <v>32</v>
      </c>
      <c r="H6630" t="s">
        <v>33</v>
      </c>
      <c r="I6630" t="s">
        <v>43</v>
      </c>
      <c r="J6630" t="s">
        <v>35</v>
      </c>
      <c r="K6630" t="s">
        <v>36</v>
      </c>
      <c r="L6630" t="s">
        <v>37</v>
      </c>
      <c r="M6630">
        <v>0</v>
      </c>
      <c r="N6630">
        <v>1</v>
      </c>
      <c r="O6630">
        <v>1161</v>
      </c>
      <c r="P6630">
        <v>1160</v>
      </c>
      <c r="Q6630">
        <f>35-14</f>
        <v>21</v>
      </c>
      <c r="R6630" t="s">
        <v>64</v>
      </c>
      <c r="AB6630" t="s">
        <v>47</v>
      </c>
      <c r="AC6630" t="s">
        <v>1140</v>
      </c>
    </row>
    <row r="6631" spans="1:30" x14ac:dyDescent="0.35">
      <c r="A6631" s="7">
        <v>43264</v>
      </c>
      <c r="B6631" t="s">
        <v>30</v>
      </c>
      <c r="C6631">
        <v>402</v>
      </c>
      <c r="D6631">
        <v>1</v>
      </c>
      <c r="E6631">
        <v>1</v>
      </c>
      <c r="F6631" t="s">
        <v>1020</v>
      </c>
      <c r="G6631" t="s">
        <v>32</v>
      </c>
      <c r="H6631" t="s">
        <v>33</v>
      </c>
      <c r="I6631" t="s">
        <v>43</v>
      </c>
      <c r="J6631" t="s">
        <v>44</v>
      </c>
      <c r="K6631" t="s">
        <v>36</v>
      </c>
      <c r="L6631" t="s">
        <v>37</v>
      </c>
      <c r="M6631">
        <v>0</v>
      </c>
      <c r="N6631">
        <v>0</v>
      </c>
      <c r="O6631">
        <v>2805</v>
      </c>
      <c r="P6631">
        <v>2804</v>
      </c>
      <c r="Q6631">
        <f>31-13.5</f>
        <v>17.5</v>
      </c>
      <c r="R6631" t="s">
        <v>38</v>
      </c>
      <c r="AB6631" t="s">
        <v>60</v>
      </c>
      <c r="AC6631" t="s">
        <v>87</v>
      </c>
    </row>
    <row r="6632" spans="1:30" x14ac:dyDescent="0.35">
      <c r="A6632" s="7">
        <v>43264</v>
      </c>
      <c r="B6632" t="s">
        <v>30</v>
      </c>
      <c r="C6632">
        <v>111</v>
      </c>
      <c r="D6632">
        <v>6</v>
      </c>
      <c r="E6632">
        <v>1</v>
      </c>
      <c r="F6632" t="s">
        <v>1020</v>
      </c>
      <c r="G6632" t="s">
        <v>32</v>
      </c>
      <c r="H6632" t="s">
        <v>33</v>
      </c>
      <c r="I6632" t="s">
        <v>34</v>
      </c>
      <c r="J6632" t="s">
        <v>56</v>
      </c>
      <c r="K6632" t="s">
        <v>36</v>
      </c>
      <c r="L6632" t="s">
        <v>37</v>
      </c>
      <c r="M6632">
        <v>0</v>
      </c>
      <c r="N6632">
        <v>0</v>
      </c>
      <c r="Q6632">
        <f>226-126</f>
        <v>100</v>
      </c>
      <c r="R6632" t="s">
        <v>64</v>
      </c>
      <c r="AB6632" t="s">
        <v>60</v>
      </c>
      <c r="AC6632" t="s">
        <v>87</v>
      </c>
      <c r="AD6632" t="s">
        <v>1142</v>
      </c>
    </row>
    <row r="6633" spans="1:30" x14ac:dyDescent="0.35">
      <c r="A6633" s="7">
        <v>43264</v>
      </c>
      <c r="B6633" t="s">
        <v>30</v>
      </c>
      <c r="C6633">
        <v>304</v>
      </c>
      <c r="D6633">
        <v>1</v>
      </c>
      <c r="E6633">
        <v>1</v>
      </c>
      <c r="F6633" t="s">
        <v>1139</v>
      </c>
      <c r="G6633" t="s">
        <v>32</v>
      </c>
      <c r="H6633" t="s">
        <v>33</v>
      </c>
      <c r="I6633" t="s">
        <v>34</v>
      </c>
      <c r="J6633" t="s">
        <v>44</v>
      </c>
      <c r="K6633" t="s">
        <v>36</v>
      </c>
      <c r="L6633" t="s">
        <v>45</v>
      </c>
      <c r="M6633">
        <v>0</v>
      </c>
      <c r="N6633">
        <v>0</v>
      </c>
      <c r="O6633">
        <v>1158</v>
      </c>
      <c r="Q6633">
        <f>175-90</f>
        <v>85</v>
      </c>
      <c r="R6633" t="s">
        <v>46</v>
      </c>
      <c r="AB6633" t="s">
        <v>47</v>
      </c>
      <c r="AC6633" t="s">
        <v>1140</v>
      </c>
    </row>
    <row r="6634" spans="1:30" x14ac:dyDescent="0.35">
      <c r="A6634" s="7">
        <v>43264</v>
      </c>
      <c r="B6634" t="s">
        <v>30</v>
      </c>
      <c r="C6634">
        <v>201</v>
      </c>
      <c r="D6634">
        <v>4</v>
      </c>
      <c r="E6634">
        <v>1</v>
      </c>
      <c r="F6634" t="s">
        <v>1139</v>
      </c>
      <c r="G6634" t="s">
        <v>32</v>
      </c>
      <c r="H6634" t="s">
        <v>33</v>
      </c>
      <c r="I6634" t="s">
        <v>58</v>
      </c>
      <c r="J6634" t="s">
        <v>44</v>
      </c>
      <c r="K6634" t="s">
        <v>36</v>
      </c>
      <c r="L6634" t="s">
        <v>45</v>
      </c>
      <c r="M6634">
        <v>0</v>
      </c>
      <c r="N6634">
        <v>0</v>
      </c>
      <c r="O6634">
        <v>39707</v>
      </c>
      <c r="P6634">
        <v>39706</v>
      </c>
      <c r="Q6634">
        <f>34-14</f>
        <v>20</v>
      </c>
      <c r="R6634" t="s">
        <v>46</v>
      </c>
      <c r="S6634" t="s">
        <v>39</v>
      </c>
      <c r="AB6634" t="s">
        <v>47</v>
      </c>
      <c r="AC6634" t="s">
        <v>1140</v>
      </c>
    </row>
    <row r="6635" spans="1:30" x14ac:dyDescent="0.35">
      <c r="A6635" s="7">
        <v>43264</v>
      </c>
      <c r="B6635" t="s">
        <v>30</v>
      </c>
      <c r="C6635">
        <v>203</v>
      </c>
      <c r="D6635">
        <v>1</v>
      </c>
      <c r="E6635">
        <v>1</v>
      </c>
      <c r="F6635" t="s">
        <v>1139</v>
      </c>
      <c r="G6635" t="s">
        <v>32</v>
      </c>
      <c r="H6635" t="s">
        <v>33</v>
      </c>
      <c r="I6635" t="s">
        <v>65</v>
      </c>
      <c r="J6635" t="s">
        <v>35</v>
      </c>
      <c r="K6635" t="s">
        <v>36</v>
      </c>
      <c r="L6635" t="s">
        <v>45</v>
      </c>
      <c r="M6635">
        <v>0</v>
      </c>
      <c r="N6635">
        <v>1</v>
      </c>
      <c r="O6635">
        <v>1159</v>
      </c>
      <c r="Q6635">
        <f>245-80</f>
        <v>165</v>
      </c>
      <c r="R6635" t="s">
        <v>79</v>
      </c>
      <c r="S6635" t="s">
        <v>39</v>
      </c>
      <c r="AB6635" t="s">
        <v>47</v>
      </c>
      <c r="AC6635" t="s">
        <v>1140</v>
      </c>
    </row>
    <row r="6636" spans="1:30" x14ac:dyDescent="0.35">
      <c r="A6636" s="7">
        <v>43264</v>
      </c>
      <c r="B6636" t="s">
        <v>30</v>
      </c>
      <c r="C6636">
        <v>201</v>
      </c>
      <c r="D6636">
        <v>3</v>
      </c>
      <c r="E6636">
        <v>2</v>
      </c>
      <c r="F6636" t="s">
        <v>1139</v>
      </c>
      <c r="G6636" t="s">
        <v>32</v>
      </c>
      <c r="H6636" t="s">
        <v>33</v>
      </c>
      <c r="I6636" t="s">
        <v>1029</v>
      </c>
      <c r="J6636" t="s">
        <v>56</v>
      </c>
      <c r="AB6636" t="s">
        <v>47</v>
      </c>
      <c r="AC6636" t="s">
        <v>1140</v>
      </c>
    </row>
    <row r="6637" spans="1:30" x14ac:dyDescent="0.35">
      <c r="A6637" s="7">
        <v>43264</v>
      </c>
      <c r="B6637" t="s">
        <v>30</v>
      </c>
      <c r="C6637">
        <v>111</v>
      </c>
      <c r="D6637">
        <v>3</v>
      </c>
      <c r="E6637">
        <v>1</v>
      </c>
      <c r="F6637" t="s">
        <v>1020</v>
      </c>
      <c r="G6637" t="s">
        <v>32</v>
      </c>
      <c r="H6637" t="s">
        <v>33</v>
      </c>
      <c r="I6637" t="s">
        <v>72</v>
      </c>
      <c r="J6637" t="s">
        <v>56</v>
      </c>
      <c r="AB6637" t="s">
        <v>60</v>
      </c>
      <c r="AC6637" t="s">
        <v>87</v>
      </c>
    </row>
    <row r="6638" spans="1:30" x14ac:dyDescent="0.35">
      <c r="A6638" s="7">
        <v>43264</v>
      </c>
      <c r="B6638" t="s">
        <v>30</v>
      </c>
      <c r="C6638">
        <v>111</v>
      </c>
      <c r="D6638">
        <v>4</v>
      </c>
      <c r="E6638">
        <v>1</v>
      </c>
      <c r="F6638" t="s">
        <v>1020</v>
      </c>
      <c r="G6638" t="s">
        <v>32</v>
      </c>
      <c r="H6638" t="s">
        <v>33</v>
      </c>
      <c r="I6638" t="s">
        <v>72</v>
      </c>
      <c r="J6638" t="s">
        <v>56</v>
      </c>
      <c r="AB6638" t="s">
        <v>60</v>
      </c>
      <c r="AC6638" t="s">
        <v>87</v>
      </c>
    </row>
    <row r="6639" spans="1:30" x14ac:dyDescent="0.35">
      <c r="A6639" s="7">
        <v>43264</v>
      </c>
      <c r="B6639" t="s">
        <v>30</v>
      </c>
      <c r="C6639">
        <v>111</v>
      </c>
      <c r="D6639">
        <v>4</v>
      </c>
      <c r="E6639">
        <v>2</v>
      </c>
      <c r="F6639" t="s">
        <v>1020</v>
      </c>
      <c r="G6639" t="s">
        <v>32</v>
      </c>
      <c r="H6639" t="s">
        <v>33</v>
      </c>
      <c r="I6639" t="s">
        <v>72</v>
      </c>
      <c r="J6639" t="s">
        <v>56</v>
      </c>
      <c r="AB6639" t="s">
        <v>60</v>
      </c>
      <c r="AC6639" t="s">
        <v>87</v>
      </c>
    </row>
    <row r="6640" spans="1:30" x14ac:dyDescent="0.35">
      <c r="A6640" s="7">
        <v>43264</v>
      </c>
      <c r="B6640" t="s">
        <v>30</v>
      </c>
      <c r="C6640">
        <v>111</v>
      </c>
      <c r="D6640">
        <v>7</v>
      </c>
      <c r="E6640">
        <v>1</v>
      </c>
      <c r="F6640" t="s">
        <v>1020</v>
      </c>
      <c r="G6640" t="s">
        <v>32</v>
      </c>
      <c r="H6640" t="s">
        <v>33</v>
      </c>
      <c r="I6640" t="s">
        <v>72</v>
      </c>
      <c r="J6640" t="s">
        <v>56</v>
      </c>
      <c r="AB6640" t="s">
        <v>60</v>
      </c>
      <c r="AC6640" t="s">
        <v>87</v>
      </c>
    </row>
    <row r="6641" spans="1:29" x14ac:dyDescent="0.35">
      <c r="A6641" s="7">
        <v>43264</v>
      </c>
      <c r="B6641" t="s">
        <v>30</v>
      </c>
      <c r="C6641">
        <v>112</v>
      </c>
      <c r="D6641">
        <v>7</v>
      </c>
      <c r="E6641">
        <v>1</v>
      </c>
      <c r="F6641" t="s">
        <v>1020</v>
      </c>
      <c r="G6641" t="s">
        <v>32</v>
      </c>
      <c r="H6641" t="s">
        <v>33</v>
      </c>
      <c r="I6641" t="s">
        <v>72</v>
      </c>
      <c r="J6641" t="s">
        <v>56</v>
      </c>
      <c r="AB6641" t="s">
        <v>60</v>
      </c>
      <c r="AC6641" t="s">
        <v>87</v>
      </c>
    </row>
    <row r="6642" spans="1:29" x14ac:dyDescent="0.35">
      <c r="A6642" s="7">
        <v>43264</v>
      </c>
      <c r="B6642" t="s">
        <v>30</v>
      </c>
      <c r="C6642">
        <v>112</v>
      </c>
      <c r="D6642">
        <v>7</v>
      </c>
      <c r="E6642">
        <v>2</v>
      </c>
      <c r="F6642" t="s">
        <v>1020</v>
      </c>
      <c r="G6642" t="s">
        <v>32</v>
      </c>
      <c r="H6642" t="s">
        <v>33</v>
      </c>
      <c r="I6642" t="s">
        <v>72</v>
      </c>
      <c r="J6642" t="s">
        <v>56</v>
      </c>
      <c r="AB6642" t="s">
        <v>60</v>
      </c>
      <c r="AC6642" t="s">
        <v>87</v>
      </c>
    </row>
    <row r="6643" spans="1:29" x14ac:dyDescent="0.35">
      <c r="A6643" s="7">
        <v>43264</v>
      </c>
      <c r="B6643" t="s">
        <v>30</v>
      </c>
      <c r="C6643">
        <v>113</v>
      </c>
      <c r="D6643">
        <v>9</v>
      </c>
      <c r="E6643">
        <v>1</v>
      </c>
      <c r="F6643" t="s">
        <v>1020</v>
      </c>
      <c r="G6643" t="s">
        <v>32</v>
      </c>
      <c r="H6643" t="s">
        <v>33</v>
      </c>
      <c r="I6643" t="s">
        <v>72</v>
      </c>
      <c r="J6643" t="s">
        <v>56</v>
      </c>
      <c r="AB6643" t="s">
        <v>60</v>
      </c>
      <c r="AC6643" t="s">
        <v>87</v>
      </c>
    </row>
    <row r="6644" spans="1:29" x14ac:dyDescent="0.35">
      <c r="A6644" s="7">
        <v>43264</v>
      </c>
      <c r="B6644" t="s">
        <v>30</v>
      </c>
      <c r="C6644">
        <v>113</v>
      </c>
      <c r="D6644">
        <v>10</v>
      </c>
      <c r="E6644">
        <v>2</v>
      </c>
      <c r="F6644" t="s">
        <v>1020</v>
      </c>
      <c r="G6644" t="s">
        <v>32</v>
      </c>
      <c r="H6644" t="s">
        <v>33</v>
      </c>
      <c r="I6644" t="s">
        <v>72</v>
      </c>
      <c r="J6644" t="s">
        <v>56</v>
      </c>
      <c r="AB6644" t="s">
        <v>60</v>
      </c>
      <c r="AC6644" t="s">
        <v>87</v>
      </c>
    </row>
    <row r="6645" spans="1:29" x14ac:dyDescent="0.35">
      <c r="A6645" s="7">
        <v>43264</v>
      </c>
      <c r="B6645" t="s">
        <v>30</v>
      </c>
      <c r="C6645">
        <v>201</v>
      </c>
      <c r="D6645">
        <v>7</v>
      </c>
      <c r="E6645">
        <v>1</v>
      </c>
      <c r="F6645" t="s">
        <v>1139</v>
      </c>
      <c r="G6645" t="s">
        <v>32</v>
      </c>
      <c r="H6645" t="s">
        <v>33</v>
      </c>
      <c r="I6645" t="s">
        <v>72</v>
      </c>
      <c r="J6645" t="s">
        <v>56</v>
      </c>
      <c r="AB6645" t="s">
        <v>47</v>
      </c>
      <c r="AC6645" t="s">
        <v>1140</v>
      </c>
    </row>
    <row r="6646" spans="1:29" x14ac:dyDescent="0.35">
      <c r="A6646" s="7">
        <v>43264</v>
      </c>
      <c r="B6646" t="s">
        <v>30</v>
      </c>
      <c r="C6646">
        <v>203</v>
      </c>
      <c r="D6646">
        <v>3</v>
      </c>
      <c r="E6646">
        <v>1</v>
      </c>
      <c r="F6646" t="s">
        <v>1139</v>
      </c>
      <c r="G6646" t="s">
        <v>32</v>
      </c>
      <c r="H6646" t="s">
        <v>33</v>
      </c>
      <c r="I6646" t="s">
        <v>72</v>
      </c>
      <c r="J6646" t="s">
        <v>56</v>
      </c>
      <c r="AB6646" t="s">
        <v>47</v>
      </c>
      <c r="AC6646" t="s">
        <v>1140</v>
      </c>
    </row>
    <row r="6647" spans="1:29" x14ac:dyDescent="0.35">
      <c r="A6647" s="7">
        <v>43264</v>
      </c>
      <c r="B6647" t="s">
        <v>30</v>
      </c>
      <c r="C6647">
        <v>203</v>
      </c>
      <c r="D6647">
        <v>6</v>
      </c>
      <c r="E6647">
        <v>1</v>
      </c>
      <c r="F6647" t="s">
        <v>1139</v>
      </c>
      <c r="G6647" t="s">
        <v>32</v>
      </c>
      <c r="H6647" t="s">
        <v>33</v>
      </c>
      <c r="I6647" t="s">
        <v>72</v>
      </c>
      <c r="J6647" t="s">
        <v>56</v>
      </c>
      <c r="AB6647" t="s">
        <v>47</v>
      </c>
      <c r="AC6647" t="s">
        <v>1140</v>
      </c>
    </row>
    <row r="6648" spans="1:29" x14ac:dyDescent="0.35">
      <c r="A6648" s="7">
        <v>43264</v>
      </c>
      <c r="B6648" t="s">
        <v>30</v>
      </c>
      <c r="C6648">
        <v>111</v>
      </c>
      <c r="D6648">
        <v>2</v>
      </c>
      <c r="E6648">
        <v>1</v>
      </c>
      <c r="F6648" t="s">
        <v>1020</v>
      </c>
      <c r="G6648" t="s">
        <v>32</v>
      </c>
      <c r="H6648" t="s">
        <v>33</v>
      </c>
      <c r="I6648" t="s">
        <v>84</v>
      </c>
      <c r="AB6648" t="s">
        <v>60</v>
      </c>
      <c r="AC6648" t="s">
        <v>87</v>
      </c>
    </row>
    <row r="6649" spans="1:29" x14ac:dyDescent="0.35">
      <c r="A6649" s="7">
        <v>43264</v>
      </c>
      <c r="B6649" t="s">
        <v>30</v>
      </c>
      <c r="C6649">
        <v>111</v>
      </c>
      <c r="D6649">
        <v>5</v>
      </c>
      <c r="E6649">
        <v>1</v>
      </c>
      <c r="F6649" t="s">
        <v>1020</v>
      </c>
      <c r="G6649" t="s">
        <v>32</v>
      </c>
      <c r="H6649" t="s">
        <v>33</v>
      </c>
      <c r="I6649" t="s">
        <v>59</v>
      </c>
      <c r="AB6649" t="s">
        <v>60</v>
      </c>
      <c r="AC6649" t="s">
        <v>87</v>
      </c>
    </row>
    <row r="6650" spans="1:29" x14ac:dyDescent="0.35">
      <c r="A6650" s="7">
        <v>43264</v>
      </c>
      <c r="B6650" t="s">
        <v>30</v>
      </c>
      <c r="C6650">
        <v>111</v>
      </c>
      <c r="D6650">
        <v>6</v>
      </c>
      <c r="E6650">
        <v>2</v>
      </c>
      <c r="F6650" t="s">
        <v>1020</v>
      </c>
      <c r="G6650" t="s">
        <v>32</v>
      </c>
      <c r="H6650" t="s">
        <v>33</v>
      </c>
      <c r="I6650" t="s">
        <v>59</v>
      </c>
      <c r="AB6650" t="s">
        <v>60</v>
      </c>
      <c r="AC6650" t="s">
        <v>87</v>
      </c>
    </row>
    <row r="6651" spans="1:29" x14ac:dyDescent="0.35">
      <c r="A6651" s="7">
        <v>43264</v>
      </c>
      <c r="B6651" t="s">
        <v>30</v>
      </c>
      <c r="C6651">
        <v>111</v>
      </c>
      <c r="D6651">
        <v>8</v>
      </c>
      <c r="E6651">
        <v>1</v>
      </c>
      <c r="F6651" t="s">
        <v>1020</v>
      </c>
      <c r="G6651" t="s">
        <v>32</v>
      </c>
      <c r="H6651" t="s">
        <v>33</v>
      </c>
      <c r="I6651" t="s">
        <v>59</v>
      </c>
      <c r="AB6651" t="s">
        <v>60</v>
      </c>
      <c r="AC6651" t="s">
        <v>87</v>
      </c>
    </row>
    <row r="6652" spans="1:29" x14ac:dyDescent="0.35">
      <c r="A6652" s="7">
        <v>43264</v>
      </c>
      <c r="B6652" t="s">
        <v>30</v>
      </c>
      <c r="C6652">
        <v>111</v>
      </c>
      <c r="D6652">
        <v>9</v>
      </c>
      <c r="E6652">
        <v>1</v>
      </c>
      <c r="F6652" t="s">
        <v>1020</v>
      </c>
      <c r="G6652" t="s">
        <v>32</v>
      </c>
      <c r="H6652" t="s">
        <v>33</v>
      </c>
      <c r="I6652" t="s">
        <v>59</v>
      </c>
      <c r="AB6652" t="s">
        <v>60</v>
      </c>
      <c r="AC6652" t="s">
        <v>87</v>
      </c>
    </row>
    <row r="6653" spans="1:29" x14ac:dyDescent="0.35">
      <c r="A6653" s="7">
        <v>43264</v>
      </c>
      <c r="B6653" t="s">
        <v>30</v>
      </c>
      <c r="C6653">
        <v>111</v>
      </c>
      <c r="D6653">
        <v>10</v>
      </c>
      <c r="E6653">
        <v>1</v>
      </c>
      <c r="F6653" t="s">
        <v>1020</v>
      </c>
      <c r="G6653" t="s">
        <v>32</v>
      </c>
      <c r="H6653" t="s">
        <v>33</v>
      </c>
      <c r="I6653" t="s">
        <v>59</v>
      </c>
      <c r="AB6653" t="s">
        <v>60</v>
      </c>
      <c r="AC6653" t="s">
        <v>87</v>
      </c>
    </row>
    <row r="6654" spans="1:29" x14ac:dyDescent="0.35">
      <c r="A6654" s="7">
        <v>43264</v>
      </c>
      <c r="B6654" t="s">
        <v>30</v>
      </c>
      <c r="C6654">
        <v>112</v>
      </c>
      <c r="D6654">
        <v>9</v>
      </c>
      <c r="E6654">
        <v>1</v>
      </c>
      <c r="F6654" t="s">
        <v>1020</v>
      </c>
      <c r="G6654" t="s">
        <v>32</v>
      </c>
      <c r="H6654" t="s">
        <v>33</v>
      </c>
      <c r="I6654" t="s">
        <v>59</v>
      </c>
      <c r="AB6654" t="s">
        <v>60</v>
      </c>
      <c r="AC6654" t="s">
        <v>87</v>
      </c>
    </row>
    <row r="6655" spans="1:29" x14ac:dyDescent="0.35">
      <c r="A6655" s="7">
        <v>43264</v>
      </c>
      <c r="B6655" t="s">
        <v>30</v>
      </c>
      <c r="C6655">
        <v>113</v>
      </c>
      <c r="D6655">
        <v>4</v>
      </c>
      <c r="E6655">
        <v>1</v>
      </c>
      <c r="F6655" t="s">
        <v>1020</v>
      </c>
      <c r="G6655" t="s">
        <v>32</v>
      </c>
      <c r="H6655" t="s">
        <v>33</v>
      </c>
      <c r="I6655" t="s">
        <v>59</v>
      </c>
      <c r="AB6655" t="s">
        <v>60</v>
      </c>
      <c r="AC6655" t="s">
        <v>87</v>
      </c>
    </row>
    <row r="6656" spans="1:29" x14ac:dyDescent="0.35">
      <c r="A6656" s="7">
        <v>43264</v>
      </c>
      <c r="B6656" t="s">
        <v>30</v>
      </c>
      <c r="C6656">
        <v>113</v>
      </c>
      <c r="D6656">
        <v>6</v>
      </c>
      <c r="E6656">
        <v>1</v>
      </c>
      <c r="F6656" t="s">
        <v>1020</v>
      </c>
      <c r="G6656" t="s">
        <v>32</v>
      </c>
      <c r="H6656" t="s">
        <v>33</v>
      </c>
      <c r="I6656" t="s">
        <v>59</v>
      </c>
      <c r="AB6656" t="s">
        <v>60</v>
      </c>
      <c r="AC6656" t="s">
        <v>87</v>
      </c>
    </row>
    <row r="6657" spans="1:29" x14ac:dyDescent="0.35">
      <c r="A6657" s="7">
        <v>43264</v>
      </c>
      <c r="B6657" t="s">
        <v>30</v>
      </c>
      <c r="C6657">
        <v>113</v>
      </c>
      <c r="D6657">
        <v>10</v>
      </c>
      <c r="E6657">
        <v>1</v>
      </c>
      <c r="F6657" t="s">
        <v>1020</v>
      </c>
      <c r="G6657" t="s">
        <v>32</v>
      </c>
      <c r="H6657" t="s">
        <v>33</v>
      </c>
      <c r="I6657" t="s">
        <v>59</v>
      </c>
      <c r="AB6657" t="s">
        <v>60</v>
      </c>
      <c r="AC6657" t="s">
        <v>87</v>
      </c>
    </row>
    <row r="6658" spans="1:29" x14ac:dyDescent="0.35">
      <c r="A6658" s="7">
        <v>43264</v>
      </c>
      <c r="B6658" t="s">
        <v>30</v>
      </c>
      <c r="C6658">
        <v>202</v>
      </c>
      <c r="D6658">
        <v>1</v>
      </c>
      <c r="E6658">
        <v>1</v>
      </c>
      <c r="F6658" t="s">
        <v>1139</v>
      </c>
      <c r="G6658" t="s">
        <v>32</v>
      </c>
      <c r="H6658" t="s">
        <v>33</v>
      </c>
      <c r="I6658" t="s">
        <v>59</v>
      </c>
      <c r="AB6658" t="s">
        <v>47</v>
      </c>
      <c r="AC6658" t="s">
        <v>1140</v>
      </c>
    </row>
    <row r="6659" spans="1:29" x14ac:dyDescent="0.35">
      <c r="A6659" s="7">
        <v>43264</v>
      </c>
      <c r="B6659" t="s">
        <v>30</v>
      </c>
      <c r="C6659">
        <v>202</v>
      </c>
      <c r="D6659">
        <v>3</v>
      </c>
      <c r="E6659">
        <v>1</v>
      </c>
      <c r="F6659" t="s">
        <v>1139</v>
      </c>
      <c r="G6659" t="s">
        <v>32</v>
      </c>
      <c r="H6659" t="s">
        <v>33</v>
      </c>
      <c r="I6659" t="s">
        <v>59</v>
      </c>
      <c r="AB6659" t="s">
        <v>47</v>
      </c>
      <c r="AC6659" t="s">
        <v>1140</v>
      </c>
    </row>
    <row r="6660" spans="1:29" x14ac:dyDescent="0.35">
      <c r="A6660" s="7">
        <v>43264</v>
      </c>
      <c r="B6660" t="s">
        <v>30</v>
      </c>
      <c r="C6660">
        <v>202</v>
      </c>
      <c r="D6660">
        <v>4</v>
      </c>
      <c r="E6660">
        <v>1</v>
      </c>
      <c r="F6660" t="s">
        <v>1139</v>
      </c>
      <c r="G6660" t="s">
        <v>32</v>
      </c>
      <c r="H6660" t="s">
        <v>33</v>
      </c>
      <c r="I6660" t="s">
        <v>59</v>
      </c>
      <c r="AB6660" t="s">
        <v>47</v>
      </c>
      <c r="AC6660" t="s">
        <v>1140</v>
      </c>
    </row>
    <row r="6661" spans="1:29" x14ac:dyDescent="0.35">
      <c r="A6661" s="7">
        <v>43264</v>
      </c>
      <c r="B6661" t="s">
        <v>30</v>
      </c>
      <c r="C6661">
        <v>202</v>
      </c>
      <c r="D6661">
        <v>4</v>
      </c>
      <c r="E6661">
        <v>2</v>
      </c>
      <c r="F6661" t="s">
        <v>1139</v>
      </c>
      <c r="G6661" t="s">
        <v>32</v>
      </c>
      <c r="H6661" t="s">
        <v>33</v>
      </c>
      <c r="I6661" t="s">
        <v>59</v>
      </c>
      <c r="AB6661" t="s">
        <v>47</v>
      </c>
      <c r="AC6661" t="s">
        <v>1140</v>
      </c>
    </row>
    <row r="6662" spans="1:29" x14ac:dyDescent="0.35">
      <c r="A6662" s="7">
        <v>43264</v>
      </c>
      <c r="B6662" t="s">
        <v>30</v>
      </c>
      <c r="C6662">
        <v>202</v>
      </c>
      <c r="D6662">
        <v>5</v>
      </c>
      <c r="E6662">
        <v>1</v>
      </c>
      <c r="F6662" t="s">
        <v>1139</v>
      </c>
      <c r="G6662" t="s">
        <v>32</v>
      </c>
      <c r="H6662" t="s">
        <v>33</v>
      </c>
      <c r="I6662" t="s">
        <v>59</v>
      </c>
      <c r="AB6662" t="s">
        <v>47</v>
      </c>
      <c r="AC6662" t="s">
        <v>1140</v>
      </c>
    </row>
    <row r="6663" spans="1:29" x14ac:dyDescent="0.35">
      <c r="A6663" s="7">
        <v>43264</v>
      </c>
      <c r="B6663" t="s">
        <v>30</v>
      </c>
      <c r="C6663">
        <v>202</v>
      </c>
      <c r="D6663">
        <v>5</v>
      </c>
      <c r="E6663">
        <v>2</v>
      </c>
      <c r="F6663" t="s">
        <v>1139</v>
      </c>
      <c r="G6663" t="s">
        <v>32</v>
      </c>
      <c r="H6663" t="s">
        <v>33</v>
      </c>
      <c r="I6663" t="s">
        <v>59</v>
      </c>
      <c r="AB6663" t="s">
        <v>47</v>
      </c>
      <c r="AC6663" t="s">
        <v>1140</v>
      </c>
    </row>
    <row r="6664" spans="1:29" x14ac:dyDescent="0.35">
      <c r="A6664" s="7">
        <v>43264</v>
      </c>
      <c r="B6664" t="s">
        <v>30</v>
      </c>
      <c r="C6664">
        <v>203</v>
      </c>
      <c r="D6664">
        <v>6</v>
      </c>
      <c r="E6664">
        <v>2</v>
      </c>
      <c r="F6664" t="s">
        <v>1139</v>
      </c>
      <c r="G6664" t="s">
        <v>32</v>
      </c>
      <c r="H6664" t="s">
        <v>33</v>
      </c>
      <c r="I6664" t="s">
        <v>59</v>
      </c>
      <c r="AB6664" t="s">
        <v>47</v>
      </c>
      <c r="AC6664" t="s">
        <v>1140</v>
      </c>
    </row>
    <row r="6665" spans="1:29" x14ac:dyDescent="0.35">
      <c r="A6665" s="7">
        <v>43264</v>
      </c>
      <c r="B6665" t="s">
        <v>30</v>
      </c>
      <c r="C6665">
        <v>304</v>
      </c>
      <c r="D6665">
        <v>4</v>
      </c>
      <c r="E6665">
        <v>1</v>
      </c>
      <c r="F6665" t="s">
        <v>1139</v>
      </c>
      <c r="G6665" t="s">
        <v>32</v>
      </c>
      <c r="H6665" t="s">
        <v>33</v>
      </c>
      <c r="I6665" t="s">
        <v>59</v>
      </c>
      <c r="AB6665" t="s">
        <v>47</v>
      </c>
      <c r="AC6665" t="s">
        <v>1140</v>
      </c>
    </row>
    <row r="6666" spans="1:29" x14ac:dyDescent="0.35">
      <c r="A6666" s="7">
        <v>43264</v>
      </c>
      <c r="B6666" t="s">
        <v>30</v>
      </c>
      <c r="C6666">
        <v>304</v>
      </c>
      <c r="D6666">
        <v>4</v>
      </c>
      <c r="E6666">
        <v>2</v>
      </c>
      <c r="F6666" t="s">
        <v>1139</v>
      </c>
      <c r="G6666" t="s">
        <v>32</v>
      </c>
      <c r="H6666" t="s">
        <v>33</v>
      </c>
      <c r="I6666" t="s">
        <v>59</v>
      </c>
      <c r="AB6666" t="s">
        <v>47</v>
      </c>
      <c r="AC6666" t="s">
        <v>1140</v>
      </c>
    </row>
    <row r="6667" spans="1:29" x14ac:dyDescent="0.35">
      <c r="A6667" s="7">
        <v>43264</v>
      </c>
      <c r="B6667" t="s">
        <v>30</v>
      </c>
      <c r="C6667">
        <v>304</v>
      </c>
      <c r="D6667">
        <v>7</v>
      </c>
      <c r="E6667">
        <v>1</v>
      </c>
      <c r="F6667" t="s">
        <v>1139</v>
      </c>
      <c r="G6667" t="s">
        <v>32</v>
      </c>
      <c r="H6667" t="s">
        <v>33</v>
      </c>
      <c r="I6667" t="s">
        <v>59</v>
      </c>
      <c r="AB6667" t="s">
        <v>47</v>
      </c>
      <c r="AC6667" t="s">
        <v>1140</v>
      </c>
    </row>
    <row r="6668" spans="1:29" x14ac:dyDescent="0.35">
      <c r="A6668" s="7">
        <v>43269</v>
      </c>
      <c r="B6668" t="s">
        <v>30</v>
      </c>
      <c r="C6668">
        <v>303</v>
      </c>
      <c r="D6668">
        <v>4</v>
      </c>
      <c r="E6668">
        <v>1</v>
      </c>
      <c r="F6668" t="s">
        <v>1170</v>
      </c>
      <c r="G6668" t="s">
        <v>32</v>
      </c>
      <c r="H6668" t="s">
        <v>33</v>
      </c>
      <c r="I6668" t="s">
        <v>43</v>
      </c>
      <c r="J6668" t="s">
        <v>44</v>
      </c>
      <c r="K6668" t="s">
        <v>36</v>
      </c>
      <c r="L6668" t="s">
        <v>45</v>
      </c>
      <c r="M6668">
        <v>0</v>
      </c>
      <c r="N6668">
        <v>0</v>
      </c>
      <c r="O6668">
        <v>2903</v>
      </c>
      <c r="P6668">
        <v>2901</v>
      </c>
      <c r="Q6668">
        <f>36-17</f>
        <v>19</v>
      </c>
      <c r="R6668" t="s">
        <v>1021</v>
      </c>
      <c r="S6668" t="s">
        <v>102</v>
      </c>
      <c r="AB6668" t="s">
        <v>742</v>
      </c>
      <c r="AC6668" t="s">
        <v>87</v>
      </c>
    </row>
    <row r="6669" spans="1:29" x14ac:dyDescent="0.35">
      <c r="A6669" s="7">
        <v>43269</v>
      </c>
      <c r="B6669" t="s">
        <v>30</v>
      </c>
      <c r="C6669">
        <v>303</v>
      </c>
      <c r="D6669">
        <v>6</v>
      </c>
      <c r="E6669">
        <v>1</v>
      </c>
      <c r="F6669" t="s">
        <v>1170</v>
      </c>
      <c r="G6669" t="s">
        <v>32</v>
      </c>
      <c r="H6669" t="s">
        <v>33</v>
      </c>
      <c r="I6669" t="s">
        <v>43</v>
      </c>
      <c r="J6669" t="s">
        <v>44</v>
      </c>
      <c r="K6669" t="s">
        <v>36</v>
      </c>
      <c r="L6669" t="s">
        <v>45</v>
      </c>
      <c r="M6669">
        <v>0</v>
      </c>
      <c r="N6669">
        <v>0</v>
      </c>
      <c r="O6669">
        <v>2712</v>
      </c>
      <c r="P6669">
        <v>2711</v>
      </c>
      <c r="Q6669">
        <f>35-16</f>
        <v>19</v>
      </c>
      <c r="R6669" t="s">
        <v>1028</v>
      </c>
      <c r="S6669" t="s">
        <v>102</v>
      </c>
      <c r="AB6669" t="s">
        <v>742</v>
      </c>
      <c r="AC6669" t="s">
        <v>87</v>
      </c>
    </row>
    <row r="6670" spans="1:29" x14ac:dyDescent="0.35">
      <c r="A6670" s="7">
        <v>43269</v>
      </c>
      <c r="B6670" t="s">
        <v>30</v>
      </c>
      <c r="C6670">
        <v>401</v>
      </c>
      <c r="D6670">
        <v>4</v>
      </c>
      <c r="E6670">
        <v>1</v>
      </c>
      <c r="F6670" t="s">
        <v>1170</v>
      </c>
      <c r="G6670" t="s">
        <v>32</v>
      </c>
      <c r="H6670" t="s">
        <v>33</v>
      </c>
      <c r="I6670" t="s">
        <v>43</v>
      </c>
      <c r="J6670" t="s">
        <v>44</v>
      </c>
      <c r="K6670" t="s">
        <v>36</v>
      </c>
      <c r="L6670" t="s">
        <v>45</v>
      </c>
      <c r="M6670">
        <v>0</v>
      </c>
      <c r="N6670">
        <v>0</v>
      </c>
      <c r="O6670">
        <v>2911</v>
      </c>
      <c r="P6670">
        <v>2910</v>
      </c>
      <c r="Q6670">
        <f>42-17</f>
        <v>25</v>
      </c>
      <c r="R6670" t="s">
        <v>1021</v>
      </c>
      <c r="S6670" t="s">
        <v>102</v>
      </c>
      <c r="AB6670" t="s">
        <v>742</v>
      </c>
      <c r="AC6670" t="s">
        <v>87</v>
      </c>
    </row>
    <row r="6671" spans="1:29" x14ac:dyDescent="0.35">
      <c r="A6671" s="7">
        <v>43269</v>
      </c>
      <c r="B6671" t="s">
        <v>30</v>
      </c>
      <c r="C6671">
        <v>501</v>
      </c>
      <c r="D6671">
        <v>2</v>
      </c>
      <c r="E6671">
        <v>1</v>
      </c>
      <c r="F6671" t="s">
        <v>1170</v>
      </c>
      <c r="G6671" t="s">
        <v>32</v>
      </c>
      <c r="H6671" t="s">
        <v>33</v>
      </c>
      <c r="I6671" t="s">
        <v>43</v>
      </c>
      <c r="J6671" t="s">
        <v>92</v>
      </c>
      <c r="K6671" t="s">
        <v>88</v>
      </c>
      <c r="M6671">
        <v>0</v>
      </c>
      <c r="N6671">
        <v>1</v>
      </c>
      <c r="O6671">
        <v>1002</v>
      </c>
      <c r="P6671">
        <v>1001</v>
      </c>
      <c r="Q6671">
        <f>21-11</f>
        <v>10</v>
      </c>
      <c r="AB6671" t="s">
        <v>742</v>
      </c>
      <c r="AC6671" t="s">
        <v>87</v>
      </c>
    </row>
    <row r="6672" spans="1:29" x14ac:dyDescent="0.35">
      <c r="A6672" s="7">
        <v>43269</v>
      </c>
      <c r="B6672" t="s">
        <v>30</v>
      </c>
      <c r="C6672">
        <v>701</v>
      </c>
      <c r="D6672">
        <v>2</v>
      </c>
      <c r="E6672">
        <v>1</v>
      </c>
      <c r="F6672" t="s">
        <v>1139</v>
      </c>
      <c r="G6672" t="s">
        <v>32</v>
      </c>
      <c r="H6672" t="s">
        <v>33</v>
      </c>
      <c r="I6672" t="s">
        <v>43</v>
      </c>
      <c r="J6672" t="s">
        <v>35</v>
      </c>
      <c r="K6672" t="s">
        <v>36</v>
      </c>
      <c r="L6672" t="s">
        <v>45</v>
      </c>
      <c r="M6672">
        <v>0</v>
      </c>
      <c r="N6672">
        <v>1</v>
      </c>
      <c r="O6672">
        <v>2471</v>
      </c>
      <c r="P6672">
        <v>2470</v>
      </c>
      <c r="Q6672">
        <f>38-14</f>
        <v>24</v>
      </c>
      <c r="R6672" t="s">
        <v>1021</v>
      </c>
      <c r="S6672" t="s">
        <v>102</v>
      </c>
      <c r="AB6672" t="s">
        <v>742</v>
      </c>
      <c r="AC6672" t="s">
        <v>87</v>
      </c>
    </row>
    <row r="6673" spans="1:29" x14ac:dyDescent="0.35">
      <c r="A6673" s="7">
        <v>43269</v>
      </c>
      <c r="B6673" t="s">
        <v>30</v>
      </c>
      <c r="C6673">
        <v>703</v>
      </c>
      <c r="D6673">
        <v>6</v>
      </c>
      <c r="E6673">
        <v>1</v>
      </c>
      <c r="F6673" t="s">
        <v>1139</v>
      </c>
      <c r="G6673" t="s">
        <v>32</v>
      </c>
      <c r="H6673" t="s">
        <v>33</v>
      </c>
      <c r="I6673" t="s">
        <v>43</v>
      </c>
      <c r="J6673" t="s">
        <v>35</v>
      </c>
      <c r="K6673" t="s">
        <v>36</v>
      </c>
      <c r="L6673" t="s">
        <v>45</v>
      </c>
      <c r="M6673">
        <v>0</v>
      </c>
      <c r="N6673">
        <v>1</v>
      </c>
      <c r="O6673">
        <v>1165</v>
      </c>
      <c r="P6673">
        <v>1164</v>
      </c>
      <c r="Q6673">
        <f>36-15</f>
        <v>21</v>
      </c>
      <c r="R6673" t="s">
        <v>1021</v>
      </c>
      <c r="S6673" t="s">
        <v>102</v>
      </c>
      <c r="AB6673" t="s">
        <v>742</v>
      </c>
      <c r="AC6673" t="s">
        <v>87</v>
      </c>
    </row>
    <row r="6674" spans="1:29" x14ac:dyDescent="0.35">
      <c r="A6674" s="7">
        <v>43269</v>
      </c>
      <c r="B6674" t="s">
        <v>30</v>
      </c>
      <c r="C6674">
        <v>703</v>
      </c>
      <c r="D6674">
        <v>8</v>
      </c>
      <c r="E6674">
        <v>1</v>
      </c>
      <c r="F6674" t="s">
        <v>1139</v>
      </c>
      <c r="G6674" t="s">
        <v>32</v>
      </c>
      <c r="H6674" t="s">
        <v>33</v>
      </c>
      <c r="I6674" t="s">
        <v>43</v>
      </c>
      <c r="J6674" t="s">
        <v>44</v>
      </c>
      <c r="K6674" t="s">
        <v>36</v>
      </c>
      <c r="L6674" t="s">
        <v>45</v>
      </c>
      <c r="M6674">
        <v>0</v>
      </c>
      <c r="N6674">
        <v>0</v>
      </c>
      <c r="O6674">
        <v>2469</v>
      </c>
      <c r="P6674">
        <v>2468</v>
      </c>
      <c r="Q6674">
        <f>32-13</f>
        <v>19</v>
      </c>
      <c r="R6674" t="s">
        <v>1021</v>
      </c>
      <c r="S6674" t="s">
        <v>102</v>
      </c>
      <c r="AB6674" t="s">
        <v>742</v>
      </c>
      <c r="AC6674" t="s">
        <v>87</v>
      </c>
    </row>
    <row r="6675" spans="1:29" x14ac:dyDescent="0.35">
      <c r="A6675" s="7">
        <v>43269</v>
      </c>
      <c r="B6675" t="s">
        <v>30</v>
      </c>
      <c r="C6675">
        <v>801</v>
      </c>
      <c r="D6675">
        <v>3</v>
      </c>
      <c r="E6675">
        <v>1</v>
      </c>
      <c r="F6675" t="s">
        <v>1139</v>
      </c>
      <c r="G6675" t="s">
        <v>32</v>
      </c>
      <c r="H6675" t="s">
        <v>33</v>
      </c>
      <c r="I6675" t="s">
        <v>43</v>
      </c>
      <c r="J6675" t="s">
        <v>44</v>
      </c>
      <c r="K6675" t="s">
        <v>36</v>
      </c>
      <c r="L6675" t="s">
        <v>37</v>
      </c>
      <c r="M6675">
        <v>0</v>
      </c>
      <c r="N6675">
        <v>0</v>
      </c>
      <c r="O6675">
        <v>2426</v>
      </c>
      <c r="P6675">
        <v>2425</v>
      </c>
      <c r="Q6675">
        <f>45-24</f>
        <v>21</v>
      </c>
      <c r="R6675" t="s">
        <v>64</v>
      </c>
      <c r="AB6675" t="s">
        <v>742</v>
      </c>
      <c r="AC6675" t="s">
        <v>87</v>
      </c>
    </row>
    <row r="6676" spans="1:29" x14ac:dyDescent="0.35">
      <c r="A6676" s="7">
        <v>43269</v>
      </c>
      <c r="B6676" t="s">
        <v>30</v>
      </c>
      <c r="C6676">
        <v>801</v>
      </c>
      <c r="D6676">
        <v>5</v>
      </c>
      <c r="E6676">
        <v>2</v>
      </c>
      <c r="F6676" t="s">
        <v>1139</v>
      </c>
      <c r="G6676" t="s">
        <v>32</v>
      </c>
      <c r="H6676" t="s">
        <v>33</v>
      </c>
      <c r="I6676" t="s">
        <v>43</v>
      </c>
      <c r="J6676" t="s">
        <v>35</v>
      </c>
      <c r="K6676" t="s">
        <v>36</v>
      </c>
      <c r="L6676" t="s">
        <v>37</v>
      </c>
      <c r="M6676">
        <v>0</v>
      </c>
      <c r="N6676">
        <v>1</v>
      </c>
      <c r="O6676">
        <v>1168</v>
      </c>
      <c r="P6676">
        <v>1167</v>
      </c>
      <c r="Q6676">
        <f>37-18</f>
        <v>19</v>
      </c>
      <c r="R6676" t="s">
        <v>38</v>
      </c>
      <c r="AB6676" t="s">
        <v>742</v>
      </c>
      <c r="AC6676" t="s">
        <v>87</v>
      </c>
    </row>
    <row r="6677" spans="1:29" x14ac:dyDescent="0.35">
      <c r="A6677" s="7">
        <v>43269</v>
      </c>
      <c r="B6677" t="s">
        <v>30</v>
      </c>
      <c r="C6677">
        <v>801</v>
      </c>
      <c r="D6677">
        <v>7</v>
      </c>
      <c r="E6677">
        <v>1</v>
      </c>
      <c r="F6677" t="s">
        <v>1139</v>
      </c>
      <c r="G6677" t="s">
        <v>32</v>
      </c>
      <c r="H6677" t="s">
        <v>33</v>
      </c>
      <c r="I6677" t="s">
        <v>43</v>
      </c>
      <c r="J6677" t="s">
        <v>44</v>
      </c>
      <c r="K6677" t="s">
        <v>36</v>
      </c>
      <c r="L6677" t="s">
        <v>37</v>
      </c>
      <c r="M6677">
        <v>0</v>
      </c>
      <c r="N6677">
        <v>0</v>
      </c>
      <c r="O6677">
        <v>2421</v>
      </c>
      <c r="P6677">
        <v>2420</v>
      </c>
      <c r="Q6677">
        <f>34-14</f>
        <v>20</v>
      </c>
      <c r="R6677" t="s">
        <v>64</v>
      </c>
      <c r="AB6677" t="s">
        <v>742</v>
      </c>
      <c r="AC6677" t="s">
        <v>87</v>
      </c>
    </row>
    <row r="6678" spans="1:29" x14ac:dyDescent="0.35">
      <c r="A6678" s="7">
        <v>43269</v>
      </c>
      <c r="B6678" t="s">
        <v>30</v>
      </c>
      <c r="C6678">
        <v>803</v>
      </c>
      <c r="D6678">
        <v>7</v>
      </c>
      <c r="E6678">
        <v>1</v>
      </c>
      <c r="F6678" t="s">
        <v>1139</v>
      </c>
      <c r="G6678" t="s">
        <v>32</v>
      </c>
      <c r="H6678" t="s">
        <v>33</v>
      </c>
      <c r="I6678" t="s">
        <v>43</v>
      </c>
      <c r="J6678" t="s">
        <v>35</v>
      </c>
      <c r="K6678" t="s">
        <v>36</v>
      </c>
      <c r="L6678" t="s">
        <v>37</v>
      </c>
      <c r="M6678">
        <v>0</v>
      </c>
      <c r="N6678">
        <v>1</v>
      </c>
      <c r="O6678">
        <v>1170</v>
      </c>
      <c r="P6678">
        <v>1169</v>
      </c>
      <c r="Q6678">
        <f>37-16</f>
        <v>21</v>
      </c>
      <c r="R6678" t="s">
        <v>38</v>
      </c>
      <c r="AB6678" t="s">
        <v>742</v>
      </c>
      <c r="AC6678" t="s">
        <v>87</v>
      </c>
    </row>
    <row r="6679" spans="1:29" x14ac:dyDescent="0.35">
      <c r="A6679" s="7">
        <v>43269</v>
      </c>
      <c r="B6679" t="s">
        <v>30</v>
      </c>
      <c r="C6679">
        <v>901</v>
      </c>
      <c r="D6679">
        <v>8</v>
      </c>
      <c r="E6679">
        <v>1</v>
      </c>
      <c r="F6679" t="s">
        <v>1139</v>
      </c>
      <c r="G6679" t="s">
        <v>32</v>
      </c>
      <c r="H6679" t="s">
        <v>33</v>
      </c>
      <c r="I6679" t="s">
        <v>43</v>
      </c>
      <c r="J6679" t="s">
        <v>35</v>
      </c>
      <c r="K6679" t="s">
        <v>36</v>
      </c>
      <c r="L6679" t="s">
        <v>37</v>
      </c>
      <c r="M6679">
        <v>0</v>
      </c>
      <c r="N6679">
        <v>1</v>
      </c>
      <c r="O6679">
        <v>1174</v>
      </c>
      <c r="P6679">
        <v>1173</v>
      </c>
      <c r="Q6679">
        <f>35-15</f>
        <v>20</v>
      </c>
      <c r="R6679" t="s">
        <v>38</v>
      </c>
      <c r="AB6679" t="s">
        <v>742</v>
      </c>
      <c r="AC6679" t="s">
        <v>87</v>
      </c>
    </row>
    <row r="6680" spans="1:29" x14ac:dyDescent="0.35">
      <c r="A6680" s="7">
        <v>43269</v>
      </c>
      <c r="B6680" t="s">
        <v>30</v>
      </c>
      <c r="C6680">
        <v>901</v>
      </c>
      <c r="D6680">
        <v>9</v>
      </c>
      <c r="E6680">
        <v>1</v>
      </c>
      <c r="F6680" t="s">
        <v>1139</v>
      </c>
      <c r="G6680" t="s">
        <v>32</v>
      </c>
      <c r="H6680" t="s">
        <v>33</v>
      </c>
      <c r="I6680" t="s">
        <v>43</v>
      </c>
      <c r="J6680" t="s">
        <v>35</v>
      </c>
      <c r="K6680" t="s">
        <v>36</v>
      </c>
      <c r="L6680" t="s">
        <v>37</v>
      </c>
      <c r="M6680">
        <v>0</v>
      </c>
      <c r="N6680">
        <v>1</v>
      </c>
      <c r="O6680">
        <v>1075</v>
      </c>
      <c r="P6680">
        <v>1074</v>
      </c>
      <c r="Q6680">
        <f>35-15</f>
        <v>20</v>
      </c>
      <c r="R6680" t="s">
        <v>64</v>
      </c>
      <c r="AB6680" t="s">
        <v>742</v>
      </c>
      <c r="AC6680" t="s">
        <v>87</v>
      </c>
    </row>
    <row r="6681" spans="1:29" x14ac:dyDescent="0.35">
      <c r="A6681" s="7">
        <v>43269</v>
      </c>
      <c r="B6681" t="s">
        <v>30</v>
      </c>
      <c r="C6681">
        <v>501</v>
      </c>
      <c r="D6681">
        <v>4</v>
      </c>
      <c r="E6681">
        <v>2</v>
      </c>
      <c r="F6681" t="s">
        <v>1170</v>
      </c>
      <c r="G6681" t="s">
        <v>32</v>
      </c>
      <c r="H6681" t="s">
        <v>33</v>
      </c>
      <c r="I6681" t="s">
        <v>34</v>
      </c>
      <c r="J6681" t="s">
        <v>92</v>
      </c>
      <c r="AB6681" t="s">
        <v>742</v>
      </c>
      <c r="AC6681" t="s">
        <v>87</v>
      </c>
    </row>
    <row r="6682" spans="1:29" x14ac:dyDescent="0.35">
      <c r="A6682" s="7">
        <v>43269</v>
      </c>
      <c r="B6682" t="s">
        <v>30</v>
      </c>
      <c r="C6682">
        <v>801</v>
      </c>
      <c r="D6682">
        <v>9</v>
      </c>
      <c r="E6682">
        <v>1</v>
      </c>
      <c r="F6682" t="s">
        <v>1139</v>
      </c>
      <c r="G6682" t="s">
        <v>32</v>
      </c>
      <c r="H6682" t="s">
        <v>33</v>
      </c>
      <c r="I6682" t="s">
        <v>34</v>
      </c>
      <c r="J6682" t="s">
        <v>44</v>
      </c>
      <c r="K6682" t="s">
        <v>36</v>
      </c>
      <c r="L6682" t="s">
        <v>37</v>
      </c>
      <c r="M6682">
        <v>0</v>
      </c>
      <c r="N6682">
        <v>0</v>
      </c>
      <c r="O6682">
        <v>2452</v>
      </c>
      <c r="Q6682">
        <f>200-110</f>
        <v>90</v>
      </c>
      <c r="R6682" t="s">
        <v>64</v>
      </c>
      <c r="AB6682" t="s">
        <v>742</v>
      </c>
      <c r="AC6682" t="s">
        <v>87</v>
      </c>
    </row>
    <row r="6683" spans="1:29" x14ac:dyDescent="0.35">
      <c r="A6683" s="7">
        <v>43269</v>
      </c>
      <c r="B6683" t="s">
        <v>30</v>
      </c>
      <c r="C6683">
        <v>803</v>
      </c>
      <c r="D6683">
        <v>2</v>
      </c>
      <c r="E6683">
        <v>1</v>
      </c>
      <c r="F6683" t="s">
        <v>1139</v>
      </c>
      <c r="G6683" t="s">
        <v>32</v>
      </c>
      <c r="H6683" t="s">
        <v>33</v>
      </c>
      <c r="I6683" t="s">
        <v>34</v>
      </c>
      <c r="J6683" t="s">
        <v>35</v>
      </c>
      <c r="K6683" t="s">
        <v>88</v>
      </c>
      <c r="L6683" t="s">
        <v>45</v>
      </c>
      <c r="M6683">
        <v>0</v>
      </c>
      <c r="N6683">
        <v>1</v>
      </c>
      <c r="O6683">
        <v>1160</v>
      </c>
      <c r="Q6683">
        <f>180-120</f>
        <v>60</v>
      </c>
      <c r="R6683" t="s">
        <v>46</v>
      </c>
      <c r="S6683" t="s">
        <v>39</v>
      </c>
      <c r="AB6683" t="s">
        <v>742</v>
      </c>
      <c r="AC6683" t="s">
        <v>87</v>
      </c>
    </row>
    <row r="6684" spans="1:29" x14ac:dyDescent="0.35">
      <c r="A6684" s="7">
        <v>43269</v>
      </c>
      <c r="B6684" t="s">
        <v>30</v>
      </c>
      <c r="C6684">
        <v>303</v>
      </c>
      <c r="D6684">
        <v>8</v>
      </c>
      <c r="E6684">
        <v>1</v>
      </c>
      <c r="F6684" t="s">
        <v>1170</v>
      </c>
      <c r="G6684" t="s">
        <v>32</v>
      </c>
      <c r="H6684" t="s">
        <v>33</v>
      </c>
      <c r="I6684" t="s">
        <v>58</v>
      </c>
      <c r="J6684" t="s">
        <v>44</v>
      </c>
      <c r="K6684" t="s">
        <v>36</v>
      </c>
      <c r="L6684" t="s">
        <v>45</v>
      </c>
      <c r="M6684">
        <v>0</v>
      </c>
      <c r="N6684">
        <v>0</v>
      </c>
      <c r="O6684">
        <v>2819</v>
      </c>
      <c r="Q6684">
        <f>43-17</f>
        <v>26</v>
      </c>
      <c r="R6684" t="s">
        <v>1028</v>
      </c>
      <c r="S6684" t="s">
        <v>102</v>
      </c>
      <c r="AB6684" t="s">
        <v>742</v>
      </c>
      <c r="AC6684" t="s">
        <v>87</v>
      </c>
    </row>
    <row r="6685" spans="1:29" x14ac:dyDescent="0.35">
      <c r="A6685" s="7">
        <v>43269</v>
      </c>
      <c r="B6685" t="s">
        <v>30</v>
      </c>
      <c r="C6685">
        <v>401</v>
      </c>
      <c r="D6685">
        <v>10</v>
      </c>
      <c r="E6685">
        <v>1</v>
      </c>
      <c r="F6685" t="s">
        <v>1170</v>
      </c>
      <c r="G6685" t="s">
        <v>32</v>
      </c>
      <c r="H6685" t="s">
        <v>33</v>
      </c>
      <c r="I6685" t="s">
        <v>58</v>
      </c>
      <c r="J6685" t="s">
        <v>44</v>
      </c>
      <c r="K6685" t="s">
        <v>36</v>
      </c>
      <c r="L6685" t="s">
        <v>45</v>
      </c>
      <c r="M6685">
        <v>0</v>
      </c>
      <c r="N6685">
        <v>0</v>
      </c>
      <c r="O6685">
        <v>2311</v>
      </c>
      <c r="Q6685">
        <f>48-21</f>
        <v>27</v>
      </c>
      <c r="R6685" t="s">
        <v>1021</v>
      </c>
      <c r="S6685" t="s">
        <v>102</v>
      </c>
      <c r="AB6685" t="s">
        <v>742</v>
      </c>
      <c r="AC6685" t="s">
        <v>87</v>
      </c>
    </row>
    <row r="6686" spans="1:29" x14ac:dyDescent="0.35">
      <c r="A6686" s="7">
        <v>43269</v>
      </c>
      <c r="B6686" t="s">
        <v>30</v>
      </c>
      <c r="C6686">
        <v>503</v>
      </c>
      <c r="D6686">
        <v>9</v>
      </c>
      <c r="E6686">
        <v>1</v>
      </c>
      <c r="F6686" t="s">
        <v>1170</v>
      </c>
      <c r="G6686" t="s">
        <v>32</v>
      </c>
      <c r="H6686" t="s">
        <v>33</v>
      </c>
      <c r="I6686" t="s">
        <v>58</v>
      </c>
      <c r="J6686" t="s">
        <v>44</v>
      </c>
      <c r="K6686" t="s">
        <v>36</v>
      </c>
      <c r="L6686" t="s">
        <v>45</v>
      </c>
      <c r="M6686">
        <v>0</v>
      </c>
      <c r="N6686">
        <v>0</v>
      </c>
      <c r="O6686">
        <v>90621</v>
      </c>
      <c r="Q6686">
        <f>27-17</f>
        <v>10</v>
      </c>
      <c r="R6686" t="s">
        <v>1028</v>
      </c>
      <c r="S6686" t="s">
        <v>102</v>
      </c>
      <c r="AB6686" t="s">
        <v>742</v>
      </c>
      <c r="AC6686" t="s">
        <v>87</v>
      </c>
    </row>
    <row r="6687" spans="1:29" x14ac:dyDescent="0.35">
      <c r="A6687" s="7">
        <v>43269</v>
      </c>
      <c r="B6687" t="s">
        <v>30</v>
      </c>
      <c r="C6687">
        <v>701</v>
      </c>
      <c r="D6687">
        <v>3</v>
      </c>
      <c r="E6687">
        <v>1</v>
      </c>
      <c r="F6687" t="s">
        <v>1139</v>
      </c>
      <c r="G6687" t="s">
        <v>32</v>
      </c>
      <c r="H6687" t="s">
        <v>33</v>
      </c>
      <c r="I6687" t="s">
        <v>65</v>
      </c>
      <c r="J6687" t="s">
        <v>92</v>
      </c>
      <c r="AB6687" t="s">
        <v>742</v>
      </c>
      <c r="AC6687" t="s">
        <v>87</v>
      </c>
    </row>
    <row r="6688" spans="1:29" x14ac:dyDescent="0.35">
      <c r="A6688" s="7">
        <v>43269</v>
      </c>
      <c r="B6688" t="s">
        <v>30</v>
      </c>
      <c r="C6688">
        <v>701</v>
      </c>
      <c r="D6688">
        <v>6</v>
      </c>
      <c r="E6688">
        <v>1</v>
      </c>
      <c r="F6688" t="s">
        <v>1139</v>
      </c>
      <c r="G6688" t="s">
        <v>32</v>
      </c>
      <c r="H6688" t="s">
        <v>33</v>
      </c>
      <c r="I6688" t="s">
        <v>65</v>
      </c>
      <c r="J6688" t="s">
        <v>92</v>
      </c>
      <c r="AB6688" t="s">
        <v>742</v>
      </c>
      <c r="AC6688" t="s">
        <v>87</v>
      </c>
    </row>
    <row r="6689" spans="1:29" x14ac:dyDescent="0.35">
      <c r="A6689" s="7">
        <v>43269</v>
      </c>
      <c r="B6689" t="s">
        <v>30</v>
      </c>
      <c r="C6689">
        <v>901</v>
      </c>
      <c r="D6689">
        <v>1</v>
      </c>
      <c r="E6689">
        <v>1</v>
      </c>
      <c r="F6689" t="s">
        <v>1139</v>
      </c>
      <c r="G6689" t="s">
        <v>32</v>
      </c>
      <c r="H6689" t="s">
        <v>33</v>
      </c>
      <c r="I6689" t="s">
        <v>65</v>
      </c>
      <c r="J6689" t="s">
        <v>35</v>
      </c>
      <c r="K6689" t="s">
        <v>36</v>
      </c>
      <c r="L6689" t="s">
        <v>37</v>
      </c>
      <c r="M6689">
        <v>0</v>
      </c>
      <c r="N6689">
        <v>1</v>
      </c>
      <c r="O6689">
        <v>1171</v>
      </c>
      <c r="Q6689">
        <f>330-135</f>
        <v>195</v>
      </c>
      <c r="R6689" t="s">
        <v>64</v>
      </c>
      <c r="AB6689" t="s">
        <v>742</v>
      </c>
      <c r="AC6689" t="s">
        <v>87</v>
      </c>
    </row>
    <row r="6690" spans="1:29" x14ac:dyDescent="0.35">
      <c r="A6690" s="7">
        <v>43269</v>
      </c>
      <c r="B6690" t="s">
        <v>30</v>
      </c>
      <c r="C6690">
        <v>901</v>
      </c>
      <c r="D6690">
        <v>4</v>
      </c>
      <c r="E6690">
        <v>1</v>
      </c>
      <c r="F6690" t="s">
        <v>1139</v>
      </c>
      <c r="G6690" t="s">
        <v>32</v>
      </c>
      <c r="H6690" t="s">
        <v>33</v>
      </c>
      <c r="I6690" t="s">
        <v>65</v>
      </c>
      <c r="J6690" t="s">
        <v>35</v>
      </c>
      <c r="K6690" t="s">
        <v>36</v>
      </c>
      <c r="L6690" t="s">
        <v>45</v>
      </c>
      <c r="M6690">
        <v>0</v>
      </c>
      <c r="N6690">
        <v>1</v>
      </c>
      <c r="O6690">
        <v>1172</v>
      </c>
      <c r="Q6690">
        <f>290-130</f>
        <v>160</v>
      </c>
      <c r="R6690" t="s">
        <v>46</v>
      </c>
      <c r="S6690" t="s">
        <v>39</v>
      </c>
      <c r="AB6690" t="s">
        <v>742</v>
      </c>
      <c r="AC6690" t="s">
        <v>87</v>
      </c>
    </row>
    <row r="6691" spans="1:29" x14ac:dyDescent="0.35">
      <c r="A6691" s="7">
        <v>43269</v>
      </c>
      <c r="B6691" t="s">
        <v>30</v>
      </c>
      <c r="C6691">
        <v>501</v>
      </c>
      <c r="D6691">
        <v>3</v>
      </c>
      <c r="E6691">
        <v>1</v>
      </c>
      <c r="F6691" t="s">
        <v>1170</v>
      </c>
      <c r="G6691" t="s">
        <v>32</v>
      </c>
      <c r="H6691" t="s">
        <v>33</v>
      </c>
      <c r="I6691" t="s">
        <v>72</v>
      </c>
      <c r="J6691" t="s">
        <v>66</v>
      </c>
      <c r="AB6691" t="s">
        <v>742</v>
      </c>
      <c r="AC6691" t="s">
        <v>87</v>
      </c>
    </row>
    <row r="6692" spans="1:29" x14ac:dyDescent="0.35">
      <c r="A6692" s="7">
        <v>43269</v>
      </c>
      <c r="B6692" t="s">
        <v>30</v>
      </c>
      <c r="C6692">
        <v>501</v>
      </c>
      <c r="D6692">
        <v>4</v>
      </c>
      <c r="E6692">
        <v>1</v>
      </c>
      <c r="F6692" t="s">
        <v>1170</v>
      </c>
      <c r="G6692" t="s">
        <v>32</v>
      </c>
      <c r="H6692" t="s">
        <v>33</v>
      </c>
      <c r="I6692" t="s">
        <v>72</v>
      </c>
      <c r="J6692" t="s">
        <v>56</v>
      </c>
      <c r="AB6692" t="s">
        <v>742</v>
      </c>
      <c r="AC6692" t="s">
        <v>87</v>
      </c>
    </row>
    <row r="6693" spans="1:29" x14ac:dyDescent="0.35">
      <c r="A6693" s="7">
        <v>43269</v>
      </c>
      <c r="B6693" t="s">
        <v>30</v>
      </c>
      <c r="C6693">
        <v>503</v>
      </c>
      <c r="D6693">
        <v>5</v>
      </c>
      <c r="E6693">
        <v>1</v>
      </c>
      <c r="F6693" t="s">
        <v>1170</v>
      </c>
      <c r="G6693" t="s">
        <v>32</v>
      </c>
      <c r="H6693" t="s">
        <v>33</v>
      </c>
      <c r="I6693" t="s">
        <v>72</v>
      </c>
      <c r="J6693" t="s">
        <v>56</v>
      </c>
      <c r="AB6693" t="s">
        <v>742</v>
      </c>
      <c r="AC6693" t="s">
        <v>87</v>
      </c>
    </row>
    <row r="6694" spans="1:29" x14ac:dyDescent="0.35">
      <c r="A6694" s="7">
        <v>43269</v>
      </c>
      <c r="B6694" t="s">
        <v>30</v>
      </c>
      <c r="C6694">
        <v>503</v>
      </c>
      <c r="D6694">
        <v>6</v>
      </c>
      <c r="E6694">
        <v>1</v>
      </c>
      <c r="F6694" t="s">
        <v>1170</v>
      </c>
      <c r="G6694" t="s">
        <v>32</v>
      </c>
      <c r="H6694" t="s">
        <v>33</v>
      </c>
      <c r="I6694" t="s">
        <v>72</v>
      </c>
      <c r="J6694" t="s">
        <v>56</v>
      </c>
      <c r="AB6694" t="s">
        <v>742</v>
      </c>
      <c r="AC6694" t="s">
        <v>87</v>
      </c>
    </row>
    <row r="6695" spans="1:29" x14ac:dyDescent="0.35">
      <c r="A6695" s="7">
        <v>43269</v>
      </c>
      <c r="B6695" t="s">
        <v>30</v>
      </c>
      <c r="C6695">
        <v>701</v>
      </c>
      <c r="D6695">
        <v>1</v>
      </c>
      <c r="E6695">
        <v>1</v>
      </c>
      <c r="F6695" t="s">
        <v>1139</v>
      </c>
      <c r="G6695" t="s">
        <v>32</v>
      </c>
      <c r="H6695" t="s">
        <v>33</v>
      </c>
      <c r="I6695" t="s">
        <v>59</v>
      </c>
      <c r="AB6695" t="s">
        <v>742</v>
      </c>
      <c r="AC6695" t="s">
        <v>87</v>
      </c>
    </row>
    <row r="6696" spans="1:29" x14ac:dyDescent="0.35">
      <c r="A6696" s="7">
        <v>43269</v>
      </c>
      <c r="B6696" t="s">
        <v>30</v>
      </c>
      <c r="C6696">
        <v>701</v>
      </c>
      <c r="D6696">
        <v>1</v>
      </c>
      <c r="E6696">
        <v>2</v>
      </c>
      <c r="F6696" t="s">
        <v>1139</v>
      </c>
      <c r="G6696" t="s">
        <v>32</v>
      </c>
      <c r="H6696" t="s">
        <v>33</v>
      </c>
      <c r="I6696" t="s">
        <v>59</v>
      </c>
      <c r="AB6696" t="s">
        <v>742</v>
      </c>
      <c r="AC6696" t="s">
        <v>87</v>
      </c>
    </row>
    <row r="6697" spans="1:29" x14ac:dyDescent="0.35">
      <c r="A6697" s="7">
        <v>43269</v>
      </c>
      <c r="B6697" t="s">
        <v>30</v>
      </c>
      <c r="C6697">
        <v>703</v>
      </c>
      <c r="D6697">
        <v>1</v>
      </c>
      <c r="E6697">
        <v>1</v>
      </c>
      <c r="F6697" t="s">
        <v>1139</v>
      </c>
      <c r="G6697" t="s">
        <v>32</v>
      </c>
      <c r="H6697" t="s">
        <v>33</v>
      </c>
      <c r="I6697" t="s">
        <v>59</v>
      </c>
      <c r="AB6697" t="s">
        <v>742</v>
      </c>
      <c r="AC6697" t="s">
        <v>87</v>
      </c>
    </row>
    <row r="6698" spans="1:29" x14ac:dyDescent="0.35">
      <c r="A6698" s="7">
        <v>43269</v>
      </c>
      <c r="B6698" t="s">
        <v>30</v>
      </c>
      <c r="C6698">
        <v>703</v>
      </c>
      <c r="D6698">
        <v>1</v>
      </c>
      <c r="E6698">
        <v>2</v>
      </c>
      <c r="F6698" t="s">
        <v>1139</v>
      </c>
      <c r="G6698" t="s">
        <v>32</v>
      </c>
      <c r="H6698" t="s">
        <v>33</v>
      </c>
      <c r="I6698" t="s">
        <v>59</v>
      </c>
      <c r="AB6698" t="s">
        <v>742</v>
      </c>
      <c r="AC6698" t="s">
        <v>87</v>
      </c>
    </row>
    <row r="6699" spans="1:29" x14ac:dyDescent="0.35">
      <c r="A6699" s="7">
        <v>43269</v>
      </c>
      <c r="B6699" t="s">
        <v>30</v>
      </c>
      <c r="C6699">
        <v>703</v>
      </c>
      <c r="D6699">
        <v>2</v>
      </c>
      <c r="E6699">
        <v>1</v>
      </c>
      <c r="F6699" t="s">
        <v>1139</v>
      </c>
      <c r="G6699" t="s">
        <v>32</v>
      </c>
      <c r="H6699" t="s">
        <v>33</v>
      </c>
      <c r="I6699" t="s">
        <v>59</v>
      </c>
      <c r="AB6699" t="s">
        <v>742</v>
      </c>
      <c r="AC6699" t="s">
        <v>87</v>
      </c>
    </row>
    <row r="6700" spans="1:29" x14ac:dyDescent="0.35">
      <c r="A6700" s="7">
        <v>43269</v>
      </c>
      <c r="B6700" t="s">
        <v>30</v>
      </c>
      <c r="C6700">
        <v>703</v>
      </c>
      <c r="D6700">
        <v>4</v>
      </c>
      <c r="E6700">
        <v>1</v>
      </c>
      <c r="F6700" t="s">
        <v>1139</v>
      </c>
      <c r="G6700" t="s">
        <v>32</v>
      </c>
      <c r="H6700" t="s">
        <v>33</v>
      </c>
      <c r="I6700" t="s">
        <v>59</v>
      </c>
      <c r="AB6700" t="s">
        <v>742</v>
      </c>
      <c r="AC6700" t="s">
        <v>87</v>
      </c>
    </row>
    <row r="6701" spans="1:29" x14ac:dyDescent="0.35">
      <c r="A6701" s="7">
        <v>43269</v>
      </c>
      <c r="B6701" t="s">
        <v>30</v>
      </c>
      <c r="C6701">
        <v>801</v>
      </c>
      <c r="D6701">
        <v>4</v>
      </c>
      <c r="E6701">
        <v>1</v>
      </c>
      <c r="F6701" t="s">
        <v>1139</v>
      </c>
      <c r="G6701" t="s">
        <v>32</v>
      </c>
      <c r="H6701" t="s">
        <v>33</v>
      </c>
      <c r="I6701" t="s">
        <v>59</v>
      </c>
      <c r="AB6701" t="s">
        <v>742</v>
      </c>
      <c r="AC6701" t="s">
        <v>87</v>
      </c>
    </row>
    <row r="6702" spans="1:29" x14ac:dyDescent="0.35">
      <c r="A6702" s="7">
        <v>43269</v>
      </c>
      <c r="B6702" t="s">
        <v>30</v>
      </c>
      <c r="C6702">
        <v>801</v>
      </c>
      <c r="D6702">
        <v>5</v>
      </c>
      <c r="E6702">
        <v>1</v>
      </c>
      <c r="F6702" t="s">
        <v>1139</v>
      </c>
      <c r="G6702" t="s">
        <v>32</v>
      </c>
      <c r="H6702" t="s">
        <v>33</v>
      </c>
      <c r="I6702" t="s">
        <v>59</v>
      </c>
      <c r="AB6702" t="s">
        <v>742</v>
      </c>
      <c r="AC6702" t="s">
        <v>87</v>
      </c>
    </row>
    <row r="6703" spans="1:29" x14ac:dyDescent="0.35">
      <c r="A6703" s="7">
        <v>43269</v>
      </c>
      <c r="B6703" t="s">
        <v>30</v>
      </c>
      <c r="C6703">
        <v>803</v>
      </c>
      <c r="D6703">
        <v>8</v>
      </c>
      <c r="E6703">
        <v>1</v>
      </c>
      <c r="F6703" t="s">
        <v>1139</v>
      </c>
      <c r="G6703" t="s">
        <v>32</v>
      </c>
      <c r="H6703" t="s">
        <v>33</v>
      </c>
      <c r="I6703" t="s">
        <v>59</v>
      </c>
      <c r="AB6703" t="s">
        <v>742</v>
      </c>
      <c r="AC6703" t="s">
        <v>87</v>
      </c>
    </row>
    <row r="6704" spans="1:29" x14ac:dyDescent="0.35">
      <c r="A6704" s="7">
        <v>43269</v>
      </c>
      <c r="B6704" t="s">
        <v>30</v>
      </c>
      <c r="C6704">
        <v>803</v>
      </c>
      <c r="D6704">
        <v>9</v>
      </c>
      <c r="E6704">
        <v>1</v>
      </c>
      <c r="F6704" t="s">
        <v>1139</v>
      </c>
      <c r="G6704" t="s">
        <v>32</v>
      </c>
      <c r="H6704" t="s">
        <v>33</v>
      </c>
      <c r="I6704" t="s">
        <v>59</v>
      </c>
      <c r="AB6704" t="s">
        <v>742</v>
      </c>
      <c r="AC6704" t="s">
        <v>87</v>
      </c>
    </row>
    <row r="6705" spans="1:29" x14ac:dyDescent="0.35">
      <c r="A6705" s="7">
        <v>43269</v>
      </c>
      <c r="B6705" t="s">
        <v>30</v>
      </c>
      <c r="C6705">
        <v>803</v>
      </c>
      <c r="D6705">
        <v>9</v>
      </c>
      <c r="E6705">
        <v>2</v>
      </c>
      <c r="F6705" t="s">
        <v>1139</v>
      </c>
      <c r="G6705" t="s">
        <v>32</v>
      </c>
      <c r="H6705" t="s">
        <v>33</v>
      </c>
      <c r="I6705" t="s">
        <v>59</v>
      </c>
      <c r="AB6705" t="s">
        <v>742</v>
      </c>
      <c r="AC6705" t="s">
        <v>87</v>
      </c>
    </row>
    <row r="6706" spans="1:29" x14ac:dyDescent="0.35">
      <c r="A6706" s="7">
        <v>43269</v>
      </c>
      <c r="B6706" t="s">
        <v>30</v>
      </c>
      <c r="C6706">
        <v>803</v>
      </c>
      <c r="D6706">
        <v>8</v>
      </c>
      <c r="E6706">
        <v>2</v>
      </c>
      <c r="F6706" t="s">
        <v>1139</v>
      </c>
      <c r="G6706" t="s">
        <v>32</v>
      </c>
      <c r="H6706" t="s">
        <v>33</v>
      </c>
      <c r="I6706" t="s">
        <v>1171</v>
      </c>
      <c r="AB6706" t="s">
        <v>742</v>
      </c>
      <c r="AC6706" t="s">
        <v>87</v>
      </c>
    </row>
    <row r="6707" spans="1:29" x14ac:dyDescent="0.35">
      <c r="A6707" s="7">
        <v>43269</v>
      </c>
      <c r="B6707" t="s">
        <v>30</v>
      </c>
      <c r="C6707">
        <v>503</v>
      </c>
      <c r="D6707">
        <v>1</v>
      </c>
      <c r="E6707">
        <v>1</v>
      </c>
      <c r="F6707" t="s">
        <v>1170</v>
      </c>
      <c r="G6707" t="s">
        <v>32</v>
      </c>
      <c r="H6707" t="s">
        <v>33</v>
      </c>
      <c r="I6707" t="s">
        <v>94</v>
      </c>
      <c r="J6707" t="s">
        <v>92</v>
      </c>
      <c r="AB6707" t="s">
        <v>742</v>
      </c>
      <c r="AC6707" t="s">
        <v>87</v>
      </c>
    </row>
    <row r="6708" spans="1:29" x14ac:dyDescent="0.35">
      <c r="A6708" s="7">
        <v>43269</v>
      </c>
      <c r="B6708" t="s">
        <v>30</v>
      </c>
      <c r="C6708">
        <v>701</v>
      </c>
      <c r="D6708">
        <v>8</v>
      </c>
      <c r="E6708">
        <v>1</v>
      </c>
      <c r="F6708" t="s">
        <v>1139</v>
      </c>
      <c r="G6708" t="s">
        <v>32</v>
      </c>
      <c r="H6708" t="s">
        <v>33</v>
      </c>
      <c r="I6708" t="s">
        <v>94</v>
      </c>
      <c r="J6708" t="s">
        <v>44</v>
      </c>
      <c r="K6708" t="s">
        <v>36</v>
      </c>
      <c r="L6708" t="s">
        <v>37</v>
      </c>
      <c r="M6708">
        <v>0</v>
      </c>
      <c r="N6708">
        <v>0</v>
      </c>
      <c r="O6708">
        <v>38953</v>
      </c>
      <c r="Q6708">
        <f>38-15</f>
        <v>23</v>
      </c>
      <c r="R6708" t="s">
        <v>64</v>
      </c>
      <c r="AB6708" t="s">
        <v>742</v>
      </c>
      <c r="AC6708" t="s">
        <v>87</v>
      </c>
    </row>
    <row r="6709" spans="1:29" x14ac:dyDescent="0.35">
      <c r="A6709" s="7">
        <v>43269</v>
      </c>
      <c r="B6709" t="s">
        <v>30</v>
      </c>
      <c r="C6709">
        <v>703</v>
      </c>
      <c r="D6709">
        <v>7</v>
      </c>
      <c r="E6709">
        <v>1</v>
      </c>
      <c r="F6709" t="s">
        <v>1139</v>
      </c>
      <c r="G6709" t="s">
        <v>32</v>
      </c>
      <c r="H6709" t="s">
        <v>33</v>
      </c>
      <c r="I6709" t="s">
        <v>94</v>
      </c>
      <c r="J6709" t="s">
        <v>44</v>
      </c>
      <c r="K6709" t="s">
        <v>36</v>
      </c>
      <c r="L6709" t="s">
        <v>37</v>
      </c>
      <c r="M6709">
        <v>0</v>
      </c>
      <c r="N6709">
        <v>0</v>
      </c>
      <c r="O6709">
        <v>2941</v>
      </c>
      <c r="Q6709">
        <f>34-13</f>
        <v>21</v>
      </c>
      <c r="R6709" t="s">
        <v>64</v>
      </c>
      <c r="AB6709" t="s">
        <v>742</v>
      </c>
      <c r="AC6709" t="s">
        <v>87</v>
      </c>
    </row>
    <row r="6710" spans="1:29" x14ac:dyDescent="0.35">
      <c r="A6710" s="7">
        <v>43270</v>
      </c>
      <c r="B6710" t="s">
        <v>30</v>
      </c>
      <c r="C6710">
        <v>303</v>
      </c>
      <c r="D6710">
        <v>1</v>
      </c>
      <c r="E6710">
        <v>1</v>
      </c>
      <c r="F6710" t="s">
        <v>1170</v>
      </c>
      <c r="G6710" t="s">
        <v>32</v>
      </c>
      <c r="H6710" t="s">
        <v>33</v>
      </c>
      <c r="I6710" t="s">
        <v>43</v>
      </c>
      <c r="J6710" t="s">
        <v>44</v>
      </c>
      <c r="K6710" t="s">
        <v>36</v>
      </c>
      <c r="L6710" t="s">
        <v>45</v>
      </c>
      <c r="M6710">
        <v>0</v>
      </c>
      <c r="N6710">
        <v>0</v>
      </c>
      <c r="O6710">
        <v>2903</v>
      </c>
      <c r="P6710">
        <v>2901</v>
      </c>
      <c r="Q6710">
        <f>37-18</f>
        <v>19</v>
      </c>
      <c r="R6710" t="s">
        <v>1028</v>
      </c>
      <c r="S6710" t="s">
        <v>102</v>
      </c>
      <c r="AB6710" t="s">
        <v>60</v>
      </c>
      <c r="AC6710" t="s">
        <v>1140</v>
      </c>
    </row>
    <row r="6711" spans="1:29" x14ac:dyDescent="0.35">
      <c r="A6711" s="7">
        <v>43270</v>
      </c>
      <c r="B6711" t="s">
        <v>30</v>
      </c>
      <c r="C6711">
        <v>303</v>
      </c>
      <c r="D6711">
        <v>2</v>
      </c>
      <c r="E6711">
        <v>1</v>
      </c>
      <c r="F6711" t="s">
        <v>1170</v>
      </c>
      <c r="G6711" t="s">
        <v>32</v>
      </c>
      <c r="H6711" t="s">
        <v>33</v>
      </c>
      <c r="I6711" t="s">
        <v>43</v>
      </c>
      <c r="J6711" t="s">
        <v>44</v>
      </c>
      <c r="K6711" t="s">
        <v>36</v>
      </c>
      <c r="L6711" t="s">
        <v>45</v>
      </c>
      <c r="M6711">
        <v>0</v>
      </c>
      <c r="N6711">
        <v>0</v>
      </c>
      <c r="O6711">
        <v>2712</v>
      </c>
      <c r="P6711">
        <v>2711</v>
      </c>
      <c r="Q6711">
        <f>41-22.5</f>
        <v>18.5</v>
      </c>
      <c r="R6711" t="s">
        <v>1021</v>
      </c>
      <c r="S6711" t="s">
        <v>102</v>
      </c>
      <c r="AB6711" t="s">
        <v>60</v>
      </c>
      <c r="AC6711" t="s">
        <v>1140</v>
      </c>
    </row>
    <row r="6712" spans="1:29" x14ac:dyDescent="0.35">
      <c r="A6712" s="7">
        <v>43270</v>
      </c>
      <c r="B6712" t="s">
        <v>30</v>
      </c>
      <c r="C6712">
        <v>401</v>
      </c>
      <c r="D6712">
        <v>2</v>
      </c>
      <c r="E6712">
        <v>1</v>
      </c>
      <c r="F6712" t="s">
        <v>1170</v>
      </c>
      <c r="G6712" t="s">
        <v>32</v>
      </c>
      <c r="H6712" t="s">
        <v>33</v>
      </c>
      <c r="I6712" t="s">
        <v>43</v>
      </c>
      <c r="J6712" t="s">
        <v>35</v>
      </c>
      <c r="K6712" t="s">
        <v>88</v>
      </c>
      <c r="L6712" t="s">
        <v>37</v>
      </c>
      <c r="M6712">
        <v>0</v>
      </c>
      <c r="N6712">
        <v>1</v>
      </c>
      <c r="O6712">
        <v>1016</v>
      </c>
      <c r="P6712">
        <v>1015</v>
      </c>
      <c r="Q6712">
        <f>25-18</f>
        <v>7</v>
      </c>
      <c r="R6712" t="s">
        <v>64</v>
      </c>
      <c r="AB6712" t="s">
        <v>60</v>
      </c>
      <c r="AC6712" t="s">
        <v>1140</v>
      </c>
    </row>
    <row r="6713" spans="1:29" x14ac:dyDescent="0.35">
      <c r="A6713" s="7">
        <v>43270</v>
      </c>
      <c r="B6713" t="s">
        <v>30</v>
      </c>
      <c r="C6713">
        <v>401</v>
      </c>
      <c r="D6713">
        <v>7</v>
      </c>
      <c r="E6713">
        <v>1</v>
      </c>
      <c r="F6713" t="s">
        <v>1170</v>
      </c>
      <c r="G6713" t="s">
        <v>32</v>
      </c>
      <c r="H6713" t="s">
        <v>33</v>
      </c>
      <c r="I6713" t="s">
        <v>43</v>
      </c>
      <c r="J6713" t="s">
        <v>44</v>
      </c>
      <c r="K6713" t="s">
        <v>36</v>
      </c>
      <c r="L6713" t="s">
        <v>45</v>
      </c>
      <c r="M6713">
        <v>0</v>
      </c>
      <c r="N6713">
        <v>0</v>
      </c>
      <c r="O6713">
        <v>2911</v>
      </c>
      <c r="P6713">
        <v>2910</v>
      </c>
      <c r="Q6713">
        <f>35.5-18</f>
        <v>17.5</v>
      </c>
      <c r="R6713" t="s">
        <v>1021</v>
      </c>
      <c r="S6713" t="s">
        <v>102</v>
      </c>
      <c r="AB6713" t="s">
        <v>60</v>
      </c>
      <c r="AC6713" t="s">
        <v>1140</v>
      </c>
    </row>
    <row r="6714" spans="1:29" x14ac:dyDescent="0.35">
      <c r="A6714" s="7">
        <v>43270</v>
      </c>
      <c r="B6714" t="s">
        <v>30</v>
      </c>
      <c r="C6714">
        <v>401</v>
      </c>
      <c r="D6714">
        <v>9</v>
      </c>
      <c r="E6714">
        <v>1</v>
      </c>
      <c r="F6714" t="s">
        <v>1170</v>
      </c>
      <c r="G6714" t="s">
        <v>32</v>
      </c>
      <c r="H6714" t="s">
        <v>33</v>
      </c>
      <c r="I6714" t="s">
        <v>43</v>
      </c>
      <c r="J6714" t="s">
        <v>44</v>
      </c>
      <c r="K6714" t="s">
        <v>36</v>
      </c>
      <c r="L6714" t="s">
        <v>37</v>
      </c>
      <c r="M6714">
        <v>1</v>
      </c>
      <c r="N6714">
        <v>0</v>
      </c>
      <c r="O6714">
        <v>1022</v>
      </c>
      <c r="P6714">
        <v>2812</v>
      </c>
      <c r="Q6714">
        <f>34-20</f>
        <v>14</v>
      </c>
      <c r="R6714" t="s">
        <v>64</v>
      </c>
      <c r="AB6714" t="s">
        <v>60</v>
      </c>
      <c r="AC6714" t="s">
        <v>1140</v>
      </c>
    </row>
    <row r="6715" spans="1:29" x14ac:dyDescent="0.35">
      <c r="A6715" s="7">
        <v>43270</v>
      </c>
      <c r="B6715" t="s">
        <v>30</v>
      </c>
      <c r="C6715">
        <v>501</v>
      </c>
      <c r="D6715">
        <v>8</v>
      </c>
      <c r="E6715">
        <v>1</v>
      </c>
      <c r="F6715" t="s">
        <v>1170</v>
      </c>
      <c r="G6715" t="s">
        <v>32</v>
      </c>
      <c r="H6715" t="s">
        <v>33</v>
      </c>
      <c r="I6715" t="s">
        <v>43</v>
      </c>
      <c r="J6715" t="s">
        <v>44</v>
      </c>
      <c r="K6715" t="s">
        <v>36</v>
      </c>
      <c r="L6715" t="s">
        <v>45</v>
      </c>
      <c r="M6715">
        <v>0</v>
      </c>
      <c r="N6715">
        <v>0</v>
      </c>
      <c r="O6715">
        <v>2956</v>
      </c>
      <c r="P6715">
        <v>2955</v>
      </c>
      <c r="Q6715">
        <f>31-15</f>
        <v>16</v>
      </c>
      <c r="R6715" t="s">
        <v>1021</v>
      </c>
      <c r="S6715" t="s">
        <v>102</v>
      </c>
      <c r="AB6715" t="s">
        <v>60</v>
      </c>
      <c r="AC6715" t="s">
        <v>1140</v>
      </c>
    </row>
    <row r="6716" spans="1:29" x14ac:dyDescent="0.35">
      <c r="A6716" s="7">
        <v>43270</v>
      </c>
      <c r="B6716" t="s">
        <v>30</v>
      </c>
      <c r="C6716">
        <v>503</v>
      </c>
      <c r="D6716">
        <v>2</v>
      </c>
      <c r="E6716">
        <v>1</v>
      </c>
      <c r="F6716" t="s">
        <v>1170</v>
      </c>
      <c r="G6716" t="s">
        <v>32</v>
      </c>
      <c r="H6716" t="s">
        <v>33</v>
      </c>
      <c r="I6716" t="s">
        <v>43</v>
      </c>
      <c r="J6716" t="s">
        <v>44</v>
      </c>
      <c r="K6716" t="s">
        <v>88</v>
      </c>
      <c r="L6716" t="s">
        <v>37</v>
      </c>
      <c r="M6716">
        <v>0</v>
      </c>
      <c r="N6716">
        <v>0</v>
      </c>
      <c r="O6716">
        <v>2970</v>
      </c>
      <c r="P6716">
        <v>2969</v>
      </c>
      <c r="Q6716">
        <f>31-18</f>
        <v>13</v>
      </c>
      <c r="R6716" t="s">
        <v>64</v>
      </c>
      <c r="AB6716" t="s">
        <v>60</v>
      </c>
      <c r="AC6716" t="s">
        <v>1140</v>
      </c>
    </row>
    <row r="6717" spans="1:29" x14ac:dyDescent="0.35">
      <c r="A6717" s="7">
        <v>43270</v>
      </c>
      <c r="B6717" t="s">
        <v>30</v>
      </c>
      <c r="C6717">
        <v>701</v>
      </c>
      <c r="D6717">
        <v>1</v>
      </c>
      <c r="E6717">
        <v>1</v>
      </c>
      <c r="F6717" t="s">
        <v>1139</v>
      </c>
      <c r="G6717" t="s">
        <v>32</v>
      </c>
      <c r="H6717" t="s">
        <v>33</v>
      </c>
      <c r="I6717" t="s">
        <v>43</v>
      </c>
      <c r="J6717" t="s">
        <v>44</v>
      </c>
      <c r="K6717" t="s">
        <v>36</v>
      </c>
      <c r="L6717" t="s">
        <v>45</v>
      </c>
      <c r="M6717">
        <v>0</v>
      </c>
      <c r="N6717">
        <v>0</v>
      </c>
      <c r="O6717">
        <v>2471</v>
      </c>
      <c r="P6717">
        <v>2470</v>
      </c>
      <c r="Q6717">
        <f>35-13.5</f>
        <v>21.5</v>
      </c>
      <c r="R6717" t="s">
        <v>1021</v>
      </c>
      <c r="S6717" t="s">
        <v>102</v>
      </c>
      <c r="AB6717" t="s">
        <v>60</v>
      </c>
      <c r="AC6717" t="s">
        <v>1140</v>
      </c>
    </row>
    <row r="6718" spans="1:29" x14ac:dyDescent="0.35">
      <c r="A6718" s="7">
        <v>43270</v>
      </c>
      <c r="B6718" t="s">
        <v>30</v>
      </c>
      <c r="C6718">
        <v>701</v>
      </c>
      <c r="D6718">
        <v>9</v>
      </c>
      <c r="E6718">
        <v>1</v>
      </c>
      <c r="F6718" t="s">
        <v>1139</v>
      </c>
      <c r="G6718" t="s">
        <v>32</v>
      </c>
      <c r="H6718" t="s">
        <v>33</v>
      </c>
      <c r="I6718" t="s">
        <v>43</v>
      </c>
      <c r="J6718" t="s">
        <v>44</v>
      </c>
      <c r="K6718" t="s">
        <v>36</v>
      </c>
      <c r="L6718" t="s">
        <v>45</v>
      </c>
      <c r="M6718">
        <v>0</v>
      </c>
      <c r="N6718">
        <v>0</v>
      </c>
      <c r="O6718">
        <v>2469</v>
      </c>
      <c r="P6718">
        <v>2468</v>
      </c>
      <c r="Q6718">
        <f>32-14</f>
        <v>18</v>
      </c>
      <c r="R6718" t="s">
        <v>1021</v>
      </c>
      <c r="S6718" t="s">
        <v>102</v>
      </c>
      <c r="AB6718" t="s">
        <v>60</v>
      </c>
      <c r="AC6718" t="s">
        <v>1140</v>
      </c>
    </row>
    <row r="6719" spans="1:29" x14ac:dyDescent="0.35">
      <c r="A6719" s="7">
        <v>43270</v>
      </c>
      <c r="B6719" t="s">
        <v>30</v>
      </c>
      <c r="C6719">
        <v>703</v>
      </c>
      <c r="D6719">
        <v>2</v>
      </c>
      <c r="E6719">
        <v>1</v>
      </c>
      <c r="F6719" t="s">
        <v>1139</v>
      </c>
      <c r="G6719" t="s">
        <v>32</v>
      </c>
      <c r="H6719" t="s">
        <v>33</v>
      </c>
      <c r="I6719" t="s">
        <v>43</v>
      </c>
      <c r="J6719" t="s">
        <v>44</v>
      </c>
      <c r="K6719" t="s">
        <v>36</v>
      </c>
      <c r="L6719" t="s">
        <v>45</v>
      </c>
      <c r="M6719">
        <v>0</v>
      </c>
      <c r="N6719">
        <v>0</v>
      </c>
      <c r="O6719">
        <v>39771</v>
      </c>
      <c r="P6719">
        <v>39770</v>
      </c>
      <c r="Q6719">
        <f>36-14</f>
        <v>22</v>
      </c>
      <c r="R6719" t="s">
        <v>46</v>
      </c>
      <c r="S6719" t="s">
        <v>39</v>
      </c>
      <c r="AB6719" t="s">
        <v>60</v>
      </c>
      <c r="AC6719" t="s">
        <v>1140</v>
      </c>
    </row>
    <row r="6720" spans="1:29" x14ac:dyDescent="0.35">
      <c r="A6720" s="7">
        <v>43270</v>
      </c>
      <c r="B6720" t="s">
        <v>30</v>
      </c>
      <c r="C6720">
        <v>703</v>
      </c>
      <c r="D6720">
        <v>9</v>
      </c>
      <c r="E6720">
        <v>1</v>
      </c>
      <c r="F6720" t="s">
        <v>1139</v>
      </c>
      <c r="G6720" t="s">
        <v>32</v>
      </c>
      <c r="H6720" t="s">
        <v>33</v>
      </c>
      <c r="I6720" t="s">
        <v>43</v>
      </c>
      <c r="J6720" t="s">
        <v>44</v>
      </c>
      <c r="K6720" t="s">
        <v>36</v>
      </c>
      <c r="L6720" t="s">
        <v>37</v>
      </c>
      <c r="M6720">
        <v>0</v>
      </c>
      <c r="N6720">
        <v>0</v>
      </c>
      <c r="O6720">
        <v>2456</v>
      </c>
      <c r="P6720">
        <v>2455</v>
      </c>
      <c r="Q6720">
        <f>37-14</f>
        <v>23</v>
      </c>
      <c r="R6720" t="s">
        <v>64</v>
      </c>
      <c r="AB6720" t="s">
        <v>60</v>
      </c>
      <c r="AC6720" t="s">
        <v>1140</v>
      </c>
    </row>
    <row r="6721" spans="1:29" x14ac:dyDescent="0.35">
      <c r="A6721" s="7">
        <v>43270</v>
      </c>
      <c r="B6721" t="s">
        <v>30</v>
      </c>
      <c r="C6721">
        <v>801</v>
      </c>
      <c r="D6721">
        <v>2</v>
      </c>
      <c r="E6721">
        <v>1</v>
      </c>
      <c r="F6721" t="s">
        <v>1139</v>
      </c>
      <c r="G6721" t="s">
        <v>32</v>
      </c>
      <c r="H6721" t="s">
        <v>33</v>
      </c>
      <c r="I6721" t="s">
        <v>43</v>
      </c>
      <c r="J6721" t="s">
        <v>35</v>
      </c>
      <c r="K6721" t="s">
        <v>36</v>
      </c>
      <c r="L6721" t="s">
        <v>37</v>
      </c>
      <c r="M6721">
        <v>0</v>
      </c>
      <c r="N6721">
        <v>1</v>
      </c>
      <c r="O6721">
        <v>1072</v>
      </c>
      <c r="P6721">
        <v>1071</v>
      </c>
      <c r="Q6721">
        <f>38.5-14</f>
        <v>24.5</v>
      </c>
      <c r="R6721" t="s">
        <v>64</v>
      </c>
      <c r="AB6721" t="s">
        <v>60</v>
      </c>
      <c r="AC6721" t="s">
        <v>1140</v>
      </c>
    </row>
    <row r="6722" spans="1:29" x14ac:dyDescent="0.35">
      <c r="A6722" s="7">
        <v>43270</v>
      </c>
      <c r="B6722" t="s">
        <v>30</v>
      </c>
      <c r="C6722">
        <v>801</v>
      </c>
      <c r="D6722">
        <v>4</v>
      </c>
      <c r="E6722">
        <v>1</v>
      </c>
      <c r="F6722" t="s">
        <v>1139</v>
      </c>
      <c r="G6722" t="s">
        <v>32</v>
      </c>
      <c r="H6722" t="s">
        <v>33</v>
      </c>
      <c r="I6722" t="s">
        <v>43</v>
      </c>
      <c r="J6722" t="s">
        <v>44</v>
      </c>
      <c r="K6722" t="s">
        <v>36</v>
      </c>
      <c r="L6722" t="s">
        <v>37</v>
      </c>
      <c r="M6722">
        <v>0</v>
      </c>
      <c r="N6722">
        <v>0</v>
      </c>
      <c r="O6722">
        <v>1168</v>
      </c>
      <c r="P6722">
        <v>1167</v>
      </c>
      <c r="Q6722">
        <f>36.5-14</f>
        <v>22.5</v>
      </c>
      <c r="R6722" t="s">
        <v>64</v>
      </c>
      <c r="AB6722" t="s">
        <v>60</v>
      </c>
      <c r="AC6722" t="s">
        <v>1140</v>
      </c>
    </row>
    <row r="6723" spans="1:29" x14ac:dyDescent="0.35">
      <c r="A6723" s="7">
        <v>43270</v>
      </c>
      <c r="B6723" t="s">
        <v>30</v>
      </c>
      <c r="C6723">
        <v>801</v>
      </c>
      <c r="D6723">
        <v>5</v>
      </c>
      <c r="E6723">
        <v>2</v>
      </c>
      <c r="F6723" t="s">
        <v>1139</v>
      </c>
      <c r="G6723" t="s">
        <v>32</v>
      </c>
      <c r="H6723" t="s">
        <v>33</v>
      </c>
      <c r="I6723" t="s">
        <v>43</v>
      </c>
      <c r="J6723" t="s">
        <v>92</v>
      </c>
      <c r="AB6723" t="s">
        <v>60</v>
      </c>
      <c r="AC6723" t="s">
        <v>1140</v>
      </c>
    </row>
    <row r="6724" spans="1:29" x14ac:dyDescent="0.35">
      <c r="A6724" s="7">
        <v>43270</v>
      </c>
      <c r="B6724" t="s">
        <v>30</v>
      </c>
      <c r="C6724">
        <v>801</v>
      </c>
      <c r="D6724">
        <v>6</v>
      </c>
      <c r="E6724">
        <v>1</v>
      </c>
      <c r="F6724" t="s">
        <v>1139</v>
      </c>
      <c r="G6724" t="s">
        <v>32</v>
      </c>
      <c r="H6724" t="s">
        <v>33</v>
      </c>
      <c r="I6724" t="s">
        <v>43</v>
      </c>
      <c r="J6724" t="s">
        <v>44</v>
      </c>
      <c r="K6724" t="s">
        <v>36</v>
      </c>
      <c r="L6724" t="s">
        <v>37</v>
      </c>
      <c r="M6724">
        <v>0</v>
      </c>
      <c r="N6724">
        <v>0</v>
      </c>
      <c r="O6724">
        <v>2421</v>
      </c>
      <c r="P6724">
        <v>2420</v>
      </c>
      <c r="Q6724">
        <f>32-13</f>
        <v>19</v>
      </c>
      <c r="R6724" t="s">
        <v>64</v>
      </c>
      <c r="AB6724" t="s">
        <v>60</v>
      </c>
      <c r="AC6724" t="s">
        <v>1140</v>
      </c>
    </row>
    <row r="6725" spans="1:29" x14ac:dyDescent="0.35">
      <c r="A6725" s="7">
        <v>43270</v>
      </c>
      <c r="B6725" t="s">
        <v>30</v>
      </c>
      <c r="C6725">
        <v>803</v>
      </c>
      <c r="D6725">
        <v>3</v>
      </c>
      <c r="E6725">
        <v>1</v>
      </c>
      <c r="F6725" t="s">
        <v>1139</v>
      </c>
      <c r="G6725" t="s">
        <v>32</v>
      </c>
      <c r="H6725" t="s">
        <v>33</v>
      </c>
      <c r="I6725" t="s">
        <v>43</v>
      </c>
      <c r="J6725" t="s">
        <v>35</v>
      </c>
      <c r="K6725" t="s">
        <v>113</v>
      </c>
      <c r="L6725" t="s">
        <v>45</v>
      </c>
      <c r="M6725">
        <v>0</v>
      </c>
      <c r="N6725">
        <v>1</v>
      </c>
      <c r="O6725">
        <v>1070</v>
      </c>
      <c r="P6725">
        <v>1069</v>
      </c>
      <c r="Q6725">
        <f>28-13</f>
        <v>15</v>
      </c>
      <c r="R6725" t="s">
        <v>46</v>
      </c>
      <c r="S6725" t="s">
        <v>39</v>
      </c>
      <c r="AB6725" t="s">
        <v>60</v>
      </c>
      <c r="AC6725" t="s">
        <v>1140</v>
      </c>
    </row>
    <row r="6726" spans="1:29" x14ac:dyDescent="0.35">
      <c r="A6726" s="7">
        <v>43270</v>
      </c>
      <c r="B6726" t="s">
        <v>30</v>
      </c>
      <c r="C6726">
        <v>803</v>
      </c>
      <c r="D6726">
        <v>3</v>
      </c>
      <c r="E6726">
        <v>2</v>
      </c>
      <c r="F6726" t="s">
        <v>1139</v>
      </c>
      <c r="G6726" t="s">
        <v>32</v>
      </c>
      <c r="H6726" t="s">
        <v>33</v>
      </c>
      <c r="I6726" t="s">
        <v>43</v>
      </c>
      <c r="J6726" t="s">
        <v>44</v>
      </c>
      <c r="K6726" t="s">
        <v>113</v>
      </c>
      <c r="L6726" t="s">
        <v>37</v>
      </c>
      <c r="M6726">
        <v>0</v>
      </c>
      <c r="N6726">
        <v>0</v>
      </c>
      <c r="O6726">
        <v>2419</v>
      </c>
      <c r="P6726">
        <v>2418</v>
      </c>
      <c r="Q6726">
        <f>31.5-13</f>
        <v>18.5</v>
      </c>
      <c r="R6726" t="s">
        <v>64</v>
      </c>
      <c r="AB6726" t="s">
        <v>60</v>
      </c>
      <c r="AC6726" t="s">
        <v>1140</v>
      </c>
    </row>
    <row r="6727" spans="1:29" x14ac:dyDescent="0.35">
      <c r="A6727" s="7">
        <v>43270</v>
      </c>
      <c r="B6727" t="s">
        <v>30</v>
      </c>
      <c r="C6727">
        <v>901</v>
      </c>
      <c r="D6727">
        <v>2</v>
      </c>
      <c r="E6727">
        <v>1</v>
      </c>
      <c r="F6727" t="s">
        <v>1139</v>
      </c>
      <c r="G6727" t="s">
        <v>32</v>
      </c>
      <c r="H6727" t="s">
        <v>33</v>
      </c>
      <c r="I6727" t="s">
        <v>43</v>
      </c>
      <c r="J6727" t="s">
        <v>44</v>
      </c>
      <c r="K6727" t="s">
        <v>36</v>
      </c>
      <c r="L6727" t="s">
        <v>37</v>
      </c>
      <c r="M6727">
        <v>0</v>
      </c>
      <c r="N6727">
        <v>0</v>
      </c>
      <c r="O6727">
        <v>1075</v>
      </c>
      <c r="P6727">
        <v>1074</v>
      </c>
      <c r="Q6727">
        <f>34-14</f>
        <v>20</v>
      </c>
      <c r="R6727" t="s">
        <v>64</v>
      </c>
      <c r="AB6727" t="s">
        <v>60</v>
      </c>
      <c r="AC6727" t="s">
        <v>1140</v>
      </c>
    </row>
    <row r="6728" spans="1:29" x14ac:dyDescent="0.35">
      <c r="A6728" s="7">
        <v>43270</v>
      </c>
      <c r="B6728" t="s">
        <v>30</v>
      </c>
      <c r="C6728">
        <v>901</v>
      </c>
      <c r="D6728">
        <v>8</v>
      </c>
      <c r="E6728">
        <v>1</v>
      </c>
      <c r="F6728" t="s">
        <v>1139</v>
      </c>
      <c r="G6728" t="s">
        <v>32</v>
      </c>
      <c r="H6728" t="s">
        <v>33</v>
      </c>
      <c r="I6728" t="s">
        <v>43</v>
      </c>
      <c r="J6728" t="s">
        <v>44</v>
      </c>
      <c r="K6728" t="s">
        <v>36</v>
      </c>
      <c r="L6728" t="s">
        <v>37</v>
      </c>
      <c r="M6728">
        <v>0</v>
      </c>
      <c r="N6728">
        <v>0</v>
      </c>
      <c r="O6728">
        <v>1174</v>
      </c>
      <c r="P6728">
        <v>1173</v>
      </c>
      <c r="Q6728">
        <f>33-14</f>
        <v>19</v>
      </c>
      <c r="R6728" t="s">
        <v>38</v>
      </c>
      <c r="AB6728" t="s">
        <v>60</v>
      </c>
      <c r="AC6728" t="s">
        <v>1140</v>
      </c>
    </row>
    <row r="6729" spans="1:29" x14ac:dyDescent="0.35">
      <c r="A6729" s="7">
        <v>43270</v>
      </c>
      <c r="B6729" t="s">
        <v>30</v>
      </c>
      <c r="C6729">
        <v>501</v>
      </c>
      <c r="D6729">
        <v>9</v>
      </c>
      <c r="E6729">
        <v>1</v>
      </c>
      <c r="F6729" t="s">
        <v>1170</v>
      </c>
      <c r="G6729" t="s">
        <v>32</v>
      </c>
      <c r="H6729" t="s">
        <v>33</v>
      </c>
      <c r="I6729" t="s">
        <v>34</v>
      </c>
      <c r="J6729" t="s">
        <v>35</v>
      </c>
      <c r="K6729" t="s">
        <v>36</v>
      </c>
      <c r="L6729" t="s">
        <v>45</v>
      </c>
      <c r="M6729">
        <v>0</v>
      </c>
      <c r="N6729">
        <v>1</v>
      </c>
      <c r="O6729">
        <v>1021</v>
      </c>
      <c r="Q6729">
        <f>225-140</f>
        <v>85</v>
      </c>
      <c r="R6729" t="s">
        <v>1021</v>
      </c>
      <c r="AB6729" t="s">
        <v>60</v>
      </c>
      <c r="AC6729" t="s">
        <v>1140</v>
      </c>
    </row>
    <row r="6730" spans="1:29" x14ac:dyDescent="0.35">
      <c r="A6730" s="7">
        <v>43270</v>
      </c>
      <c r="B6730" t="s">
        <v>30</v>
      </c>
      <c r="C6730">
        <v>801</v>
      </c>
      <c r="D6730">
        <v>1</v>
      </c>
      <c r="E6730">
        <v>1</v>
      </c>
      <c r="F6730" t="s">
        <v>1139</v>
      </c>
      <c r="G6730" t="s">
        <v>32</v>
      </c>
      <c r="H6730" t="s">
        <v>33</v>
      </c>
      <c r="I6730" t="s">
        <v>34</v>
      </c>
      <c r="J6730" t="s">
        <v>44</v>
      </c>
      <c r="K6730" t="s">
        <v>36</v>
      </c>
      <c r="L6730" t="s">
        <v>37</v>
      </c>
      <c r="M6730">
        <v>0</v>
      </c>
      <c r="N6730">
        <v>0</v>
      </c>
      <c r="O6730">
        <v>2452</v>
      </c>
      <c r="Q6730">
        <f>220-135</f>
        <v>85</v>
      </c>
      <c r="R6730" t="s">
        <v>64</v>
      </c>
      <c r="AB6730" t="s">
        <v>60</v>
      </c>
      <c r="AC6730" t="s">
        <v>1140</v>
      </c>
    </row>
    <row r="6731" spans="1:29" x14ac:dyDescent="0.35">
      <c r="A6731" s="7">
        <v>43270</v>
      </c>
      <c r="B6731" t="s">
        <v>30</v>
      </c>
      <c r="C6731">
        <v>803</v>
      </c>
      <c r="D6731">
        <v>2</v>
      </c>
      <c r="E6731">
        <v>1</v>
      </c>
      <c r="F6731" t="s">
        <v>1139</v>
      </c>
      <c r="G6731" t="s">
        <v>32</v>
      </c>
      <c r="H6731" t="s">
        <v>33</v>
      </c>
      <c r="I6731" t="s">
        <v>34</v>
      </c>
      <c r="J6731" t="s">
        <v>35</v>
      </c>
      <c r="K6731" t="s">
        <v>36</v>
      </c>
      <c r="L6731" t="s">
        <v>45</v>
      </c>
      <c r="M6731">
        <v>0</v>
      </c>
      <c r="N6731">
        <v>1</v>
      </c>
      <c r="O6731">
        <v>1166</v>
      </c>
      <c r="Q6731">
        <f>200-135</f>
        <v>65</v>
      </c>
      <c r="R6731" t="s">
        <v>46</v>
      </c>
      <c r="S6731" t="s">
        <v>39</v>
      </c>
      <c r="AB6731" t="s">
        <v>60</v>
      </c>
      <c r="AC6731" t="s">
        <v>1140</v>
      </c>
    </row>
    <row r="6732" spans="1:29" x14ac:dyDescent="0.35">
      <c r="A6732" s="7">
        <v>43270</v>
      </c>
      <c r="B6732" t="s">
        <v>30</v>
      </c>
      <c r="C6732">
        <v>803</v>
      </c>
      <c r="D6732">
        <v>9</v>
      </c>
      <c r="E6732">
        <v>1</v>
      </c>
      <c r="F6732" t="s">
        <v>1139</v>
      </c>
      <c r="G6732" t="s">
        <v>32</v>
      </c>
      <c r="H6732" t="s">
        <v>33</v>
      </c>
      <c r="I6732" t="s">
        <v>34</v>
      </c>
      <c r="J6732" t="s">
        <v>35</v>
      </c>
      <c r="K6732" t="s">
        <v>36</v>
      </c>
      <c r="L6732" t="s">
        <v>45</v>
      </c>
      <c r="M6732">
        <v>0</v>
      </c>
      <c r="N6732">
        <v>1</v>
      </c>
      <c r="O6732">
        <v>1125</v>
      </c>
      <c r="Q6732">
        <f>210-135</f>
        <v>75</v>
      </c>
      <c r="R6732" t="s">
        <v>46</v>
      </c>
      <c r="S6732" t="s">
        <v>39</v>
      </c>
      <c r="AB6732" t="s">
        <v>60</v>
      </c>
      <c r="AC6732" t="s">
        <v>1140</v>
      </c>
    </row>
    <row r="6733" spans="1:29" x14ac:dyDescent="0.35">
      <c r="A6733" s="7">
        <v>43270</v>
      </c>
      <c r="B6733" t="s">
        <v>30</v>
      </c>
      <c r="C6733">
        <v>303</v>
      </c>
      <c r="D6733">
        <v>6</v>
      </c>
      <c r="E6733">
        <v>1</v>
      </c>
      <c r="F6733" t="s">
        <v>1170</v>
      </c>
      <c r="G6733" t="s">
        <v>32</v>
      </c>
      <c r="H6733" t="s">
        <v>33</v>
      </c>
      <c r="I6733" t="s">
        <v>58</v>
      </c>
      <c r="J6733" t="s">
        <v>44</v>
      </c>
      <c r="K6733" t="s">
        <v>36</v>
      </c>
      <c r="L6733" t="s">
        <v>45</v>
      </c>
      <c r="M6733">
        <v>0</v>
      </c>
      <c r="N6733">
        <v>0</v>
      </c>
      <c r="O6733">
        <v>2815</v>
      </c>
      <c r="Q6733">
        <f>48.5-24</f>
        <v>24.5</v>
      </c>
      <c r="R6733" t="s">
        <v>1028</v>
      </c>
      <c r="S6733" t="s">
        <v>102</v>
      </c>
      <c r="AB6733" t="s">
        <v>60</v>
      </c>
      <c r="AC6733" t="s">
        <v>1140</v>
      </c>
    </row>
    <row r="6734" spans="1:29" x14ac:dyDescent="0.35">
      <c r="A6734" s="7">
        <v>43270</v>
      </c>
      <c r="B6734" t="s">
        <v>30</v>
      </c>
      <c r="C6734">
        <v>701</v>
      </c>
      <c r="D6734">
        <v>7</v>
      </c>
      <c r="E6734">
        <v>1</v>
      </c>
      <c r="F6734" t="s">
        <v>1139</v>
      </c>
      <c r="G6734" t="s">
        <v>32</v>
      </c>
      <c r="H6734" t="s">
        <v>33</v>
      </c>
      <c r="I6734" t="s">
        <v>65</v>
      </c>
      <c r="J6734" t="s">
        <v>44</v>
      </c>
      <c r="K6734" t="s">
        <v>36</v>
      </c>
      <c r="L6734" t="s">
        <v>37</v>
      </c>
      <c r="M6734">
        <v>0</v>
      </c>
      <c r="N6734">
        <v>0</v>
      </c>
      <c r="O6734">
        <v>2565</v>
      </c>
      <c r="Q6734">
        <f>290-90</f>
        <v>200</v>
      </c>
      <c r="R6734" t="s">
        <v>64</v>
      </c>
      <c r="AB6734" t="s">
        <v>60</v>
      </c>
      <c r="AC6734" t="s">
        <v>1140</v>
      </c>
    </row>
    <row r="6735" spans="1:29" x14ac:dyDescent="0.35">
      <c r="A6735" s="7">
        <v>43270</v>
      </c>
      <c r="B6735" t="s">
        <v>30</v>
      </c>
      <c r="C6735">
        <v>501</v>
      </c>
      <c r="D6735">
        <v>2</v>
      </c>
      <c r="E6735">
        <v>1</v>
      </c>
      <c r="F6735" t="s">
        <v>1170</v>
      </c>
      <c r="G6735" t="s">
        <v>32</v>
      </c>
      <c r="H6735" t="s">
        <v>33</v>
      </c>
      <c r="I6735" t="s">
        <v>72</v>
      </c>
      <c r="AB6735" t="s">
        <v>60</v>
      </c>
      <c r="AC6735" t="s">
        <v>1140</v>
      </c>
    </row>
    <row r="6736" spans="1:29" x14ac:dyDescent="0.35">
      <c r="A6736" s="7">
        <v>43270</v>
      </c>
      <c r="B6736" t="s">
        <v>30</v>
      </c>
      <c r="C6736">
        <v>303</v>
      </c>
      <c r="D6736">
        <v>8</v>
      </c>
      <c r="E6736">
        <v>1</v>
      </c>
      <c r="F6736" t="s">
        <v>1170</v>
      </c>
      <c r="G6736" t="s">
        <v>32</v>
      </c>
      <c r="H6736" t="s">
        <v>33</v>
      </c>
      <c r="I6736" t="s">
        <v>59</v>
      </c>
      <c r="AB6736" t="s">
        <v>60</v>
      </c>
      <c r="AC6736" t="s">
        <v>1140</v>
      </c>
    </row>
    <row r="6737" spans="1:29" x14ac:dyDescent="0.35">
      <c r="A6737" s="7">
        <v>43270</v>
      </c>
      <c r="B6737" t="s">
        <v>30</v>
      </c>
      <c r="C6737">
        <v>501</v>
      </c>
      <c r="D6737">
        <v>1</v>
      </c>
      <c r="E6737">
        <v>1</v>
      </c>
      <c r="F6737" t="s">
        <v>1170</v>
      </c>
      <c r="G6737" t="s">
        <v>32</v>
      </c>
      <c r="H6737" t="s">
        <v>33</v>
      </c>
      <c r="I6737" t="s">
        <v>59</v>
      </c>
      <c r="AB6737" t="s">
        <v>60</v>
      </c>
      <c r="AC6737" t="s">
        <v>1140</v>
      </c>
    </row>
    <row r="6738" spans="1:29" x14ac:dyDescent="0.35">
      <c r="A6738" s="7">
        <v>43270</v>
      </c>
      <c r="B6738" t="s">
        <v>30</v>
      </c>
      <c r="C6738">
        <v>501</v>
      </c>
      <c r="D6738">
        <v>7</v>
      </c>
      <c r="E6738">
        <v>1</v>
      </c>
      <c r="F6738" t="s">
        <v>1170</v>
      </c>
      <c r="G6738" t="s">
        <v>32</v>
      </c>
      <c r="H6738" t="s">
        <v>33</v>
      </c>
      <c r="I6738" t="s">
        <v>59</v>
      </c>
      <c r="AB6738" t="s">
        <v>60</v>
      </c>
      <c r="AC6738" t="s">
        <v>1140</v>
      </c>
    </row>
    <row r="6739" spans="1:29" x14ac:dyDescent="0.35">
      <c r="A6739" s="7">
        <v>43270</v>
      </c>
      <c r="B6739" t="s">
        <v>30</v>
      </c>
      <c r="C6739">
        <v>501</v>
      </c>
      <c r="D6739">
        <v>10</v>
      </c>
      <c r="E6739">
        <v>1</v>
      </c>
      <c r="F6739" t="s">
        <v>1170</v>
      </c>
      <c r="G6739" t="s">
        <v>32</v>
      </c>
      <c r="H6739" t="s">
        <v>33</v>
      </c>
      <c r="I6739" t="s">
        <v>59</v>
      </c>
      <c r="AB6739" t="s">
        <v>60</v>
      </c>
      <c r="AC6739" t="s">
        <v>1140</v>
      </c>
    </row>
    <row r="6740" spans="1:29" x14ac:dyDescent="0.35">
      <c r="A6740" s="7">
        <v>43270</v>
      </c>
      <c r="B6740" t="s">
        <v>30</v>
      </c>
      <c r="C6740">
        <v>503</v>
      </c>
      <c r="D6740">
        <v>10</v>
      </c>
      <c r="E6740">
        <v>1</v>
      </c>
      <c r="F6740" t="s">
        <v>1170</v>
      </c>
      <c r="G6740" t="s">
        <v>32</v>
      </c>
      <c r="H6740" t="s">
        <v>33</v>
      </c>
      <c r="I6740" t="s">
        <v>59</v>
      </c>
      <c r="AB6740" t="s">
        <v>60</v>
      </c>
      <c r="AC6740" t="s">
        <v>1140</v>
      </c>
    </row>
    <row r="6741" spans="1:29" x14ac:dyDescent="0.35">
      <c r="A6741" s="7">
        <v>43270</v>
      </c>
      <c r="B6741" t="s">
        <v>30</v>
      </c>
      <c r="C6741">
        <v>701</v>
      </c>
      <c r="D6741">
        <v>4</v>
      </c>
      <c r="E6741">
        <v>1</v>
      </c>
      <c r="F6741" t="s">
        <v>1139</v>
      </c>
      <c r="G6741" t="s">
        <v>32</v>
      </c>
      <c r="H6741" t="s">
        <v>33</v>
      </c>
      <c r="I6741" t="s">
        <v>59</v>
      </c>
      <c r="AB6741" t="s">
        <v>60</v>
      </c>
      <c r="AC6741" t="s">
        <v>1140</v>
      </c>
    </row>
    <row r="6742" spans="1:29" x14ac:dyDescent="0.35">
      <c r="A6742" s="7">
        <v>43270</v>
      </c>
      <c r="B6742" t="s">
        <v>30</v>
      </c>
      <c r="C6742">
        <v>701</v>
      </c>
      <c r="D6742">
        <v>5</v>
      </c>
      <c r="E6742">
        <v>1</v>
      </c>
      <c r="F6742" t="s">
        <v>1139</v>
      </c>
      <c r="G6742" t="s">
        <v>32</v>
      </c>
      <c r="H6742" t="s">
        <v>33</v>
      </c>
      <c r="I6742" t="s">
        <v>59</v>
      </c>
      <c r="AB6742" t="s">
        <v>60</v>
      </c>
      <c r="AC6742" t="s">
        <v>1140</v>
      </c>
    </row>
    <row r="6743" spans="1:29" x14ac:dyDescent="0.35">
      <c r="A6743" s="7">
        <v>43270</v>
      </c>
      <c r="B6743" t="s">
        <v>30</v>
      </c>
      <c r="C6743">
        <v>701</v>
      </c>
      <c r="D6743">
        <v>6</v>
      </c>
      <c r="E6743">
        <v>1</v>
      </c>
      <c r="F6743" t="s">
        <v>1139</v>
      </c>
      <c r="G6743" t="s">
        <v>32</v>
      </c>
      <c r="H6743" t="s">
        <v>33</v>
      </c>
      <c r="I6743" t="s">
        <v>59</v>
      </c>
      <c r="AB6743" t="s">
        <v>60</v>
      </c>
      <c r="AC6743" t="s">
        <v>1140</v>
      </c>
    </row>
    <row r="6744" spans="1:29" x14ac:dyDescent="0.35">
      <c r="A6744" s="7">
        <v>43270</v>
      </c>
      <c r="B6744" t="s">
        <v>30</v>
      </c>
      <c r="C6744">
        <v>703</v>
      </c>
      <c r="D6744">
        <v>3</v>
      </c>
      <c r="E6744">
        <v>1</v>
      </c>
      <c r="F6744" t="s">
        <v>1139</v>
      </c>
      <c r="G6744" t="s">
        <v>32</v>
      </c>
      <c r="H6744" t="s">
        <v>33</v>
      </c>
      <c r="I6744" t="s">
        <v>59</v>
      </c>
      <c r="AB6744" t="s">
        <v>60</v>
      </c>
      <c r="AC6744" t="s">
        <v>1140</v>
      </c>
    </row>
    <row r="6745" spans="1:29" x14ac:dyDescent="0.35">
      <c r="A6745" s="7">
        <v>43270</v>
      </c>
      <c r="B6745" t="s">
        <v>30</v>
      </c>
      <c r="C6745">
        <v>703</v>
      </c>
      <c r="D6745">
        <v>4</v>
      </c>
      <c r="E6745">
        <v>1</v>
      </c>
      <c r="F6745" t="s">
        <v>1139</v>
      </c>
      <c r="G6745" t="s">
        <v>32</v>
      </c>
      <c r="H6745" t="s">
        <v>33</v>
      </c>
      <c r="I6745" t="s">
        <v>59</v>
      </c>
      <c r="AB6745" t="s">
        <v>60</v>
      </c>
      <c r="AC6745" t="s">
        <v>1140</v>
      </c>
    </row>
    <row r="6746" spans="1:29" x14ac:dyDescent="0.35">
      <c r="A6746" s="7">
        <v>43270</v>
      </c>
      <c r="B6746" t="s">
        <v>30</v>
      </c>
      <c r="C6746">
        <v>703</v>
      </c>
      <c r="D6746">
        <v>4</v>
      </c>
      <c r="E6746">
        <v>2</v>
      </c>
      <c r="F6746" t="s">
        <v>1139</v>
      </c>
      <c r="G6746" t="s">
        <v>32</v>
      </c>
      <c r="H6746" t="s">
        <v>33</v>
      </c>
      <c r="I6746" t="s">
        <v>59</v>
      </c>
      <c r="AB6746" t="s">
        <v>60</v>
      </c>
      <c r="AC6746" t="s">
        <v>1140</v>
      </c>
    </row>
    <row r="6747" spans="1:29" x14ac:dyDescent="0.35">
      <c r="A6747" s="7">
        <v>43270</v>
      </c>
      <c r="B6747" t="s">
        <v>30</v>
      </c>
      <c r="C6747">
        <v>703</v>
      </c>
      <c r="D6747">
        <v>5</v>
      </c>
      <c r="E6747">
        <v>1</v>
      </c>
      <c r="F6747" t="s">
        <v>1139</v>
      </c>
      <c r="G6747" t="s">
        <v>32</v>
      </c>
      <c r="H6747" t="s">
        <v>33</v>
      </c>
      <c r="I6747" t="s">
        <v>59</v>
      </c>
      <c r="AB6747" t="s">
        <v>60</v>
      </c>
      <c r="AC6747" t="s">
        <v>1140</v>
      </c>
    </row>
    <row r="6748" spans="1:29" x14ac:dyDescent="0.35">
      <c r="A6748" s="7">
        <v>43270</v>
      </c>
      <c r="B6748" t="s">
        <v>30</v>
      </c>
      <c r="C6748">
        <v>703</v>
      </c>
      <c r="D6748">
        <v>5</v>
      </c>
      <c r="E6748">
        <v>2</v>
      </c>
      <c r="F6748" t="s">
        <v>1139</v>
      </c>
      <c r="G6748" t="s">
        <v>32</v>
      </c>
      <c r="H6748" t="s">
        <v>33</v>
      </c>
      <c r="I6748" t="s">
        <v>59</v>
      </c>
      <c r="AB6748" t="s">
        <v>60</v>
      </c>
      <c r="AC6748" t="s">
        <v>1140</v>
      </c>
    </row>
    <row r="6749" spans="1:29" x14ac:dyDescent="0.35">
      <c r="A6749" s="7">
        <v>43270</v>
      </c>
      <c r="B6749" t="s">
        <v>30</v>
      </c>
      <c r="C6749">
        <v>703</v>
      </c>
      <c r="D6749">
        <v>7</v>
      </c>
      <c r="E6749">
        <v>1</v>
      </c>
      <c r="F6749" t="s">
        <v>1139</v>
      </c>
      <c r="G6749" t="s">
        <v>32</v>
      </c>
      <c r="H6749" t="s">
        <v>33</v>
      </c>
      <c r="I6749" t="s">
        <v>59</v>
      </c>
      <c r="AB6749" t="s">
        <v>60</v>
      </c>
      <c r="AC6749" t="s">
        <v>1140</v>
      </c>
    </row>
    <row r="6750" spans="1:29" x14ac:dyDescent="0.35">
      <c r="A6750" s="7">
        <v>43270</v>
      </c>
      <c r="B6750" t="s">
        <v>30</v>
      </c>
      <c r="C6750">
        <v>703</v>
      </c>
      <c r="D6750">
        <v>10</v>
      </c>
      <c r="E6750">
        <v>1</v>
      </c>
      <c r="F6750" t="s">
        <v>1139</v>
      </c>
      <c r="G6750" t="s">
        <v>32</v>
      </c>
      <c r="H6750" t="s">
        <v>33</v>
      </c>
      <c r="I6750" t="s">
        <v>59</v>
      </c>
      <c r="AB6750" t="s">
        <v>60</v>
      </c>
      <c r="AC6750" t="s">
        <v>1140</v>
      </c>
    </row>
    <row r="6751" spans="1:29" x14ac:dyDescent="0.35">
      <c r="A6751" s="7">
        <v>43270</v>
      </c>
      <c r="B6751" t="s">
        <v>30</v>
      </c>
      <c r="C6751">
        <v>801</v>
      </c>
      <c r="D6751">
        <v>4</v>
      </c>
      <c r="E6751">
        <v>2</v>
      </c>
      <c r="F6751" t="s">
        <v>1139</v>
      </c>
      <c r="G6751" t="s">
        <v>32</v>
      </c>
      <c r="H6751" t="s">
        <v>33</v>
      </c>
      <c r="I6751" t="s">
        <v>59</v>
      </c>
      <c r="AB6751" t="s">
        <v>60</v>
      </c>
      <c r="AC6751" t="s">
        <v>1140</v>
      </c>
    </row>
    <row r="6752" spans="1:29" x14ac:dyDescent="0.35">
      <c r="A6752" s="7">
        <v>43270</v>
      </c>
      <c r="B6752" t="s">
        <v>30</v>
      </c>
      <c r="C6752">
        <v>801</v>
      </c>
      <c r="D6752">
        <v>5</v>
      </c>
      <c r="E6752">
        <v>1</v>
      </c>
      <c r="F6752" t="s">
        <v>1139</v>
      </c>
      <c r="G6752" t="s">
        <v>32</v>
      </c>
      <c r="H6752" t="s">
        <v>33</v>
      </c>
      <c r="I6752" t="s">
        <v>59</v>
      </c>
      <c r="AB6752" t="s">
        <v>60</v>
      </c>
      <c r="AC6752" t="s">
        <v>1140</v>
      </c>
    </row>
    <row r="6753" spans="1:30" x14ac:dyDescent="0.35">
      <c r="A6753" s="7">
        <v>43270</v>
      </c>
      <c r="B6753" t="s">
        <v>30</v>
      </c>
      <c r="C6753">
        <v>801</v>
      </c>
      <c r="D6753">
        <v>6</v>
      </c>
      <c r="E6753">
        <v>2</v>
      </c>
      <c r="F6753" t="s">
        <v>1139</v>
      </c>
      <c r="G6753" t="s">
        <v>32</v>
      </c>
      <c r="H6753" t="s">
        <v>33</v>
      </c>
      <c r="I6753" t="s">
        <v>59</v>
      </c>
      <c r="AB6753" t="s">
        <v>60</v>
      </c>
      <c r="AC6753" t="s">
        <v>1140</v>
      </c>
    </row>
    <row r="6754" spans="1:30" x14ac:dyDescent="0.35">
      <c r="A6754" s="7">
        <v>43270</v>
      </c>
      <c r="B6754" t="s">
        <v>30</v>
      </c>
      <c r="C6754">
        <v>803</v>
      </c>
      <c r="D6754">
        <v>8</v>
      </c>
      <c r="E6754">
        <v>1</v>
      </c>
      <c r="F6754" t="s">
        <v>1139</v>
      </c>
      <c r="G6754" t="s">
        <v>32</v>
      </c>
      <c r="H6754" t="s">
        <v>33</v>
      </c>
      <c r="I6754" t="s">
        <v>59</v>
      </c>
      <c r="AB6754" t="s">
        <v>60</v>
      </c>
      <c r="AC6754" t="s">
        <v>1140</v>
      </c>
    </row>
    <row r="6755" spans="1:30" x14ac:dyDescent="0.35">
      <c r="A6755" s="7">
        <v>43270</v>
      </c>
      <c r="B6755" t="s">
        <v>30</v>
      </c>
      <c r="C6755">
        <v>803</v>
      </c>
      <c r="D6755">
        <v>10</v>
      </c>
      <c r="E6755">
        <v>1</v>
      </c>
      <c r="F6755" t="s">
        <v>1139</v>
      </c>
      <c r="G6755" t="s">
        <v>32</v>
      </c>
      <c r="H6755" t="s">
        <v>33</v>
      </c>
      <c r="I6755" t="s">
        <v>59</v>
      </c>
      <c r="AB6755" t="s">
        <v>60</v>
      </c>
      <c r="AC6755" t="s">
        <v>1140</v>
      </c>
    </row>
    <row r="6756" spans="1:30" x14ac:dyDescent="0.35">
      <c r="A6756" s="7">
        <v>43270</v>
      </c>
      <c r="B6756" t="s">
        <v>30</v>
      </c>
      <c r="C6756">
        <v>701</v>
      </c>
      <c r="D6756">
        <v>10</v>
      </c>
      <c r="E6756">
        <v>1</v>
      </c>
      <c r="F6756" t="s">
        <v>1139</v>
      </c>
      <c r="G6756" t="s">
        <v>32</v>
      </c>
      <c r="H6756" t="s">
        <v>33</v>
      </c>
      <c r="I6756" t="s">
        <v>94</v>
      </c>
      <c r="J6756" t="s">
        <v>35</v>
      </c>
      <c r="K6756" t="s">
        <v>36</v>
      </c>
      <c r="L6756" t="s">
        <v>45</v>
      </c>
      <c r="M6756">
        <v>0</v>
      </c>
      <c r="N6756">
        <v>1</v>
      </c>
      <c r="O6756">
        <v>1073</v>
      </c>
      <c r="Q6756">
        <f>34-14</f>
        <v>20</v>
      </c>
      <c r="R6756" t="s">
        <v>46</v>
      </c>
      <c r="S6756" t="s">
        <v>39</v>
      </c>
      <c r="AB6756" t="s">
        <v>60</v>
      </c>
      <c r="AC6756" t="s">
        <v>1140</v>
      </c>
    </row>
    <row r="6757" spans="1:30" x14ac:dyDescent="0.35">
      <c r="A6757" s="7">
        <v>43271</v>
      </c>
      <c r="B6757" t="s">
        <v>30</v>
      </c>
      <c r="C6757">
        <v>303</v>
      </c>
      <c r="D6757">
        <v>1</v>
      </c>
      <c r="E6757">
        <v>1</v>
      </c>
      <c r="F6757" t="s">
        <v>1170</v>
      </c>
      <c r="G6757" t="s">
        <v>32</v>
      </c>
      <c r="H6757" t="s">
        <v>33</v>
      </c>
      <c r="I6757" t="s">
        <v>43</v>
      </c>
      <c r="J6757" t="s">
        <v>92</v>
      </c>
      <c r="AB6757" t="s">
        <v>1099</v>
      </c>
      <c r="AC6757" t="s">
        <v>41</v>
      </c>
    </row>
    <row r="6758" spans="1:30" x14ac:dyDescent="0.35">
      <c r="A6758" s="7">
        <v>43271</v>
      </c>
      <c r="B6758" t="s">
        <v>30</v>
      </c>
      <c r="C6758">
        <v>303</v>
      </c>
      <c r="D6758">
        <v>2</v>
      </c>
      <c r="E6758">
        <v>1</v>
      </c>
      <c r="F6758" t="s">
        <v>1170</v>
      </c>
      <c r="G6758" t="s">
        <v>32</v>
      </c>
      <c r="H6758" t="s">
        <v>33</v>
      </c>
      <c r="I6758" t="s">
        <v>43</v>
      </c>
      <c r="J6758" t="s">
        <v>35</v>
      </c>
      <c r="K6758" t="s">
        <v>88</v>
      </c>
      <c r="L6758" t="s">
        <v>45</v>
      </c>
      <c r="M6758">
        <v>0</v>
      </c>
      <c r="N6758">
        <v>1</v>
      </c>
      <c r="O6758">
        <v>1006</v>
      </c>
      <c r="P6758">
        <v>1005</v>
      </c>
      <c r="Q6758">
        <f>40-28.5</f>
        <v>11.5</v>
      </c>
      <c r="R6758" t="s">
        <v>46</v>
      </c>
      <c r="S6758" t="s">
        <v>39</v>
      </c>
      <c r="AB6758" t="s">
        <v>1099</v>
      </c>
      <c r="AC6758" t="s">
        <v>41</v>
      </c>
      <c r="AD6758" t="s">
        <v>1172</v>
      </c>
    </row>
    <row r="6759" spans="1:30" x14ac:dyDescent="0.35">
      <c r="A6759" s="7">
        <v>43271</v>
      </c>
      <c r="B6759" t="s">
        <v>30</v>
      </c>
      <c r="C6759">
        <v>303</v>
      </c>
      <c r="D6759">
        <v>8</v>
      </c>
      <c r="E6759">
        <v>2</v>
      </c>
      <c r="F6759" t="s">
        <v>1170</v>
      </c>
      <c r="G6759" t="s">
        <v>32</v>
      </c>
      <c r="H6759" t="s">
        <v>33</v>
      </c>
      <c r="I6759" t="s">
        <v>43</v>
      </c>
      <c r="J6759" t="s">
        <v>35</v>
      </c>
      <c r="K6759" t="s">
        <v>88</v>
      </c>
      <c r="L6759" t="s">
        <v>37</v>
      </c>
      <c r="M6759">
        <v>0</v>
      </c>
      <c r="N6759">
        <v>1</v>
      </c>
      <c r="O6759">
        <v>1004</v>
      </c>
      <c r="P6759">
        <v>1003</v>
      </c>
      <c r="Q6759">
        <f>27-18</f>
        <v>9</v>
      </c>
      <c r="R6759" t="s">
        <v>46</v>
      </c>
      <c r="S6759" t="s">
        <v>39</v>
      </c>
      <c r="AB6759" t="s">
        <v>1099</v>
      </c>
      <c r="AC6759" t="s">
        <v>41</v>
      </c>
    </row>
    <row r="6760" spans="1:30" x14ac:dyDescent="0.35">
      <c r="A6760" s="7">
        <v>43271</v>
      </c>
      <c r="B6760" t="s">
        <v>30</v>
      </c>
      <c r="C6760">
        <v>303</v>
      </c>
      <c r="D6760">
        <v>10</v>
      </c>
      <c r="E6760">
        <v>1</v>
      </c>
      <c r="F6760" t="s">
        <v>1170</v>
      </c>
      <c r="G6760" t="s">
        <v>32</v>
      </c>
      <c r="H6760" t="s">
        <v>33</v>
      </c>
      <c r="I6760" t="s">
        <v>43</v>
      </c>
      <c r="J6760" t="s">
        <v>44</v>
      </c>
      <c r="K6760" t="s">
        <v>36</v>
      </c>
      <c r="L6760" t="s">
        <v>45</v>
      </c>
      <c r="M6760">
        <v>0</v>
      </c>
      <c r="N6760">
        <v>0</v>
      </c>
      <c r="O6760">
        <v>2913</v>
      </c>
      <c r="P6760">
        <v>2912</v>
      </c>
      <c r="Q6760">
        <f>30-14</f>
        <v>16</v>
      </c>
      <c r="R6760" t="s">
        <v>1028</v>
      </c>
      <c r="S6760" t="s">
        <v>102</v>
      </c>
      <c r="AB6760" t="s">
        <v>1099</v>
      </c>
      <c r="AC6760" t="s">
        <v>41</v>
      </c>
    </row>
    <row r="6761" spans="1:30" x14ac:dyDescent="0.35">
      <c r="A6761" s="7">
        <v>43271</v>
      </c>
      <c r="B6761" t="s">
        <v>30</v>
      </c>
      <c r="C6761">
        <v>501</v>
      </c>
      <c r="D6761">
        <v>2</v>
      </c>
      <c r="E6761">
        <v>1</v>
      </c>
      <c r="F6761" t="s">
        <v>1170</v>
      </c>
      <c r="G6761" t="s">
        <v>32</v>
      </c>
      <c r="H6761" t="s">
        <v>33</v>
      </c>
      <c r="I6761" t="s">
        <v>43</v>
      </c>
      <c r="J6761" t="s">
        <v>44</v>
      </c>
      <c r="K6761" t="s">
        <v>88</v>
      </c>
      <c r="L6761" t="s">
        <v>45</v>
      </c>
      <c r="M6761">
        <v>0</v>
      </c>
      <c r="N6761">
        <v>0</v>
      </c>
      <c r="O6761">
        <v>1002</v>
      </c>
      <c r="P6761">
        <v>1001</v>
      </c>
      <c r="Q6761">
        <f>27-18</f>
        <v>9</v>
      </c>
      <c r="R6761" t="s">
        <v>46</v>
      </c>
      <c r="S6761" t="s">
        <v>39</v>
      </c>
      <c r="AB6761" t="s">
        <v>1099</v>
      </c>
      <c r="AC6761" t="s">
        <v>41</v>
      </c>
    </row>
    <row r="6762" spans="1:30" x14ac:dyDescent="0.35">
      <c r="A6762" s="7">
        <v>43271</v>
      </c>
      <c r="B6762" t="s">
        <v>30</v>
      </c>
      <c r="C6762">
        <v>501</v>
      </c>
      <c r="D6762">
        <v>5</v>
      </c>
      <c r="E6762">
        <v>1</v>
      </c>
      <c r="F6762" t="s">
        <v>1170</v>
      </c>
      <c r="G6762" t="s">
        <v>32</v>
      </c>
      <c r="H6762" t="s">
        <v>33</v>
      </c>
      <c r="I6762" t="s">
        <v>43</v>
      </c>
      <c r="J6762" t="s">
        <v>44</v>
      </c>
      <c r="K6762" t="s">
        <v>36</v>
      </c>
      <c r="L6762" t="s">
        <v>45</v>
      </c>
      <c r="M6762">
        <v>0</v>
      </c>
      <c r="N6762">
        <v>0</v>
      </c>
      <c r="O6762">
        <v>2953</v>
      </c>
      <c r="P6762">
        <v>2952</v>
      </c>
      <c r="Q6762">
        <f>38-20</f>
        <v>18</v>
      </c>
      <c r="R6762" t="s">
        <v>1021</v>
      </c>
      <c r="S6762" t="s">
        <v>102</v>
      </c>
      <c r="AB6762" t="s">
        <v>1099</v>
      </c>
      <c r="AC6762" t="s">
        <v>41</v>
      </c>
    </row>
    <row r="6763" spans="1:30" x14ac:dyDescent="0.35">
      <c r="A6763" s="7">
        <v>43271</v>
      </c>
      <c r="B6763" t="s">
        <v>30</v>
      </c>
      <c r="C6763">
        <v>503</v>
      </c>
      <c r="D6763">
        <v>1</v>
      </c>
      <c r="E6763">
        <v>1</v>
      </c>
      <c r="F6763" t="s">
        <v>1170</v>
      </c>
      <c r="G6763" t="s">
        <v>32</v>
      </c>
      <c r="H6763" t="s">
        <v>33</v>
      </c>
      <c r="I6763" t="s">
        <v>43</v>
      </c>
      <c r="J6763" t="s">
        <v>44</v>
      </c>
      <c r="K6763" t="s">
        <v>113</v>
      </c>
      <c r="L6763" t="s">
        <v>37</v>
      </c>
      <c r="M6763">
        <v>0</v>
      </c>
      <c r="N6763">
        <v>0</v>
      </c>
      <c r="O6763">
        <v>2970</v>
      </c>
      <c r="P6763">
        <v>2969</v>
      </c>
      <c r="Q6763">
        <f>36-20</f>
        <v>16</v>
      </c>
      <c r="R6763" t="s">
        <v>38</v>
      </c>
      <c r="AB6763" t="s">
        <v>1099</v>
      </c>
      <c r="AC6763" t="s">
        <v>41</v>
      </c>
    </row>
    <row r="6764" spans="1:30" x14ac:dyDescent="0.35">
      <c r="A6764" s="7">
        <v>43271</v>
      </c>
      <c r="B6764" t="s">
        <v>30</v>
      </c>
      <c r="C6764">
        <v>503</v>
      </c>
      <c r="D6764">
        <v>5</v>
      </c>
      <c r="E6764">
        <v>1</v>
      </c>
      <c r="F6764" t="s">
        <v>1170</v>
      </c>
      <c r="G6764" t="s">
        <v>32</v>
      </c>
      <c r="H6764" t="s">
        <v>33</v>
      </c>
      <c r="I6764" t="s">
        <v>43</v>
      </c>
      <c r="J6764" t="s">
        <v>44</v>
      </c>
      <c r="K6764" t="s">
        <v>36</v>
      </c>
      <c r="L6764" t="s">
        <v>37</v>
      </c>
      <c r="M6764">
        <v>1</v>
      </c>
      <c r="N6764">
        <v>1</v>
      </c>
      <c r="O6764">
        <v>2972</v>
      </c>
      <c r="P6764">
        <v>2816</v>
      </c>
      <c r="Q6764">
        <f>35-14</f>
        <v>21</v>
      </c>
      <c r="R6764" t="s">
        <v>38</v>
      </c>
      <c r="AB6764" t="s">
        <v>1099</v>
      </c>
      <c r="AC6764" t="s">
        <v>41</v>
      </c>
    </row>
    <row r="6765" spans="1:30" x14ac:dyDescent="0.35">
      <c r="A6765" s="7">
        <v>43271</v>
      </c>
      <c r="B6765" t="s">
        <v>30</v>
      </c>
      <c r="C6765">
        <v>701</v>
      </c>
      <c r="D6765">
        <v>5</v>
      </c>
      <c r="E6765">
        <v>2</v>
      </c>
      <c r="F6765" t="s">
        <v>1139</v>
      </c>
      <c r="G6765" t="s">
        <v>32</v>
      </c>
      <c r="H6765" t="s">
        <v>33</v>
      </c>
      <c r="I6765" t="s">
        <v>43</v>
      </c>
      <c r="J6765" t="s">
        <v>44</v>
      </c>
      <c r="K6765" t="s">
        <v>36</v>
      </c>
      <c r="L6765" t="s">
        <v>45</v>
      </c>
      <c r="M6765">
        <v>0</v>
      </c>
      <c r="N6765">
        <v>0</v>
      </c>
      <c r="O6765">
        <v>2471</v>
      </c>
      <c r="P6765">
        <v>2470</v>
      </c>
      <c r="Q6765">
        <f>36-14</f>
        <v>22</v>
      </c>
      <c r="R6765" t="s">
        <v>1021</v>
      </c>
      <c r="S6765" t="s">
        <v>102</v>
      </c>
      <c r="AB6765" t="s">
        <v>1099</v>
      </c>
      <c r="AC6765" t="s">
        <v>41</v>
      </c>
    </row>
    <row r="6766" spans="1:30" x14ac:dyDescent="0.35">
      <c r="A6766" s="7">
        <v>43271</v>
      </c>
      <c r="B6766" t="s">
        <v>30</v>
      </c>
      <c r="C6766">
        <v>701</v>
      </c>
      <c r="D6766">
        <v>9</v>
      </c>
      <c r="E6766">
        <v>1</v>
      </c>
      <c r="F6766" t="s">
        <v>1139</v>
      </c>
      <c r="G6766" t="s">
        <v>32</v>
      </c>
      <c r="H6766" t="s">
        <v>33</v>
      </c>
      <c r="I6766" t="s">
        <v>43</v>
      </c>
      <c r="J6766" t="s">
        <v>44</v>
      </c>
      <c r="K6766" t="s">
        <v>36</v>
      </c>
      <c r="L6766" t="s">
        <v>45</v>
      </c>
      <c r="M6766">
        <v>0</v>
      </c>
      <c r="N6766">
        <v>0</v>
      </c>
      <c r="O6766">
        <v>2469</v>
      </c>
      <c r="P6766">
        <v>2468</v>
      </c>
      <c r="Q6766">
        <f>30-13</f>
        <v>17</v>
      </c>
      <c r="R6766" t="s">
        <v>1021</v>
      </c>
      <c r="S6766" t="s">
        <v>102</v>
      </c>
      <c r="AB6766" t="s">
        <v>1099</v>
      </c>
      <c r="AC6766" t="s">
        <v>41</v>
      </c>
    </row>
    <row r="6767" spans="1:30" x14ac:dyDescent="0.35">
      <c r="A6767" s="7">
        <v>43271</v>
      </c>
      <c r="B6767" t="s">
        <v>30</v>
      </c>
      <c r="C6767">
        <v>703</v>
      </c>
      <c r="D6767">
        <v>4</v>
      </c>
      <c r="E6767">
        <v>1</v>
      </c>
      <c r="F6767" t="s">
        <v>1139</v>
      </c>
      <c r="G6767" t="s">
        <v>32</v>
      </c>
      <c r="H6767" t="s">
        <v>33</v>
      </c>
      <c r="I6767" t="s">
        <v>43</v>
      </c>
      <c r="J6767" t="s">
        <v>44</v>
      </c>
      <c r="K6767" t="s">
        <v>36</v>
      </c>
      <c r="L6767" t="s">
        <v>45</v>
      </c>
      <c r="M6767">
        <v>0</v>
      </c>
      <c r="N6767">
        <v>0</v>
      </c>
      <c r="O6767">
        <v>39771</v>
      </c>
      <c r="P6767">
        <v>39770</v>
      </c>
      <c r="Q6767">
        <f>33-13</f>
        <v>20</v>
      </c>
      <c r="R6767" t="s">
        <v>46</v>
      </c>
      <c r="S6767" t="s">
        <v>39</v>
      </c>
      <c r="AB6767" t="s">
        <v>1099</v>
      </c>
      <c r="AC6767" t="s">
        <v>41</v>
      </c>
    </row>
    <row r="6768" spans="1:30" x14ac:dyDescent="0.35">
      <c r="A6768" s="7">
        <v>43271</v>
      </c>
      <c r="B6768" t="s">
        <v>30</v>
      </c>
      <c r="C6768">
        <v>703</v>
      </c>
      <c r="D6768">
        <v>6</v>
      </c>
      <c r="E6768">
        <v>2</v>
      </c>
      <c r="F6768" t="s">
        <v>1139</v>
      </c>
      <c r="G6768" t="s">
        <v>32</v>
      </c>
      <c r="H6768" t="s">
        <v>33</v>
      </c>
      <c r="I6768" t="s">
        <v>43</v>
      </c>
      <c r="J6768" t="s">
        <v>35</v>
      </c>
      <c r="K6768" t="s">
        <v>88</v>
      </c>
      <c r="L6768" t="s">
        <v>37</v>
      </c>
      <c r="M6768">
        <v>0</v>
      </c>
      <c r="N6768">
        <v>1</v>
      </c>
      <c r="O6768">
        <v>1068</v>
      </c>
      <c r="P6768">
        <v>1067</v>
      </c>
      <c r="Q6768">
        <f>28.5-13</f>
        <v>15.5</v>
      </c>
      <c r="R6768" t="s">
        <v>64</v>
      </c>
      <c r="AB6768" t="s">
        <v>1099</v>
      </c>
      <c r="AC6768" t="s">
        <v>41</v>
      </c>
    </row>
    <row r="6769" spans="1:30" x14ac:dyDescent="0.35">
      <c r="A6769" s="7">
        <v>43271</v>
      </c>
      <c r="B6769" t="s">
        <v>30</v>
      </c>
      <c r="C6769">
        <v>703</v>
      </c>
      <c r="D6769">
        <v>8</v>
      </c>
      <c r="E6769">
        <v>1</v>
      </c>
      <c r="F6769" t="s">
        <v>1139</v>
      </c>
      <c r="G6769" t="s">
        <v>32</v>
      </c>
      <c r="H6769" t="s">
        <v>33</v>
      </c>
      <c r="I6769" t="s">
        <v>43</v>
      </c>
      <c r="J6769" t="s">
        <v>44</v>
      </c>
      <c r="K6769" t="s">
        <v>36</v>
      </c>
      <c r="L6769" t="s">
        <v>37</v>
      </c>
      <c r="M6769">
        <v>0</v>
      </c>
      <c r="N6769">
        <v>0</v>
      </c>
      <c r="O6769">
        <v>2456</v>
      </c>
      <c r="P6769">
        <v>2455</v>
      </c>
      <c r="Q6769">
        <f>34-13</f>
        <v>21</v>
      </c>
      <c r="R6769" t="s">
        <v>64</v>
      </c>
      <c r="AB6769" t="s">
        <v>1099</v>
      </c>
      <c r="AC6769" t="s">
        <v>41</v>
      </c>
      <c r="AD6769" t="s">
        <v>1173</v>
      </c>
    </row>
    <row r="6770" spans="1:30" x14ac:dyDescent="0.35">
      <c r="A6770" s="7">
        <v>43271</v>
      </c>
      <c r="B6770" t="s">
        <v>30</v>
      </c>
      <c r="C6770">
        <v>703</v>
      </c>
      <c r="D6770">
        <v>9</v>
      </c>
      <c r="E6770">
        <v>1</v>
      </c>
      <c r="F6770" t="s">
        <v>1139</v>
      </c>
      <c r="G6770" t="s">
        <v>32</v>
      </c>
      <c r="H6770" t="s">
        <v>33</v>
      </c>
      <c r="I6770" t="s">
        <v>43</v>
      </c>
      <c r="J6770" t="s">
        <v>44</v>
      </c>
      <c r="K6770" t="s">
        <v>36</v>
      </c>
      <c r="L6770" t="s">
        <v>45</v>
      </c>
      <c r="M6770">
        <v>0</v>
      </c>
      <c r="N6770">
        <v>0</v>
      </c>
      <c r="O6770">
        <v>1165</v>
      </c>
      <c r="P6770">
        <v>1164</v>
      </c>
      <c r="Q6770">
        <f>32.5-13</f>
        <v>19.5</v>
      </c>
      <c r="R6770" t="s">
        <v>1021</v>
      </c>
      <c r="S6770" t="s">
        <v>102</v>
      </c>
      <c r="AB6770" t="s">
        <v>1099</v>
      </c>
      <c r="AC6770" t="s">
        <v>41</v>
      </c>
    </row>
    <row r="6771" spans="1:30" x14ac:dyDescent="0.35">
      <c r="A6771" s="7">
        <v>43271</v>
      </c>
      <c r="B6771" t="s">
        <v>30</v>
      </c>
      <c r="C6771">
        <v>801</v>
      </c>
      <c r="D6771">
        <v>4</v>
      </c>
      <c r="E6771">
        <v>1</v>
      </c>
      <c r="F6771" t="s">
        <v>1139</v>
      </c>
      <c r="G6771" t="s">
        <v>32</v>
      </c>
      <c r="H6771" t="s">
        <v>33</v>
      </c>
      <c r="I6771" t="s">
        <v>43</v>
      </c>
      <c r="J6771" t="s">
        <v>44</v>
      </c>
      <c r="K6771" t="s">
        <v>36</v>
      </c>
      <c r="L6771" t="s">
        <v>45</v>
      </c>
      <c r="M6771">
        <v>0</v>
      </c>
      <c r="N6771">
        <v>0</v>
      </c>
      <c r="O6771">
        <v>2425</v>
      </c>
      <c r="P6771">
        <v>2424</v>
      </c>
      <c r="Q6771">
        <f>35-13</f>
        <v>22</v>
      </c>
      <c r="R6771" t="s">
        <v>46</v>
      </c>
      <c r="S6771" t="s">
        <v>39</v>
      </c>
      <c r="AB6771" t="s">
        <v>1099</v>
      </c>
      <c r="AC6771" t="s">
        <v>41</v>
      </c>
    </row>
    <row r="6772" spans="1:30" x14ac:dyDescent="0.35">
      <c r="A6772" s="7">
        <v>43271</v>
      </c>
      <c r="B6772" t="s">
        <v>30</v>
      </c>
      <c r="C6772">
        <v>801</v>
      </c>
      <c r="D6772">
        <v>6</v>
      </c>
      <c r="E6772">
        <v>1</v>
      </c>
      <c r="F6772" t="s">
        <v>1139</v>
      </c>
      <c r="G6772" t="s">
        <v>32</v>
      </c>
      <c r="H6772" t="s">
        <v>33</v>
      </c>
      <c r="I6772" t="s">
        <v>43</v>
      </c>
      <c r="J6772" t="s">
        <v>44</v>
      </c>
      <c r="K6772" t="s">
        <v>36</v>
      </c>
      <c r="L6772" t="s">
        <v>37</v>
      </c>
      <c r="M6772">
        <v>0</v>
      </c>
      <c r="N6772">
        <v>0</v>
      </c>
      <c r="O6772">
        <v>1168</v>
      </c>
      <c r="P6772">
        <v>1167</v>
      </c>
      <c r="Q6772">
        <f>34-13</f>
        <v>21</v>
      </c>
      <c r="R6772" t="s">
        <v>38</v>
      </c>
      <c r="AB6772" t="s">
        <v>1099</v>
      </c>
      <c r="AC6772" t="s">
        <v>41</v>
      </c>
    </row>
    <row r="6773" spans="1:30" x14ac:dyDescent="0.35">
      <c r="A6773" s="7">
        <v>43271</v>
      </c>
      <c r="B6773" t="s">
        <v>30</v>
      </c>
      <c r="C6773">
        <v>801</v>
      </c>
      <c r="D6773">
        <v>9</v>
      </c>
      <c r="E6773">
        <v>1</v>
      </c>
      <c r="F6773" t="s">
        <v>1139</v>
      </c>
      <c r="G6773" t="s">
        <v>32</v>
      </c>
      <c r="H6773" t="s">
        <v>33</v>
      </c>
      <c r="I6773" t="s">
        <v>43</v>
      </c>
      <c r="J6773" t="s">
        <v>44</v>
      </c>
      <c r="K6773" t="s">
        <v>36</v>
      </c>
      <c r="L6773" t="s">
        <v>37</v>
      </c>
      <c r="M6773">
        <v>0</v>
      </c>
      <c r="N6773">
        <v>0</v>
      </c>
      <c r="O6773">
        <v>1073</v>
      </c>
      <c r="P6773">
        <v>1072</v>
      </c>
      <c r="Q6773">
        <f>35-13</f>
        <v>22</v>
      </c>
      <c r="R6773" t="s">
        <v>64</v>
      </c>
      <c r="AB6773" t="s">
        <v>1099</v>
      </c>
      <c r="AC6773" t="s">
        <v>41</v>
      </c>
    </row>
    <row r="6774" spans="1:30" x14ac:dyDescent="0.35">
      <c r="A6774" s="7">
        <v>43271</v>
      </c>
      <c r="B6774" t="s">
        <v>30</v>
      </c>
      <c r="C6774">
        <v>801</v>
      </c>
      <c r="D6774">
        <v>10</v>
      </c>
      <c r="E6774">
        <v>1</v>
      </c>
      <c r="F6774" t="s">
        <v>1139</v>
      </c>
      <c r="G6774" t="s">
        <v>32</v>
      </c>
      <c r="H6774" t="s">
        <v>33</v>
      </c>
      <c r="I6774" t="s">
        <v>43</v>
      </c>
      <c r="J6774" t="s">
        <v>44</v>
      </c>
      <c r="K6774" t="s">
        <v>36</v>
      </c>
      <c r="L6774" t="s">
        <v>37</v>
      </c>
      <c r="M6774">
        <v>0</v>
      </c>
      <c r="N6774">
        <v>0</v>
      </c>
      <c r="O6774">
        <v>2421</v>
      </c>
      <c r="P6774">
        <v>2420</v>
      </c>
      <c r="Q6774">
        <f>31-13.5</f>
        <v>17.5</v>
      </c>
      <c r="R6774" t="s">
        <v>64</v>
      </c>
      <c r="AB6774" t="s">
        <v>1099</v>
      </c>
      <c r="AC6774" t="s">
        <v>41</v>
      </c>
    </row>
    <row r="6775" spans="1:30" x14ac:dyDescent="0.35">
      <c r="A6775" s="7">
        <v>43271</v>
      </c>
      <c r="B6775" t="s">
        <v>30</v>
      </c>
      <c r="C6775">
        <v>803</v>
      </c>
      <c r="D6775">
        <v>7</v>
      </c>
      <c r="E6775">
        <v>1</v>
      </c>
      <c r="F6775" t="s">
        <v>1139</v>
      </c>
      <c r="G6775" t="s">
        <v>32</v>
      </c>
      <c r="H6775" t="s">
        <v>33</v>
      </c>
      <c r="I6775" t="s">
        <v>43</v>
      </c>
      <c r="J6775" t="s">
        <v>44</v>
      </c>
      <c r="K6775" t="s">
        <v>113</v>
      </c>
      <c r="L6775" t="s">
        <v>45</v>
      </c>
      <c r="M6775">
        <v>0</v>
      </c>
      <c r="N6775">
        <v>0</v>
      </c>
      <c r="O6775">
        <v>1070</v>
      </c>
      <c r="P6775">
        <v>1069</v>
      </c>
      <c r="Q6775">
        <f>28-14</f>
        <v>14</v>
      </c>
      <c r="R6775" t="s">
        <v>46</v>
      </c>
      <c r="S6775" t="s">
        <v>39</v>
      </c>
      <c r="AB6775" t="s">
        <v>1099</v>
      </c>
      <c r="AC6775" t="s">
        <v>41</v>
      </c>
    </row>
    <row r="6776" spans="1:30" x14ac:dyDescent="0.35">
      <c r="A6776" s="7">
        <v>43271</v>
      </c>
      <c r="B6776" t="s">
        <v>30</v>
      </c>
      <c r="C6776">
        <v>803</v>
      </c>
      <c r="D6776">
        <v>9</v>
      </c>
      <c r="E6776">
        <v>1</v>
      </c>
      <c r="F6776" t="s">
        <v>1139</v>
      </c>
      <c r="G6776" t="s">
        <v>32</v>
      </c>
      <c r="H6776" t="s">
        <v>33</v>
      </c>
      <c r="I6776" t="s">
        <v>43</v>
      </c>
      <c r="J6776" t="s">
        <v>44</v>
      </c>
      <c r="K6776" t="s">
        <v>36</v>
      </c>
      <c r="L6776" t="s">
        <v>37</v>
      </c>
      <c r="M6776">
        <v>0</v>
      </c>
      <c r="N6776">
        <v>0</v>
      </c>
      <c r="O6776">
        <v>2419</v>
      </c>
      <c r="P6776">
        <v>2418</v>
      </c>
      <c r="Q6776">
        <f>31.5-14</f>
        <v>17.5</v>
      </c>
      <c r="R6776" t="s">
        <v>38</v>
      </c>
      <c r="AB6776" t="s">
        <v>1099</v>
      </c>
      <c r="AC6776" t="s">
        <v>41</v>
      </c>
    </row>
    <row r="6777" spans="1:30" x14ac:dyDescent="0.35">
      <c r="A6777" s="7">
        <v>43271</v>
      </c>
      <c r="B6777" t="s">
        <v>30</v>
      </c>
      <c r="C6777">
        <v>501</v>
      </c>
      <c r="D6777">
        <v>2</v>
      </c>
      <c r="E6777">
        <v>2</v>
      </c>
      <c r="F6777" t="s">
        <v>1170</v>
      </c>
      <c r="G6777" t="s">
        <v>32</v>
      </c>
      <c r="H6777" t="s">
        <v>33</v>
      </c>
      <c r="I6777" t="s">
        <v>34</v>
      </c>
      <c r="J6777" t="s">
        <v>44</v>
      </c>
      <c r="K6777" t="s">
        <v>36</v>
      </c>
      <c r="L6777" t="s">
        <v>37</v>
      </c>
      <c r="M6777">
        <v>0</v>
      </c>
      <c r="N6777">
        <v>0</v>
      </c>
      <c r="O6777">
        <v>2189</v>
      </c>
      <c r="Q6777">
        <f>210-130</f>
        <v>80</v>
      </c>
      <c r="R6777" t="s">
        <v>64</v>
      </c>
      <c r="AB6777" t="s">
        <v>1099</v>
      </c>
      <c r="AC6777" t="s">
        <v>41</v>
      </c>
    </row>
    <row r="6778" spans="1:30" x14ac:dyDescent="0.35">
      <c r="A6778" s="7">
        <v>43271</v>
      </c>
      <c r="B6778" t="s">
        <v>30</v>
      </c>
      <c r="C6778">
        <v>501</v>
      </c>
      <c r="D6778">
        <v>10</v>
      </c>
      <c r="E6778">
        <v>1</v>
      </c>
      <c r="F6778" t="s">
        <v>1170</v>
      </c>
      <c r="G6778" t="s">
        <v>32</v>
      </c>
      <c r="H6778" t="s">
        <v>33</v>
      </c>
      <c r="I6778" t="s">
        <v>34</v>
      </c>
      <c r="J6778" t="s">
        <v>92</v>
      </c>
      <c r="AB6778" t="s">
        <v>1099</v>
      </c>
      <c r="AC6778" t="s">
        <v>41</v>
      </c>
    </row>
    <row r="6779" spans="1:30" x14ac:dyDescent="0.35">
      <c r="A6779" s="7">
        <v>43271</v>
      </c>
      <c r="B6779" t="s">
        <v>30</v>
      </c>
      <c r="C6779">
        <v>801</v>
      </c>
      <c r="D6779">
        <v>2</v>
      </c>
      <c r="E6779">
        <v>1</v>
      </c>
      <c r="F6779" t="s">
        <v>1139</v>
      </c>
      <c r="G6779" t="s">
        <v>32</v>
      </c>
      <c r="H6779" t="s">
        <v>33</v>
      </c>
      <c r="I6779" t="s">
        <v>34</v>
      </c>
      <c r="J6779" t="s">
        <v>44</v>
      </c>
      <c r="K6779" t="s">
        <v>36</v>
      </c>
      <c r="L6779" t="s">
        <v>37</v>
      </c>
      <c r="M6779">
        <v>0</v>
      </c>
      <c r="N6779">
        <v>0</v>
      </c>
      <c r="O6779">
        <v>2452</v>
      </c>
      <c r="Q6779">
        <f>175-90</f>
        <v>85</v>
      </c>
      <c r="R6779" t="s">
        <v>64</v>
      </c>
      <c r="AB6779" t="s">
        <v>1099</v>
      </c>
      <c r="AC6779" t="s">
        <v>41</v>
      </c>
    </row>
    <row r="6780" spans="1:30" x14ac:dyDescent="0.35">
      <c r="A6780" s="7">
        <v>43271</v>
      </c>
      <c r="B6780" t="s">
        <v>30</v>
      </c>
      <c r="C6780">
        <v>801</v>
      </c>
      <c r="D6780">
        <v>7</v>
      </c>
      <c r="E6780">
        <v>1</v>
      </c>
      <c r="F6780" t="s">
        <v>1139</v>
      </c>
      <c r="G6780" t="s">
        <v>32</v>
      </c>
      <c r="H6780" t="s">
        <v>33</v>
      </c>
      <c r="I6780" t="s">
        <v>34</v>
      </c>
      <c r="J6780" t="s">
        <v>35</v>
      </c>
      <c r="K6780" t="s">
        <v>36</v>
      </c>
      <c r="L6780" t="s">
        <v>37</v>
      </c>
      <c r="M6780">
        <v>0</v>
      </c>
      <c r="N6780">
        <v>1</v>
      </c>
      <c r="O6780">
        <v>1065</v>
      </c>
      <c r="Q6780">
        <f>190-90</f>
        <v>100</v>
      </c>
      <c r="R6780" t="s">
        <v>64</v>
      </c>
      <c r="AB6780" t="s">
        <v>1099</v>
      </c>
      <c r="AC6780" t="s">
        <v>41</v>
      </c>
    </row>
    <row r="6781" spans="1:30" x14ac:dyDescent="0.35">
      <c r="A6781" s="7">
        <v>43271</v>
      </c>
      <c r="B6781" t="s">
        <v>30</v>
      </c>
      <c r="C6781">
        <v>801</v>
      </c>
      <c r="D6781">
        <v>9</v>
      </c>
      <c r="E6781">
        <v>2</v>
      </c>
      <c r="F6781" t="s">
        <v>1139</v>
      </c>
      <c r="G6781" t="s">
        <v>32</v>
      </c>
      <c r="H6781" t="s">
        <v>33</v>
      </c>
      <c r="I6781" t="s">
        <v>34</v>
      </c>
      <c r="J6781" t="s">
        <v>44</v>
      </c>
      <c r="K6781" t="s">
        <v>36</v>
      </c>
      <c r="L6781" t="s">
        <v>45</v>
      </c>
      <c r="M6781">
        <v>0</v>
      </c>
      <c r="N6781">
        <v>0</v>
      </c>
      <c r="O6781">
        <v>2423</v>
      </c>
      <c r="Q6781">
        <f>175-90</f>
        <v>85</v>
      </c>
      <c r="R6781" t="s">
        <v>1021</v>
      </c>
      <c r="S6781" t="s">
        <v>102</v>
      </c>
      <c r="AB6781" t="s">
        <v>1099</v>
      </c>
      <c r="AC6781" t="s">
        <v>41</v>
      </c>
    </row>
    <row r="6782" spans="1:30" x14ac:dyDescent="0.35">
      <c r="A6782" s="7">
        <v>43271</v>
      </c>
      <c r="B6782" t="s">
        <v>30</v>
      </c>
      <c r="C6782">
        <v>803</v>
      </c>
      <c r="D6782">
        <v>1</v>
      </c>
      <c r="E6782">
        <v>1</v>
      </c>
      <c r="F6782" t="s">
        <v>1139</v>
      </c>
      <c r="G6782" t="s">
        <v>32</v>
      </c>
      <c r="H6782" t="s">
        <v>33</v>
      </c>
      <c r="I6782" t="s">
        <v>34</v>
      </c>
      <c r="J6782" t="s">
        <v>44</v>
      </c>
      <c r="K6782" t="s">
        <v>36</v>
      </c>
      <c r="L6782" t="s">
        <v>37</v>
      </c>
      <c r="M6782">
        <v>0</v>
      </c>
      <c r="N6782">
        <v>0</v>
      </c>
      <c r="O6782">
        <v>1166</v>
      </c>
      <c r="Q6782">
        <f>160-90</f>
        <v>70</v>
      </c>
      <c r="R6782" t="s">
        <v>64</v>
      </c>
      <c r="AB6782" t="s">
        <v>1099</v>
      </c>
      <c r="AC6782" t="s">
        <v>41</v>
      </c>
    </row>
    <row r="6783" spans="1:30" x14ac:dyDescent="0.35">
      <c r="A6783" s="7">
        <v>43271</v>
      </c>
      <c r="B6783" t="s">
        <v>30</v>
      </c>
      <c r="C6783">
        <v>803</v>
      </c>
      <c r="D6783">
        <v>10</v>
      </c>
      <c r="E6783">
        <v>1</v>
      </c>
      <c r="F6783" t="s">
        <v>1139</v>
      </c>
      <c r="G6783" t="s">
        <v>32</v>
      </c>
      <c r="H6783" t="s">
        <v>33</v>
      </c>
      <c r="I6783" t="s">
        <v>34</v>
      </c>
      <c r="J6783" t="s">
        <v>44</v>
      </c>
      <c r="K6783" t="s">
        <v>36</v>
      </c>
      <c r="L6783" t="s">
        <v>45</v>
      </c>
      <c r="M6783">
        <v>0</v>
      </c>
      <c r="N6783">
        <v>0</v>
      </c>
      <c r="O6783">
        <v>1175</v>
      </c>
      <c r="Q6783">
        <f>170-90</f>
        <v>80</v>
      </c>
      <c r="R6783" t="s">
        <v>46</v>
      </c>
      <c r="S6783" t="s">
        <v>39</v>
      </c>
      <c r="AB6783" t="s">
        <v>1099</v>
      </c>
      <c r="AC6783" t="s">
        <v>41</v>
      </c>
    </row>
    <row r="6784" spans="1:30" x14ac:dyDescent="0.35">
      <c r="A6784" s="7">
        <v>43271</v>
      </c>
      <c r="B6784" t="s">
        <v>30</v>
      </c>
      <c r="C6784">
        <v>501</v>
      </c>
      <c r="D6784">
        <v>1</v>
      </c>
      <c r="E6784">
        <v>1</v>
      </c>
      <c r="F6784" t="s">
        <v>1170</v>
      </c>
      <c r="G6784" t="s">
        <v>32</v>
      </c>
      <c r="H6784" t="s">
        <v>33</v>
      </c>
      <c r="I6784" t="s">
        <v>58</v>
      </c>
      <c r="J6784" t="s">
        <v>92</v>
      </c>
      <c r="AB6784" t="s">
        <v>1099</v>
      </c>
      <c r="AC6784" t="s">
        <v>41</v>
      </c>
    </row>
    <row r="6785" spans="1:29" x14ac:dyDescent="0.35">
      <c r="A6785" s="7">
        <v>43271</v>
      </c>
      <c r="B6785" t="s">
        <v>30</v>
      </c>
      <c r="C6785">
        <v>503</v>
      </c>
      <c r="D6785">
        <v>6</v>
      </c>
      <c r="E6785">
        <v>1</v>
      </c>
      <c r="F6785" t="s">
        <v>1170</v>
      </c>
      <c r="G6785" t="s">
        <v>32</v>
      </c>
      <c r="H6785" t="s">
        <v>33</v>
      </c>
      <c r="I6785" t="s">
        <v>58</v>
      </c>
      <c r="J6785" t="s">
        <v>44</v>
      </c>
      <c r="K6785" t="s">
        <v>36</v>
      </c>
      <c r="L6785" t="s">
        <v>45</v>
      </c>
      <c r="M6785">
        <v>0</v>
      </c>
      <c r="N6785">
        <v>0</v>
      </c>
      <c r="O6785">
        <v>2908</v>
      </c>
      <c r="Q6785">
        <f>37-15</f>
        <v>22</v>
      </c>
      <c r="R6785" t="s">
        <v>79</v>
      </c>
      <c r="S6785" t="s">
        <v>39</v>
      </c>
      <c r="AB6785" t="s">
        <v>1099</v>
      </c>
      <c r="AC6785" t="s">
        <v>41</v>
      </c>
    </row>
    <row r="6786" spans="1:29" x14ac:dyDescent="0.35">
      <c r="A6786" s="7">
        <v>43271</v>
      </c>
      <c r="B6786" t="s">
        <v>30</v>
      </c>
      <c r="C6786">
        <v>701</v>
      </c>
      <c r="D6786">
        <v>8</v>
      </c>
      <c r="E6786">
        <v>1</v>
      </c>
      <c r="F6786" t="s">
        <v>1139</v>
      </c>
      <c r="G6786" t="s">
        <v>32</v>
      </c>
      <c r="H6786" t="s">
        <v>33</v>
      </c>
      <c r="I6786" t="s">
        <v>65</v>
      </c>
      <c r="J6786" t="s">
        <v>44</v>
      </c>
      <c r="K6786" t="s">
        <v>36</v>
      </c>
      <c r="L6786" t="s">
        <v>37</v>
      </c>
      <c r="M6786">
        <v>0</v>
      </c>
      <c r="N6786">
        <v>0</v>
      </c>
      <c r="O6786">
        <v>2565</v>
      </c>
      <c r="Q6786">
        <f>240-90</f>
        <v>150</v>
      </c>
      <c r="R6786" t="s">
        <v>38</v>
      </c>
      <c r="AB6786" t="s">
        <v>1099</v>
      </c>
      <c r="AC6786" t="s">
        <v>41</v>
      </c>
    </row>
    <row r="6787" spans="1:29" x14ac:dyDescent="0.35">
      <c r="A6787" s="7">
        <v>43271</v>
      </c>
      <c r="B6787" t="s">
        <v>30</v>
      </c>
      <c r="C6787">
        <v>703</v>
      </c>
      <c r="D6787">
        <v>10</v>
      </c>
      <c r="E6787">
        <v>1</v>
      </c>
      <c r="F6787" t="s">
        <v>1139</v>
      </c>
      <c r="G6787" t="s">
        <v>32</v>
      </c>
      <c r="H6787" t="s">
        <v>33</v>
      </c>
      <c r="I6787" t="s">
        <v>65</v>
      </c>
      <c r="J6787" t="s">
        <v>44</v>
      </c>
      <c r="K6787" t="s">
        <v>36</v>
      </c>
      <c r="L6787" t="s">
        <v>45</v>
      </c>
      <c r="M6787">
        <v>0</v>
      </c>
      <c r="N6787">
        <v>0</v>
      </c>
      <c r="O6787">
        <v>2467</v>
      </c>
      <c r="Q6787">
        <f>290-90</f>
        <v>200</v>
      </c>
      <c r="R6787" t="s">
        <v>46</v>
      </c>
      <c r="S6787" t="s">
        <v>39</v>
      </c>
      <c r="AB6787" t="s">
        <v>1099</v>
      </c>
      <c r="AC6787" t="s">
        <v>41</v>
      </c>
    </row>
    <row r="6788" spans="1:29" x14ac:dyDescent="0.35">
      <c r="A6788" s="7">
        <v>43271</v>
      </c>
      <c r="B6788" t="s">
        <v>30</v>
      </c>
      <c r="C6788">
        <v>801</v>
      </c>
      <c r="D6788">
        <v>10</v>
      </c>
      <c r="E6788">
        <v>2</v>
      </c>
      <c r="F6788" t="s">
        <v>1139</v>
      </c>
      <c r="G6788" t="s">
        <v>32</v>
      </c>
      <c r="H6788" t="s">
        <v>33</v>
      </c>
      <c r="I6788" t="s">
        <v>65</v>
      </c>
      <c r="J6788" t="s">
        <v>35</v>
      </c>
      <c r="K6788" t="s">
        <v>36</v>
      </c>
      <c r="L6788" t="s">
        <v>37</v>
      </c>
      <c r="M6788">
        <v>0</v>
      </c>
      <c r="N6788">
        <v>1</v>
      </c>
      <c r="O6788">
        <v>1064</v>
      </c>
      <c r="Q6788">
        <f>250-90</f>
        <v>160</v>
      </c>
      <c r="R6788" t="s">
        <v>38</v>
      </c>
      <c r="AB6788" t="s">
        <v>1099</v>
      </c>
      <c r="AC6788" t="s">
        <v>41</v>
      </c>
    </row>
    <row r="6789" spans="1:29" x14ac:dyDescent="0.35">
      <c r="A6789" s="7">
        <v>43271</v>
      </c>
      <c r="B6789" t="s">
        <v>30</v>
      </c>
      <c r="C6789">
        <v>303</v>
      </c>
      <c r="D6789">
        <v>8</v>
      </c>
      <c r="E6789">
        <v>1</v>
      </c>
      <c r="F6789" t="s">
        <v>1170</v>
      </c>
      <c r="G6789" t="s">
        <v>32</v>
      </c>
      <c r="H6789" t="s">
        <v>33</v>
      </c>
      <c r="I6789" t="s">
        <v>1029</v>
      </c>
      <c r="J6789" t="s">
        <v>66</v>
      </c>
      <c r="AB6789" t="s">
        <v>1099</v>
      </c>
      <c r="AC6789" t="s">
        <v>41</v>
      </c>
    </row>
    <row r="6790" spans="1:29" x14ac:dyDescent="0.35">
      <c r="A6790" s="7">
        <v>43271</v>
      </c>
      <c r="B6790" t="s">
        <v>30</v>
      </c>
      <c r="C6790">
        <v>303</v>
      </c>
      <c r="D6790">
        <v>3</v>
      </c>
      <c r="E6790">
        <v>1</v>
      </c>
      <c r="F6790" t="s">
        <v>1170</v>
      </c>
      <c r="G6790" t="s">
        <v>32</v>
      </c>
      <c r="H6790" t="s">
        <v>33</v>
      </c>
      <c r="I6790" t="s">
        <v>72</v>
      </c>
      <c r="J6790" t="s">
        <v>66</v>
      </c>
      <c r="AB6790" t="s">
        <v>1099</v>
      </c>
      <c r="AC6790" t="s">
        <v>41</v>
      </c>
    </row>
    <row r="6791" spans="1:29" x14ac:dyDescent="0.35">
      <c r="A6791" s="7">
        <v>43271</v>
      </c>
      <c r="B6791" t="s">
        <v>30</v>
      </c>
      <c r="C6791">
        <v>303</v>
      </c>
      <c r="D6791">
        <v>5</v>
      </c>
      <c r="E6791">
        <v>1</v>
      </c>
      <c r="F6791" t="s">
        <v>1170</v>
      </c>
      <c r="G6791" t="s">
        <v>32</v>
      </c>
      <c r="H6791" t="s">
        <v>33</v>
      </c>
      <c r="I6791" t="s">
        <v>72</v>
      </c>
      <c r="J6791" t="s">
        <v>56</v>
      </c>
      <c r="AB6791" t="s">
        <v>1099</v>
      </c>
      <c r="AC6791" t="s">
        <v>41</v>
      </c>
    </row>
    <row r="6792" spans="1:29" x14ac:dyDescent="0.35">
      <c r="A6792" s="7">
        <v>43271</v>
      </c>
      <c r="B6792" t="s">
        <v>30</v>
      </c>
      <c r="C6792">
        <v>501</v>
      </c>
      <c r="D6792">
        <v>3</v>
      </c>
      <c r="E6792">
        <v>1</v>
      </c>
      <c r="F6792" t="s">
        <v>1170</v>
      </c>
      <c r="G6792" t="s">
        <v>32</v>
      </c>
      <c r="H6792" t="s">
        <v>33</v>
      </c>
      <c r="I6792" t="s">
        <v>72</v>
      </c>
      <c r="J6792" t="s">
        <v>56</v>
      </c>
      <c r="AB6792" t="s">
        <v>1099</v>
      </c>
      <c r="AC6792" t="s">
        <v>41</v>
      </c>
    </row>
    <row r="6793" spans="1:29" x14ac:dyDescent="0.35">
      <c r="A6793" s="7">
        <v>43271</v>
      </c>
      <c r="B6793" t="s">
        <v>30</v>
      </c>
      <c r="C6793">
        <v>501</v>
      </c>
      <c r="D6793">
        <v>3</v>
      </c>
      <c r="E6793">
        <v>1</v>
      </c>
      <c r="F6793" t="s">
        <v>1170</v>
      </c>
      <c r="G6793" t="s">
        <v>32</v>
      </c>
      <c r="H6793" t="s">
        <v>33</v>
      </c>
      <c r="I6793" t="s">
        <v>72</v>
      </c>
      <c r="J6793" t="s">
        <v>56</v>
      </c>
      <c r="AB6793" t="s">
        <v>1099</v>
      </c>
      <c r="AC6793" t="s">
        <v>41</v>
      </c>
    </row>
    <row r="6794" spans="1:29" x14ac:dyDescent="0.35">
      <c r="A6794" s="7">
        <v>43271</v>
      </c>
      <c r="B6794" t="s">
        <v>30</v>
      </c>
      <c r="C6794">
        <v>501</v>
      </c>
      <c r="D6794">
        <v>8</v>
      </c>
      <c r="E6794">
        <v>1</v>
      </c>
      <c r="F6794" t="s">
        <v>1170</v>
      </c>
      <c r="G6794" t="s">
        <v>32</v>
      </c>
      <c r="H6794" t="s">
        <v>33</v>
      </c>
      <c r="I6794" t="s">
        <v>72</v>
      </c>
      <c r="J6794" t="s">
        <v>56</v>
      </c>
      <c r="AB6794" t="s">
        <v>1099</v>
      </c>
      <c r="AC6794" t="s">
        <v>41</v>
      </c>
    </row>
    <row r="6795" spans="1:29" x14ac:dyDescent="0.35">
      <c r="A6795" s="7">
        <v>43271</v>
      </c>
      <c r="B6795" t="s">
        <v>30</v>
      </c>
      <c r="C6795">
        <v>803</v>
      </c>
      <c r="D6795">
        <v>6</v>
      </c>
      <c r="E6795">
        <v>1</v>
      </c>
      <c r="F6795" t="s">
        <v>1139</v>
      </c>
      <c r="G6795" t="s">
        <v>32</v>
      </c>
      <c r="H6795" t="s">
        <v>33</v>
      </c>
      <c r="I6795" t="s">
        <v>72</v>
      </c>
      <c r="J6795" t="s">
        <v>56</v>
      </c>
      <c r="AB6795" t="s">
        <v>1099</v>
      </c>
      <c r="AC6795" t="s">
        <v>41</v>
      </c>
    </row>
    <row r="6796" spans="1:29" x14ac:dyDescent="0.35">
      <c r="A6796" s="7">
        <v>43271</v>
      </c>
      <c r="B6796" t="s">
        <v>30</v>
      </c>
      <c r="C6796">
        <v>303</v>
      </c>
      <c r="D6796">
        <v>4</v>
      </c>
      <c r="E6796">
        <v>1</v>
      </c>
      <c r="F6796" t="s">
        <v>1170</v>
      </c>
      <c r="G6796" t="s">
        <v>32</v>
      </c>
      <c r="H6796" t="s">
        <v>33</v>
      </c>
      <c r="I6796" t="s">
        <v>59</v>
      </c>
      <c r="AB6796" t="s">
        <v>1099</v>
      </c>
      <c r="AC6796" t="s">
        <v>41</v>
      </c>
    </row>
    <row r="6797" spans="1:29" x14ac:dyDescent="0.35">
      <c r="A6797" s="7">
        <v>43271</v>
      </c>
      <c r="B6797" t="s">
        <v>30</v>
      </c>
      <c r="C6797">
        <v>401</v>
      </c>
      <c r="D6797">
        <v>9</v>
      </c>
      <c r="E6797">
        <v>1</v>
      </c>
      <c r="F6797" t="s">
        <v>1170</v>
      </c>
      <c r="G6797" t="s">
        <v>32</v>
      </c>
      <c r="H6797" t="s">
        <v>33</v>
      </c>
      <c r="I6797" t="s">
        <v>59</v>
      </c>
      <c r="AB6797" t="s">
        <v>1099</v>
      </c>
      <c r="AC6797" t="s">
        <v>41</v>
      </c>
    </row>
    <row r="6798" spans="1:29" x14ac:dyDescent="0.35">
      <c r="A6798" s="7">
        <v>43271</v>
      </c>
      <c r="B6798" t="s">
        <v>30</v>
      </c>
      <c r="C6798">
        <v>401</v>
      </c>
      <c r="D6798">
        <v>10</v>
      </c>
      <c r="E6798">
        <v>1</v>
      </c>
      <c r="F6798" t="s">
        <v>1170</v>
      </c>
      <c r="G6798" t="s">
        <v>32</v>
      </c>
      <c r="H6798" t="s">
        <v>33</v>
      </c>
      <c r="I6798" t="s">
        <v>59</v>
      </c>
      <c r="AB6798" t="s">
        <v>1099</v>
      </c>
      <c r="AC6798" t="s">
        <v>41</v>
      </c>
    </row>
    <row r="6799" spans="1:29" x14ac:dyDescent="0.35">
      <c r="A6799" s="7">
        <v>43271</v>
      </c>
      <c r="B6799" t="s">
        <v>30</v>
      </c>
      <c r="C6799">
        <v>501</v>
      </c>
      <c r="D6799">
        <v>10</v>
      </c>
      <c r="E6799">
        <v>2</v>
      </c>
      <c r="F6799" t="s">
        <v>1170</v>
      </c>
      <c r="G6799" t="s">
        <v>32</v>
      </c>
      <c r="H6799" t="s">
        <v>33</v>
      </c>
      <c r="I6799" t="s">
        <v>59</v>
      </c>
      <c r="AB6799" t="s">
        <v>1099</v>
      </c>
      <c r="AC6799" t="s">
        <v>41</v>
      </c>
    </row>
    <row r="6800" spans="1:29" x14ac:dyDescent="0.35">
      <c r="A6800" s="7">
        <v>43271</v>
      </c>
      <c r="B6800" t="s">
        <v>30</v>
      </c>
      <c r="C6800">
        <v>701</v>
      </c>
      <c r="D6800">
        <v>3</v>
      </c>
      <c r="E6800">
        <v>2</v>
      </c>
      <c r="F6800" t="s">
        <v>1139</v>
      </c>
      <c r="G6800" t="s">
        <v>32</v>
      </c>
      <c r="H6800" t="s">
        <v>33</v>
      </c>
      <c r="I6800" t="s">
        <v>59</v>
      </c>
      <c r="AB6800" t="s">
        <v>1099</v>
      </c>
      <c r="AC6800" t="s">
        <v>41</v>
      </c>
    </row>
    <row r="6801" spans="1:29" x14ac:dyDescent="0.35">
      <c r="A6801" s="7">
        <v>43271</v>
      </c>
      <c r="B6801" t="s">
        <v>30</v>
      </c>
      <c r="C6801">
        <v>703</v>
      </c>
      <c r="D6801">
        <v>1</v>
      </c>
      <c r="E6801">
        <v>1</v>
      </c>
      <c r="F6801" t="s">
        <v>1139</v>
      </c>
      <c r="G6801" t="s">
        <v>32</v>
      </c>
      <c r="H6801" t="s">
        <v>33</v>
      </c>
      <c r="I6801" t="s">
        <v>59</v>
      </c>
      <c r="AB6801" t="s">
        <v>1099</v>
      </c>
      <c r="AC6801" t="s">
        <v>41</v>
      </c>
    </row>
    <row r="6802" spans="1:29" x14ac:dyDescent="0.35">
      <c r="A6802" s="7">
        <v>43271</v>
      </c>
      <c r="B6802" t="s">
        <v>30</v>
      </c>
      <c r="C6802">
        <v>703</v>
      </c>
      <c r="D6802">
        <v>1</v>
      </c>
      <c r="E6802">
        <v>2</v>
      </c>
      <c r="F6802" t="s">
        <v>1139</v>
      </c>
      <c r="G6802" t="s">
        <v>32</v>
      </c>
      <c r="H6802" t="s">
        <v>33</v>
      </c>
      <c r="I6802" t="s">
        <v>59</v>
      </c>
      <c r="AB6802" t="s">
        <v>1099</v>
      </c>
      <c r="AC6802" t="s">
        <v>41</v>
      </c>
    </row>
    <row r="6803" spans="1:29" x14ac:dyDescent="0.35">
      <c r="A6803" s="7">
        <v>43271</v>
      </c>
      <c r="B6803" t="s">
        <v>30</v>
      </c>
      <c r="C6803">
        <v>703</v>
      </c>
      <c r="D6803">
        <v>2</v>
      </c>
      <c r="E6803">
        <v>1</v>
      </c>
      <c r="F6803" t="s">
        <v>1139</v>
      </c>
      <c r="G6803" t="s">
        <v>32</v>
      </c>
      <c r="H6803" t="s">
        <v>33</v>
      </c>
      <c r="I6803" t="s">
        <v>59</v>
      </c>
      <c r="AB6803" t="s">
        <v>1099</v>
      </c>
      <c r="AC6803" t="s">
        <v>41</v>
      </c>
    </row>
    <row r="6804" spans="1:29" x14ac:dyDescent="0.35">
      <c r="A6804" s="7">
        <v>43271</v>
      </c>
      <c r="B6804" t="s">
        <v>30</v>
      </c>
      <c r="C6804">
        <v>703</v>
      </c>
      <c r="D6804">
        <v>2</v>
      </c>
      <c r="E6804">
        <v>2</v>
      </c>
      <c r="F6804" t="s">
        <v>1139</v>
      </c>
      <c r="G6804" t="s">
        <v>32</v>
      </c>
      <c r="H6804" t="s">
        <v>33</v>
      </c>
      <c r="I6804" t="s">
        <v>59</v>
      </c>
      <c r="AB6804" t="s">
        <v>1099</v>
      </c>
      <c r="AC6804" t="s">
        <v>41</v>
      </c>
    </row>
    <row r="6805" spans="1:29" x14ac:dyDescent="0.35">
      <c r="A6805" s="7">
        <v>43271</v>
      </c>
      <c r="B6805" t="s">
        <v>30</v>
      </c>
      <c r="C6805">
        <v>703</v>
      </c>
      <c r="D6805">
        <v>3</v>
      </c>
      <c r="E6805">
        <v>1</v>
      </c>
      <c r="F6805" t="s">
        <v>1139</v>
      </c>
      <c r="G6805" t="s">
        <v>32</v>
      </c>
      <c r="H6805" t="s">
        <v>33</v>
      </c>
      <c r="I6805" t="s">
        <v>59</v>
      </c>
      <c r="AB6805" t="s">
        <v>1099</v>
      </c>
      <c r="AC6805" t="s">
        <v>41</v>
      </c>
    </row>
    <row r="6806" spans="1:29" x14ac:dyDescent="0.35">
      <c r="A6806" s="7">
        <v>43271</v>
      </c>
      <c r="B6806" t="s">
        <v>30</v>
      </c>
      <c r="C6806">
        <v>703</v>
      </c>
      <c r="D6806">
        <v>5</v>
      </c>
      <c r="E6806">
        <v>1</v>
      </c>
      <c r="F6806" t="s">
        <v>1139</v>
      </c>
      <c r="G6806" t="s">
        <v>32</v>
      </c>
      <c r="H6806" t="s">
        <v>33</v>
      </c>
      <c r="I6806" t="s">
        <v>59</v>
      </c>
      <c r="AB6806" t="s">
        <v>1099</v>
      </c>
      <c r="AC6806" t="s">
        <v>41</v>
      </c>
    </row>
    <row r="6807" spans="1:29" x14ac:dyDescent="0.35">
      <c r="A6807" s="7">
        <v>43271</v>
      </c>
      <c r="B6807" t="s">
        <v>30</v>
      </c>
      <c r="C6807">
        <v>703</v>
      </c>
      <c r="D6807">
        <v>6</v>
      </c>
      <c r="E6807">
        <v>1</v>
      </c>
      <c r="F6807" t="s">
        <v>1139</v>
      </c>
      <c r="G6807" t="s">
        <v>32</v>
      </c>
      <c r="H6807" t="s">
        <v>33</v>
      </c>
      <c r="I6807" t="s">
        <v>59</v>
      </c>
      <c r="AB6807" t="s">
        <v>1099</v>
      </c>
      <c r="AC6807" t="s">
        <v>41</v>
      </c>
    </row>
    <row r="6808" spans="1:29" x14ac:dyDescent="0.35">
      <c r="A6808" s="7">
        <v>43271</v>
      </c>
      <c r="B6808" t="s">
        <v>30</v>
      </c>
      <c r="C6808">
        <v>801</v>
      </c>
      <c r="D6808">
        <v>1</v>
      </c>
      <c r="E6808">
        <v>1</v>
      </c>
      <c r="F6808" t="s">
        <v>1139</v>
      </c>
      <c r="G6808" t="s">
        <v>32</v>
      </c>
      <c r="H6808" t="s">
        <v>33</v>
      </c>
      <c r="I6808" t="s">
        <v>59</v>
      </c>
      <c r="AB6808" t="s">
        <v>1099</v>
      </c>
      <c r="AC6808" t="s">
        <v>41</v>
      </c>
    </row>
    <row r="6809" spans="1:29" x14ac:dyDescent="0.35">
      <c r="A6809" s="7">
        <v>43271</v>
      </c>
      <c r="B6809" t="s">
        <v>30</v>
      </c>
      <c r="C6809">
        <v>801</v>
      </c>
      <c r="D6809">
        <v>3</v>
      </c>
      <c r="E6809">
        <v>1</v>
      </c>
      <c r="F6809" t="s">
        <v>1139</v>
      </c>
      <c r="G6809" t="s">
        <v>32</v>
      </c>
      <c r="H6809" t="s">
        <v>33</v>
      </c>
      <c r="I6809" t="s">
        <v>59</v>
      </c>
      <c r="AB6809" t="s">
        <v>1099</v>
      </c>
      <c r="AC6809" t="s">
        <v>41</v>
      </c>
    </row>
    <row r="6810" spans="1:29" x14ac:dyDescent="0.35">
      <c r="A6810" s="7">
        <v>43271</v>
      </c>
      <c r="B6810" t="s">
        <v>30</v>
      </c>
      <c r="C6810">
        <v>503</v>
      </c>
      <c r="D6810">
        <v>9</v>
      </c>
      <c r="E6810">
        <v>1</v>
      </c>
      <c r="F6810" t="s">
        <v>1170</v>
      </c>
      <c r="G6810" t="s">
        <v>32</v>
      </c>
      <c r="H6810" t="s">
        <v>33</v>
      </c>
      <c r="I6810" t="s">
        <v>94</v>
      </c>
      <c r="J6810" t="s">
        <v>35</v>
      </c>
      <c r="K6810" t="s">
        <v>36</v>
      </c>
      <c r="L6810" t="s">
        <v>37</v>
      </c>
      <c r="M6810">
        <v>0</v>
      </c>
      <c r="N6810">
        <v>1</v>
      </c>
      <c r="O6810">
        <v>1023</v>
      </c>
      <c r="Q6810">
        <f>37-16</f>
        <v>21</v>
      </c>
      <c r="R6810" t="s">
        <v>38</v>
      </c>
      <c r="AB6810" t="s">
        <v>1099</v>
      </c>
      <c r="AC6810" t="s">
        <v>41</v>
      </c>
    </row>
    <row r="6811" spans="1:29" x14ac:dyDescent="0.35">
      <c r="A6811" s="7">
        <v>43271</v>
      </c>
      <c r="B6811" t="s">
        <v>30</v>
      </c>
      <c r="C6811">
        <v>701</v>
      </c>
      <c r="D6811">
        <v>3</v>
      </c>
      <c r="E6811">
        <v>1</v>
      </c>
      <c r="F6811" t="s">
        <v>1139</v>
      </c>
      <c r="G6811" t="s">
        <v>32</v>
      </c>
      <c r="H6811" t="s">
        <v>33</v>
      </c>
      <c r="I6811" t="s">
        <v>94</v>
      </c>
      <c r="J6811" t="s">
        <v>35</v>
      </c>
      <c r="K6811" t="s">
        <v>36</v>
      </c>
      <c r="L6811" t="s">
        <v>45</v>
      </c>
      <c r="M6811">
        <v>0</v>
      </c>
      <c r="N6811">
        <v>1</v>
      </c>
      <c r="O6811">
        <v>1066</v>
      </c>
      <c r="Q6811">
        <f>34.5-13</f>
        <v>21.5</v>
      </c>
      <c r="R6811" t="s">
        <v>1021</v>
      </c>
      <c r="S6811" t="s">
        <v>102</v>
      </c>
      <c r="AB6811" t="s">
        <v>1099</v>
      </c>
      <c r="AC6811" t="s">
        <v>41</v>
      </c>
    </row>
    <row r="6812" spans="1:29" x14ac:dyDescent="0.35">
      <c r="A6812" s="7">
        <v>43271</v>
      </c>
      <c r="B6812" t="s">
        <v>30</v>
      </c>
      <c r="C6812">
        <v>701</v>
      </c>
      <c r="D6812">
        <v>5</v>
      </c>
      <c r="E6812">
        <v>1</v>
      </c>
      <c r="F6812" t="s">
        <v>1139</v>
      </c>
      <c r="G6812" t="s">
        <v>32</v>
      </c>
      <c r="H6812" t="s">
        <v>33</v>
      </c>
      <c r="I6812" t="s">
        <v>94</v>
      </c>
      <c r="J6812" t="s">
        <v>44</v>
      </c>
      <c r="K6812" t="s">
        <v>36</v>
      </c>
      <c r="L6812" t="s">
        <v>45</v>
      </c>
      <c r="M6812">
        <v>0</v>
      </c>
      <c r="N6812">
        <v>0</v>
      </c>
      <c r="O6812">
        <v>2946</v>
      </c>
      <c r="Q6812">
        <f>33-13</f>
        <v>20</v>
      </c>
      <c r="R6812" t="s">
        <v>46</v>
      </c>
      <c r="S6812" t="s">
        <v>39</v>
      </c>
      <c r="AB6812" t="s">
        <v>1099</v>
      </c>
      <c r="AC6812" t="s">
        <v>41</v>
      </c>
    </row>
    <row r="6813" spans="1:29" x14ac:dyDescent="0.35">
      <c r="A6813" s="7">
        <v>43271</v>
      </c>
      <c r="B6813" t="s">
        <v>30</v>
      </c>
      <c r="C6813">
        <v>803</v>
      </c>
      <c r="D6813">
        <v>8</v>
      </c>
      <c r="E6813">
        <v>1</v>
      </c>
      <c r="F6813" t="s">
        <v>1139</v>
      </c>
      <c r="G6813" t="s">
        <v>32</v>
      </c>
      <c r="H6813" t="s">
        <v>33</v>
      </c>
      <c r="I6813" t="s">
        <v>94</v>
      </c>
      <c r="J6813" t="s">
        <v>44</v>
      </c>
      <c r="K6813" t="s">
        <v>36</v>
      </c>
      <c r="L6813" t="s">
        <v>37</v>
      </c>
      <c r="M6813">
        <v>0</v>
      </c>
      <c r="N6813">
        <v>0</v>
      </c>
      <c r="O6813">
        <v>39784</v>
      </c>
      <c r="Q6813">
        <f>36-14</f>
        <v>22</v>
      </c>
      <c r="R6813" t="s">
        <v>64</v>
      </c>
      <c r="AB6813" t="s">
        <v>1099</v>
      </c>
      <c r="AC6813" t="s">
        <v>41</v>
      </c>
    </row>
    <row r="6814" spans="1:29" x14ac:dyDescent="0.35">
      <c r="A6814" s="7">
        <v>43276</v>
      </c>
      <c r="B6814" t="s">
        <v>30</v>
      </c>
      <c r="C6814">
        <v>111</v>
      </c>
      <c r="D6814">
        <v>2</v>
      </c>
      <c r="E6814">
        <v>1</v>
      </c>
      <c r="F6814" t="s">
        <v>1139</v>
      </c>
      <c r="G6814" t="s">
        <v>32</v>
      </c>
      <c r="H6814" t="s">
        <v>33</v>
      </c>
      <c r="I6814" t="s">
        <v>43</v>
      </c>
      <c r="J6814" t="s">
        <v>44</v>
      </c>
      <c r="K6814" t="s">
        <v>36</v>
      </c>
      <c r="L6814" t="s">
        <v>45</v>
      </c>
      <c r="M6814">
        <v>0</v>
      </c>
      <c r="N6814">
        <v>0</v>
      </c>
      <c r="O6814">
        <v>2408</v>
      </c>
      <c r="P6814">
        <v>2407</v>
      </c>
      <c r="Q6814">
        <f>32-13</f>
        <v>19</v>
      </c>
      <c r="R6814" t="s">
        <v>1021</v>
      </c>
      <c r="S6814" t="s">
        <v>102</v>
      </c>
      <c r="AB6814" t="s">
        <v>1137</v>
      </c>
      <c r="AC6814" t="s">
        <v>1140</v>
      </c>
    </row>
    <row r="6815" spans="1:29" x14ac:dyDescent="0.35">
      <c r="A6815" s="7">
        <v>43276</v>
      </c>
      <c r="B6815" t="s">
        <v>30</v>
      </c>
      <c r="C6815">
        <v>111</v>
      </c>
      <c r="D6815">
        <v>5</v>
      </c>
      <c r="E6815">
        <v>1</v>
      </c>
      <c r="F6815" t="s">
        <v>1139</v>
      </c>
      <c r="G6815" t="s">
        <v>32</v>
      </c>
      <c r="H6815" t="s">
        <v>33</v>
      </c>
      <c r="I6815" t="s">
        <v>43</v>
      </c>
      <c r="J6815" t="s">
        <v>44</v>
      </c>
      <c r="K6815" t="s">
        <v>36</v>
      </c>
      <c r="L6815" t="s">
        <v>45</v>
      </c>
      <c r="M6815">
        <v>0</v>
      </c>
      <c r="N6815">
        <v>0</v>
      </c>
      <c r="O6815">
        <v>2463</v>
      </c>
      <c r="P6815">
        <v>2462</v>
      </c>
      <c r="Q6815">
        <f>37-14</f>
        <v>23</v>
      </c>
      <c r="R6815" t="s">
        <v>1028</v>
      </c>
      <c r="S6815" t="s">
        <v>102</v>
      </c>
      <c r="AB6815" t="s">
        <v>1137</v>
      </c>
      <c r="AC6815" t="s">
        <v>1140</v>
      </c>
    </row>
    <row r="6816" spans="1:29" x14ac:dyDescent="0.35">
      <c r="A6816" s="7">
        <v>43276</v>
      </c>
      <c r="B6816" t="s">
        <v>30</v>
      </c>
      <c r="C6816">
        <v>111</v>
      </c>
      <c r="D6816">
        <v>8</v>
      </c>
      <c r="E6816">
        <v>1</v>
      </c>
      <c r="F6816" t="s">
        <v>1139</v>
      </c>
      <c r="G6816" t="s">
        <v>32</v>
      </c>
      <c r="H6816" t="s">
        <v>33</v>
      </c>
      <c r="I6816" t="s">
        <v>43</v>
      </c>
      <c r="J6816" t="s">
        <v>35</v>
      </c>
      <c r="K6816" t="s">
        <v>88</v>
      </c>
      <c r="L6816" t="s">
        <v>45</v>
      </c>
      <c r="M6816">
        <v>0</v>
      </c>
      <c r="N6816">
        <v>1</v>
      </c>
      <c r="O6816">
        <v>1063</v>
      </c>
      <c r="P6816">
        <v>1062</v>
      </c>
      <c r="Q6816">
        <f>28.5-14.5</f>
        <v>14</v>
      </c>
      <c r="R6816" t="s">
        <v>46</v>
      </c>
      <c r="S6816" t="s">
        <v>39</v>
      </c>
      <c r="AB6816" t="s">
        <v>1137</v>
      </c>
      <c r="AC6816" t="s">
        <v>1140</v>
      </c>
    </row>
    <row r="6817" spans="1:30" x14ac:dyDescent="0.35">
      <c r="A6817" s="7">
        <v>43276</v>
      </c>
      <c r="B6817" t="s">
        <v>30</v>
      </c>
      <c r="C6817">
        <v>112</v>
      </c>
      <c r="D6817">
        <v>2</v>
      </c>
      <c r="E6817">
        <v>1</v>
      </c>
      <c r="F6817" t="s">
        <v>1139</v>
      </c>
      <c r="G6817" t="s">
        <v>32</v>
      </c>
      <c r="H6817" t="s">
        <v>33</v>
      </c>
      <c r="I6817" t="s">
        <v>43</v>
      </c>
      <c r="J6817" t="s">
        <v>35</v>
      </c>
      <c r="K6817" t="s">
        <v>36</v>
      </c>
      <c r="L6817" t="s">
        <v>45</v>
      </c>
      <c r="M6817">
        <v>0</v>
      </c>
      <c r="N6817">
        <v>1</v>
      </c>
      <c r="O6817">
        <v>1061</v>
      </c>
      <c r="P6817">
        <v>1060</v>
      </c>
      <c r="Q6817">
        <f>37-14.5</f>
        <v>22.5</v>
      </c>
      <c r="R6817" t="s">
        <v>1021</v>
      </c>
      <c r="S6817" t="s">
        <v>102</v>
      </c>
      <c r="AB6817" t="s">
        <v>1137</v>
      </c>
      <c r="AC6817" t="s">
        <v>1140</v>
      </c>
    </row>
    <row r="6818" spans="1:30" x14ac:dyDescent="0.35">
      <c r="A6818" s="7">
        <v>43276</v>
      </c>
      <c r="B6818" t="s">
        <v>30</v>
      </c>
      <c r="C6818">
        <v>112</v>
      </c>
      <c r="D6818">
        <v>4</v>
      </c>
      <c r="E6818">
        <v>1</v>
      </c>
      <c r="F6818" t="s">
        <v>1139</v>
      </c>
      <c r="G6818" t="s">
        <v>32</v>
      </c>
      <c r="H6818" t="s">
        <v>33</v>
      </c>
      <c r="I6818" t="s">
        <v>43</v>
      </c>
      <c r="J6818" t="s">
        <v>44</v>
      </c>
      <c r="K6818" t="s">
        <v>36</v>
      </c>
      <c r="L6818" t="s">
        <v>45</v>
      </c>
      <c r="M6818">
        <v>0</v>
      </c>
      <c r="N6818">
        <v>0</v>
      </c>
      <c r="O6818">
        <v>2415</v>
      </c>
      <c r="P6818">
        <v>2414</v>
      </c>
      <c r="Q6818">
        <f>37-14</f>
        <v>23</v>
      </c>
      <c r="R6818" t="s">
        <v>1021</v>
      </c>
      <c r="S6818" t="s">
        <v>102</v>
      </c>
      <c r="AB6818" t="s">
        <v>1137</v>
      </c>
      <c r="AC6818" t="s">
        <v>1140</v>
      </c>
    </row>
    <row r="6819" spans="1:30" x14ac:dyDescent="0.35">
      <c r="A6819" s="7">
        <v>43276</v>
      </c>
      <c r="B6819" t="s">
        <v>30</v>
      </c>
      <c r="C6819">
        <v>113</v>
      </c>
      <c r="D6819">
        <v>2</v>
      </c>
      <c r="E6819">
        <v>1</v>
      </c>
      <c r="F6819" t="s">
        <v>1139</v>
      </c>
      <c r="G6819" t="s">
        <v>32</v>
      </c>
      <c r="H6819" t="s">
        <v>33</v>
      </c>
      <c r="I6819" t="s">
        <v>43</v>
      </c>
      <c r="J6819" t="s">
        <v>139</v>
      </c>
      <c r="AB6819" t="s">
        <v>1137</v>
      </c>
      <c r="AC6819" t="s">
        <v>1140</v>
      </c>
    </row>
    <row r="6820" spans="1:30" x14ac:dyDescent="0.35">
      <c r="A6820" s="7">
        <v>43276</v>
      </c>
      <c r="B6820" t="s">
        <v>30</v>
      </c>
      <c r="C6820">
        <v>113</v>
      </c>
      <c r="D6820">
        <v>3</v>
      </c>
      <c r="E6820">
        <v>1</v>
      </c>
      <c r="F6820" t="s">
        <v>1139</v>
      </c>
      <c r="G6820" t="s">
        <v>32</v>
      </c>
      <c r="H6820" t="s">
        <v>33</v>
      </c>
      <c r="I6820" t="s">
        <v>43</v>
      </c>
      <c r="J6820" t="s">
        <v>139</v>
      </c>
      <c r="K6820" t="s">
        <v>36</v>
      </c>
      <c r="M6820">
        <v>0</v>
      </c>
      <c r="N6820">
        <v>0</v>
      </c>
      <c r="O6820">
        <v>2413</v>
      </c>
      <c r="P6820">
        <v>2412</v>
      </c>
      <c r="AB6820" t="s">
        <v>1137</v>
      </c>
      <c r="AC6820" t="s">
        <v>1140</v>
      </c>
    </row>
    <row r="6821" spans="1:30" x14ac:dyDescent="0.35">
      <c r="A6821" s="7">
        <v>43276</v>
      </c>
      <c r="B6821" t="s">
        <v>30</v>
      </c>
      <c r="C6821">
        <v>113</v>
      </c>
      <c r="D6821">
        <v>7</v>
      </c>
      <c r="E6821">
        <v>1</v>
      </c>
      <c r="F6821" t="s">
        <v>1139</v>
      </c>
      <c r="G6821" t="s">
        <v>32</v>
      </c>
      <c r="H6821" t="s">
        <v>33</v>
      </c>
      <c r="I6821" t="s">
        <v>43</v>
      </c>
      <c r="J6821" t="s">
        <v>44</v>
      </c>
      <c r="K6821" t="s">
        <v>88</v>
      </c>
      <c r="L6821" t="s">
        <v>37</v>
      </c>
      <c r="M6821">
        <v>0</v>
      </c>
      <c r="N6821">
        <v>0</v>
      </c>
      <c r="O6821">
        <v>1081</v>
      </c>
      <c r="P6821">
        <v>1080</v>
      </c>
      <c r="Q6821">
        <f>27-13</f>
        <v>14</v>
      </c>
      <c r="R6821" t="s">
        <v>64</v>
      </c>
      <c r="AB6821" t="s">
        <v>1137</v>
      </c>
      <c r="AC6821" t="s">
        <v>1140</v>
      </c>
    </row>
    <row r="6822" spans="1:30" x14ac:dyDescent="0.35">
      <c r="A6822" s="7">
        <v>43276</v>
      </c>
      <c r="B6822" t="s">
        <v>30</v>
      </c>
      <c r="C6822">
        <v>201</v>
      </c>
      <c r="D6822">
        <v>1</v>
      </c>
      <c r="E6822">
        <v>1</v>
      </c>
      <c r="F6822" t="s">
        <v>1170</v>
      </c>
      <c r="G6822" t="s">
        <v>32</v>
      </c>
      <c r="H6822" t="s">
        <v>33</v>
      </c>
      <c r="I6822" t="s">
        <v>43</v>
      </c>
      <c r="J6822" t="s">
        <v>35</v>
      </c>
      <c r="K6822" t="s">
        <v>36</v>
      </c>
      <c r="L6822" t="s">
        <v>45</v>
      </c>
      <c r="M6822">
        <v>0</v>
      </c>
      <c r="N6822">
        <v>1</v>
      </c>
      <c r="O6822">
        <v>1009</v>
      </c>
      <c r="P6822">
        <v>1008</v>
      </c>
      <c r="Q6822">
        <f>35.5-13</f>
        <v>22.5</v>
      </c>
      <c r="R6822" t="s">
        <v>1021</v>
      </c>
      <c r="S6822" t="s">
        <v>102</v>
      </c>
      <c r="AB6822" t="s">
        <v>1137</v>
      </c>
      <c r="AC6822" t="s">
        <v>41</v>
      </c>
      <c r="AD6822" t="s">
        <v>1174</v>
      </c>
    </row>
    <row r="6823" spans="1:30" x14ac:dyDescent="0.35">
      <c r="A6823" s="7">
        <v>43276</v>
      </c>
      <c r="B6823" t="s">
        <v>30</v>
      </c>
      <c r="C6823">
        <v>201</v>
      </c>
      <c r="D6823">
        <v>6</v>
      </c>
      <c r="E6823">
        <v>1</v>
      </c>
      <c r="F6823" t="s">
        <v>1170</v>
      </c>
      <c r="G6823" t="s">
        <v>32</v>
      </c>
      <c r="H6823" t="s">
        <v>33</v>
      </c>
      <c r="I6823" t="s">
        <v>43</v>
      </c>
      <c r="J6823" t="s">
        <v>35</v>
      </c>
      <c r="K6823" t="s">
        <v>113</v>
      </c>
      <c r="L6823" t="s">
        <v>45</v>
      </c>
      <c r="M6823">
        <v>0</v>
      </c>
      <c r="N6823">
        <v>1</v>
      </c>
      <c r="O6823">
        <v>1127</v>
      </c>
      <c r="P6823">
        <v>1126</v>
      </c>
      <c r="Q6823">
        <f>27-13</f>
        <v>14</v>
      </c>
      <c r="R6823" t="s">
        <v>46</v>
      </c>
      <c r="S6823" t="s">
        <v>39</v>
      </c>
      <c r="AB6823" t="s">
        <v>1137</v>
      </c>
      <c r="AC6823" t="s">
        <v>1140</v>
      </c>
    </row>
    <row r="6824" spans="1:30" x14ac:dyDescent="0.35">
      <c r="A6824" s="7">
        <v>43276</v>
      </c>
      <c r="B6824" t="s">
        <v>30</v>
      </c>
      <c r="C6824">
        <v>201</v>
      </c>
      <c r="D6824">
        <v>7</v>
      </c>
      <c r="E6824">
        <v>1</v>
      </c>
      <c r="F6824" t="s">
        <v>1170</v>
      </c>
      <c r="G6824" t="s">
        <v>32</v>
      </c>
      <c r="H6824" t="s">
        <v>33</v>
      </c>
      <c r="I6824" t="s">
        <v>43</v>
      </c>
      <c r="J6824" t="s">
        <v>44</v>
      </c>
      <c r="K6824" t="s">
        <v>36</v>
      </c>
      <c r="L6824" t="s">
        <v>45</v>
      </c>
      <c r="M6824">
        <v>0</v>
      </c>
      <c r="N6824">
        <v>0</v>
      </c>
      <c r="O6824">
        <v>36</v>
      </c>
      <c r="P6824">
        <v>37</v>
      </c>
      <c r="Q6824">
        <f>32-13</f>
        <v>19</v>
      </c>
      <c r="R6824" t="s">
        <v>1021</v>
      </c>
      <c r="S6824" t="s">
        <v>102</v>
      </c>
      <c r="AB6824" t="s">
        <v>1137</v>
      </c>
      <c r="AC6824" t="s">
        <v>1140</v>
      </c>
    </row>
    <row r="6825" spans="1:30" x14ac:dyDescent="0.35">
      <c r="A6825" s="7">
        <v>43276</v>
      </c>
      <c r="B6825" t="s">
        <v>30</v>
      </c>
      <c r="C6825">
        <v>202</v>
      </c>
      <c r="D6825">
        <v>4</v>
      </c>
      <c r="E6825">
        <v>1</v>
      </c>
      <c r="F6825" t="s">
        <v>1170</v>
      </c>
      <c r="G6825" t="s">
        <v>32</v>
      </c>
      <c r="H6825" t="s">
        <v>33</v>
      </c>
      <c r="I6825" t="s">
        <v>43</v>
      </c>
      <c r="J6825" t="s">
        <v>44</v>
      </c>
      <c r="K6825" t="s">
        <v>36</v>
      </c>
      <c r="L6825" t="s">
        <v>37</v>
      </c>
      <c r="M6825">
        <v>0</v>
      </c>
      <c r="N6825">
        <v>0</v>
      </c>
      <c r="O6825">
        <v>1162</v>
      </c>
      <c r="P6825">
        <v>1167</v>
      </c>
      <c r="Q6825">
        <f>33-15</f>
        <v>18</v>
      </c>
      <c r="R6825" t="s">
        <v>38</v>
      </c>
      <c r="AB6825" t="s">
        <v>1137</v>
      </c>
      <c r="AC6825" t="s">
        <v>1140</v>
      </c>
    </row>
    <row r="6826" spans="1:30" x14ac:dyDescent="0.35">
      <c r="A6826" s="7">
        <v>43276</v>
      </c>
      <c r="B6826" t="s">
        <v>30</v>
      </c>
      <c r="C6826">
        <v>202</v>
      </c>
      <c r="D6826">
        <v>5</v>
      </c>
      <c r="E6826">
        <v>1</v>
      </c>
      <c r="F6826" t="s">
        <v>1170</v>
      </c>
      <c r="G6826" t="s">
        <v>32</v>
      </c>
      <c r="H6826" t="s">
        <v>33</v>
      </c>
      <c r="I6826" t="s">
        <v>43</v>
      </c>
      <c r="J6826" t="s">
        <v>35</v>
      </c>
      <c r="K6826" t="s">
        <v>88</v>
      </c>
      <c r="L6826" t="s">
        <v>45</v>
      </c>
      <c r="M6826">
        <v>0</v>
      </c>
      <c r="N6826">
        <v>1</v>
      </c>
      <c r="O6826">
        <v>1132</v>
      </c>
      <c r="P6826">
        <v>1131</v>
      </c>
      <c r="Q6826">
        <f>27-20</f>
        <v>7</v>
      </c>
      <c r="R6826" t="s">
        <v>46</v>
      </c>
      <c r="S6826" t="s">
        <v>39</v>
      </c>
      <c r="AB6826" t="s">
        <v>1137</v>
      </c>
      <c r="AC6826" t="s">
        <v>1140</v>
      </c>
    </row>
    <row r="6827" spans="1:30" x14ac:dyDescent="0.35">
      <c r="A6827" s="7">
        <v>43276</v>
      </c>
      <c r="B6827" t="s">
        <v>30</v>
      </c>
      <c r="C6827">
        <v>202</v>
      </c>
      <c r="D6827">
        <v>7</v>
      </c>
      <c r="E6827">
        <v>1</v>
      </c>
      <c r="F6827" t="s">
        <v>1170</v>
      </c>
      <c r="G6827" t="s">
        <v>32</v>
      </c>
      <c r="H6827" t="s">
        <v>33</v>
      </c>
      <c r="I6827" t="s">
        <v>43</v>
      </c>
      <c r="J6827" t="s">
        <v>35</v>
      </c>
      <c r="K6827" t="s">
        <v>113</v>
      </c>
      <c r="L6827" t="s">
        <v>37</v>
      </c>
      <c r="M6827">
        <v>0</v>
      </c>
      <c r="N6827">
        <v>1</v>
      </c>
      <c r="O6827">
        <v>1134</v>
      </c>
      <c r="P6827">
        <v>1133</v>
      </c>
      <c r="Q6827">
        <f>28-14</f>
        <v>14</v>
      </c>
      <c r="R6827" t="s">
        <v>64</v>
      </c>
      <c r="AB6827" t="s">
        <v>1137</v>
      </c>
      <c r="AC6827" t="s">
        <v>1140</v>
      </c>
    </row>
    <row r="6828" spans="1:30" x14ac:dyDescent="0.35">
      <c r="A6828" s="7">
        <v>43276</v>
      </c>
      <c r="B6828" t="s">
        <v>30</v>
      </c>
      <c r="C6828">
        <v>203</v>
      </c>
      <c r="D6828">
        <v>1</v>
      </c>
      <c r="E6828">
        <v>1</v>
      </c>
      <c r="F6828" t="s">
        <v>1170</v>
      </c>
      <c r="G6828" t="s">
        <v>32</v>
      </c>
      <c r="H6828" t="s">
        <v>33</v>
      </c>
      <c r="I6828" t="s">
        <v>43</v>
      </c>
      <c r="J6828" t="s">
        <v>44</v>
      </c>
      <c r="K6828" t="s">
        <v>36</v>
      </c>
      <c r="L6828" t="s">
        <v>37</v>
      </c>
      <c r="M6828">
        <v>0</v>
      </c>
      <c r="N6828">
        <v>0</v>
      </c>
      <c r="O6828">
        <v>9305</v>
      </c>
      <c r="P6828">
        <v>9304</v>
      </c>
      <c r="Q6828">
        <f>33-13</f>
        <v>20</v>
      </c>
      <c r="R6828" t="s">
        <v>38</v>
      </c>
      <c r="AB6828" t="s">
        <v>1137</v>
      </c>
      <c r="AC6828" t="s">
        <v>1140</v>
      </c>
    </row>
    <row r="6829" spans="1:30" x14ac:dyDescent="0.35">
      <c r="A6829" s="7">
        <v>43276</v>
      </c>
      <c r="B6829" t="s">
        <v>30</v>
      </c>
      <c r="C6829">
        <v>203</v>
      </c>
      <c r="D6829">
        <v>2</v>
      </c>
      <c r="E6829">
        <v>1</v>
      </c>
      <c r="F6829" t="s">
        <v>1170</v>
      </c>
      <c r="G6829" t="s">
        <v>32</v>
      </c>
      <c r="H6829" t="s">
        <v>33</v>
      </c>
      <c r="I6829" t="s">
        <v>43</v>
      </c>
      <c r="J6829" t="s">
        <v>44</v>
      </c>
      <c r="K6829" t="s">
        <v>36</v>
      </c>
      <c r="L6829" t="s">
        <v>37</v>
      </c>
      <c r="M6829">
        <v>0</v>
      </c>
      <c r="N6829">
        <v>0</v>
      </c>
      <c r="O6829">
        <v>1155</v>
      </c>
      <c r="P6829">
        <v>1154</v>
      </c>
      <c r="Q6829">
        <f>33-15</f>
        <v>18</v>
      </c>
      <c r="R6829" t="s">
        <v>38</v>
      </c>
      <c r="AB6829" t="s">
        <v>1137</v>
      </c>
      <c r="AC6829" t="s">
        <v>1140</v>
      </c>
    </row>
    <row r="6830" spans="1:30" x14ac:dyDescent="0.35">
      <c r="A6830" s="7">
        <v>43276</v>
      </c>
      <c r="B6830" t="s">
        <v>30</v>
      </c>
      <c r="C6830">
        <v>203</v>
      </c>
      <c r="D6830">
        <v>9</v>
      </c>
      <c r="E6830">
        <v>1</v>
      </c>
      <c r="F6830" t="s">
        <v>1170</v>
      </c>
      <c r="G6830" t="s">
        <v>32</v>
      </c>
      <c r="H6830" t="s">
        <v>33</v>
      </c>
      <c r="I6830" t="s">
        <v>43</v>
      </c>
      <c r="J6830" t="s">
        <v>35</v>
      </c>
      <c r="K6830" t="s">
        <v>36</v>
      </c>
      <c r="L6830" t="s">
        <v>37</v>
      </c>
      <c r="M6830">
        <v>0</v>
      </c>
      <c r="N6830">
        <v>1</v>
      </c>
      <c r="O6830">
        <v>1129</v>
      </c>
      <c r="P6830">
        <v>1128</v>
      </c>
      <c r="Q6830">
        <f>30.5-13</f>
        <v>17.5</v>
      </c>
      <c r="R6830" t="s">
        <v>38</v>
      </c>
      <c r="AB6830" t="s">
        <v>1137</v>
      </c>
      <c r="AC6830" t="s">
        <v>1140</v>
      </c>
    </row>
    <row r="6831" spans="1:30" x14ac:dyDescent="0.35">
      <c r="A6831" s="7">
        <v>43276</v>
      </c>
      <c r="B6831" t="s">
        <v>30</v>
      </c>
      <c r="C6831">
        <v>112</v>
      </c>
      <c r="D6831">
        <v>9</v>
      </c>
      <c r="E6831">
        <v>1</v>
      </c>
      <c r="F6831" t="s">
        <v>1139</v>
      </c>
      <c r="G6831" t="s">
        <v>32</v>
      </c>
      <c r="H6831" t="s">
        <v>33</v>
      </c>
      <c r="I6831" t="s">
        <v>34</v>
      </c>
      <c r="J6831" t="s">
        <v>35</v>
      </c>
      <c r="K6831" t="s">
        <v>36</v>
      </c>
      <c r="L6831" t="s">
        <v>37</v>
      </c>
      <c r="M6831">
        <v>0</v>
      </c>
      <c r="N6831">
        <v>1</v>
      </c>
      <c r="O6831">
        <v>1057</v>
      </c>
      <c r="Q6831">
        <f>160-85</f>
        <v>75</v>
      </c>
      <c r="R6831" t="s">
        <v>64</v>
      </c>
      <c r="AB6831" t="s">
        <v>1137</v>
      </c>
      <c r="AC6831" t="s">
        <v>1140</v>
      </c>
    </row>
    <row r="6832" spans="1:30" x14ac:dyDescent="0.35">
      <c r="A6832" s="7">
        <v>43276</v>
      </c>
      <c r="B6832" t="s">
        <v>30</v>
      </c>
      <c r="C6832">
        <v>202</v>
      </c>
      <c r="D6832">
        <v>3</v>
      </c>
      <c r="E6832">
        <v>1</v>
      </c>
      <c r="F6832" t="s">
        <v>1170</v>
      </c>
      <c r="G6832" t="s">
        <v>32</v>
      </c>
      <c r="H6832" t="s">
        <v>33</v>
      </c>
      <c r="I6832" t="s">
        <v>34</v>
      </c>
      <c r="J6832" t="s">
        <v>35</v>
      </c>
      <c r="K6832" t="s">
        <v>36</v>
      </c>
      <c r="L6832" t="s">
        <v>37</v>
      </c>
      <c r="M6832">
        <v>0</v>
      </c>
      <c r="N6832">
        <v>1</v>
      </c>
      <c r="O6832">
        <v>1130</v>
      </c>
      <c r="Q6832">
        <f>215-125</f>
        <v>90</v>
      </c>
      <c r="R6832" t="s">
        <v>38</v>
      </c>
      <c r="AB6832" t="s">
        <v>1137</v>
      </c>
      <c r="AC6832" t="s">
        <v>1140</v>
      </c>
    </row>
    <row r="6833" spans="1:30" x14ac:dyDescent="0.35">
      <c r="A6833" s="7">
        <v>43276</v>
      </c>
      <c r="B6833" t="s">
        <v>30</v>
      </c>
      <c r="C6833">
        <v>304</v>
      </c>
      <c r="D6833">
        <v>10</v>
      </c>
      <c r="E6833">
        <v>1</v>
      </c>
      <c r="F6833" t="s">
        <v>1170</v>
      </c>
      <c r="G6833" t="s">
        <v>32</v>
      </c>
      <c r="H6833" t="s">
        <v>33</v>
      </c>
      <c r="I6833" t="s">
        <v>34</v>
      </c>
      <c r="J6833" t="s">
        <v>44</v>
      </c>
      <c r="K6833" t="s">
        <v>36</v>
      </c>
      <c r="L6833" t="s">
        <v>37</v>
      </c>
      <c r="M6833">
        <v>0</v>
      </c>
      <c r="N6833">
        <v>0</v>
      </c>
      <c r="O6833">
        <v>1158</v>
      </c>
      <c r="Q6833">
        <f>230-130</f>
        <v>100</v>
      </c>
      <c r="R6833" t="s">
        <v>38</v>
      </c>
      <c r="AB6833" t="s">
        <v>1137</v>
      </c>
      <c r="AC6833" t="s">
        <v>1140</v>
      </c>
    </row>
    <row r="6834" spans="1:30" x14ac:dyDescent="0.35">
      <c r="A6834" s="7">
        <v>43276</v>
      </c>
      <c r="B6834" t="s">
        <v>30</v>
      </c>
      <c r="C6834">
        <v>111</v>
      </c>
      <c r="D6834">
        <v>1</v>
      </c>
      <c r="E6834">
        <v>1</v>
      </c>
      <c r="F6834" t="s">
        <v>1139</v>
      </c>
      <c r="G6834" t="s">
        <v>32</v>
      </c>
      <c r="H6834" t="s">
        <v>33</v>
      </c>
      <c r="I6834" t="s">
        <v>1029</v>
      </c>
      <c r="J6834" t="s">
        <v>56</v>
      </c>
      <c r="AB6834" t="s">
        <v>1137</v>
      </c>
      <c r="AC6834" t="s">
        <v>1140</v>
      </c>
    </row>
    <row r="6835" spans="1:30" x14ac:dyDescent="0.35">
      <c r="A6835" s="7">
        <v>43276</v>
      </c>
      <c r="B6835" t="s">
        <v>30</v>
      </c>
      <c r="C6835">
        <v>111</v>
      </c>
      <c r="D6835">
        <v>10</v>
      </c>
      <c r="E6835">
        <v>1</v>
      </c>
      <c r="F6835" t="s">
        <v>1139</v>
      </c>
      <c r="G6835" t="s">
        <v>32</v>
      </c>
      <c r="H6835" t="s">
        <v>33</v>
      </c>
      <c r="I6835" t="s">
        <v>72</v>
      </c>
      <c r="J6835" t="s">
        <v>56</v>
      </c>
      <c r="AB6835" t="s">
        <v>1137</v>
      </c>
      <c r="AC6835" t="s">
        <v>1140</v>
      </c>
    </row>
    <row r="6836" spans="1:30" x14ac:dyDescent="0.35">
      <c r="A6836" s="7">
        <v>43276</v>
      </c>
      <c r="B6836" t="s">
        <v>30</v>
      </c>
      <c r="C6836">
        <v>112</v>
      </c>
      <c r="D6836">
        <v>5</v>
      </c>
      <c r="E6836">
        <v>2</v>
      </c>
      <c r="F6836" t="s">
        <v>1139</v>
      </c>
      <c r="G6836" t="s">
        <v>32</v>
      </c>
      <c r="H6836" t="s">
        <v>33</v>
      </c>
      <c r="I6836" t="s">
        <v>72</v>
      </c>
      <c r="J6836" t="s">
        <v>56</v>
      </c>
      <c r="AB6836" t="s">
        <v>1137</v>
      </c>
      <c r="AC6836" t="s">
        <v>1140</v>
      </c>
    </row>
    <row r="6837" spans="1:30" x14ac:dyDescent="0.35">
      <c r="A6837" s="7">
        <v>43276</v>
      </c>
      <c r="B6837" t="s">
        <v>30</v>
      </c>
      <c r="C6837">
        <v>112</v>
      </c>
      <c r="D6837">
        <v>6</v>
      </c>
      <c r="E6837">
        <v>1</v>
      </c>
      <c r="F6837" t="s">
        <v>1139</v>
      </c>
      <c r="G6837" t="s">
        <v>32</v>
      </c>
      <c r="H6837" t="s">
        <v>33</v>
      </c>
      <c r="I6837" t="s">
        <v>72</v>
      </c>
      <c r="J6837" t="s">
        <v>66</v>
      </c>
      <c r="AB6837" t="s">
        <v>1137</v>
      </c>
      <c r="AC6837" t="s">
        <v>1140</v>
      </c>
    </row>
    <row r="6838" spans="1:30" x14ac:dyDescent="0.35">
      <c r="A6838" s="7">
        <v>43276</v>
      </c>
      <c r="B6838" t="s">
        <v>30</v>
      </c>
      <c r="C6838">
        <v>203</v>
      </c>
      <c r="D6838">
        <v>1</v>
      </c>
      <c r="E6838">
        <v>2</v>
      </c>
      <c r="F6838" t="s">
        <v>1170</v>
      </c>
      <c r="G6838" t="s">
        <v>32</v>
      </c>
      <c r="H6838" t="s">
        <v>33</v>
      </c>
      <c r="I6838" t="s">
        <v>72</v>
      </c>
      <c r="J6838" t="s">
        <v>56</v>
      </c>
      <c r="AB6838" t="s">
        <v>1137</v>
      </c>
      <c r="AC6838" t="s">
        <v>1140</v>
      </c>
    </row>
    <row r="6839" spans="1:30" x14ac:dyDescent="0.35">
      <c r="A6839" s="7">
        <v>43276</v>
      </c>
      <c r="B6839" t="s">
        <v>30</v>
      </c>
      <c r="C6839">
        <v>112</v>
      </c>
      <c r="D6839">
        <v>5</v>
      </c>
      <c r="E6839">
        <v>1</v>
      </c>
      <c r="F6839" t="s">
        <v>1139</v>
      </c>
      <c r="G6839" t="s">
        <v>32</v>
      </c>
      <c r="H6839" t="s">
        <v>33</v>
      </c>
      <c r="I6839" t="s">
        <v>59</v>
      </c>
      <c r="AB6839" t="s">
        <v>1137</v>
      </c>
      <c r="AC6839" t="s">
        <v>1140</v>
      </c>
    </row>
    <row r="6840" spans="1:30" x14ac:dyDescent="0.35">
      <c r="A6840" s="7">
        <v>43276</v>
      </c>
      <c r="B6840" t="s">
        <v>30</v>
      </c>
      <c r="C6840">
        <v>201</v>
      </c>
      <c r="D6840">
        <v>4</v>
      </c>
      <c r="E6840">
        <v>1</v>
      </c>
      <c r="F6840" t="s">
        <v>1170</v>
      </c>
      <c r="G6840" t="s">
        <v>32</v>
      </c>
      <c r="H6840" t="s">
        <v>33</v>
      </c>
      <c r="I6840" t="s">
        <v>59</v>
      </c>
      <c r="AB6840" t="s">
        <v>1137</v>
      </c>
      <c r="AC6840" t="s">
        <v>1140</v>
      </c>
    </row>
    <row r="6841" spans="1:30" x14ac:dyDescent="0.35">
      <c r="A6841" s="7">
        <v>43276</v>
      </c>
      <c r="B6841" t="s">
        <v>30</v>
      </c>
      <c r="C6841">
        <v>201</v>
      </c>
      <c r="D6841">
        <v>5</v>
      </c>
      <c r="E6841">
        <v>1</v>
      </c>
      <c r="F6841" t="s">
        <v>1170</v>
      </c>
      <c r="G6841" t="s">
        <v>32</v>
      </c>
      <c r="H6841" t="s">
        <v>33</v>
      </c>
      <c r="I6841" t="s">
        <v>59</v>
      </c>
      <c r="AB6841" t="s">
        <v>1137</v>
      </c>
      <c r="AC6841" t="s">
        <v>1140</v>
      </c>
    </row>
    <row r="6842" spans="1:30" x14ac:dyDescent="0.35">
      <c r="A6842" s="7">
        <v>43276</v>
      </c>
      <c r="B6842" t="s">
        <v>30</v>
      </c>
      <c r="C6842">
        <v>402</v>
      </c>
      <c r="D6842">
        <v>1</v>
      </c>
      <c r="E6842">
        <v>1</v>
      </c>
      <c r="F6842" t="s">
        <v>1139</v>
      </c>
      <c r="G6842" t="s">
        <v>32</v>
      </c>
      <c r="H6842" t="s">
        <v>33</v>
      </c>
      <c r="I6842" t="s">
        <v>94</v>
      </c>
      <c r="J6842" t="s">
        <v>44</v>
      </c>
      <c r="K6842" t="s">
        <v>36</v>
      </c>
      <c r="L6842" t="s">
        <v>45</v>
      </c>
      <c r="M6842">
        <v>1</v>
      </c>
      <c r="N6842">
        <v>1</v>
      </c>
      <c r="O6842">
        <v>1053</v>
      </c>
      <c r="Q6842">
        <f>40-13</f>
        <v>27</v>
      </c>
      <c r="R6842" t="s">
        <v>1028</v>
      </c>
      <c r="S6842" t="s">
        <v>102</v>
      </c>
      <c r="AB6842" t="s">
        <v>1137</v>
      </c>
      <c r="AC6842" t="s">
        <v>1140</v>
      </c>
      <c r="AD6842" t="s">
        <v>1175</v>
      </c>
    </row>
    <row r="6843" spans="1:30" x14ac:dyDescent="0.35">
      <c r="A6843" s="7">
        <v>43277</v>
      </c>
      <c r="B6843" t="s">
        <v>30</v>
      </c>
      <c r="C6843">
        <v>111</v>
      </c>
      <c r="D6843">
        <v>2</v>
      </c>
      <c r="E6843">
        <v>1</v>
      </c>
      <c r="F6843" t="s">
        <v>1139</v>
      </c>
      <c r="G6843" t="s">
        <v>32</v>
      </c>
      <c r="H6843" t="s">
        <v>33</v>
      </c>
      <c r="I6843" t="s">
        <v>43</v>
      </c>
      <c r="J6843" t="s">
        <v>44</v>
      </c>
      <c r="K6843" t="s">
        <v>36</v>
      </c>
      <c r="L6843" t="s">
        <v>45</v>
      </c>
      <c r="M6843">
        <v>0</v>
      </c>
      <c r="N6843">
        <v>0</v>
      </c>
      <c r="O6843">
        <v>2408</v>
      </c>
      <c r="P6843">
        <v>2407</v>
      </c>
      <c r="Q6843">
        <f>33-14</f>
        <v>19</v>
      </c>
      <c r="R6843" t="s">
        <v>1021</v>
      </c>
      <c r="S6843" t="s">
        <v>102</v>
      </c>
      <c r="AB6843" t="s">
        <v>1136</v>
      </c>
      <c r="AC6843" t="s">
        <v>41</v>
      </c>
    </row>
    <row r="6844" spans="1:30" x14ac:dyDescent="0.35">
      <c r="A6844" s="7">
        <v>43277</v>
      </c>
      <c r="B6844" t="s">
        <v>30</v>
      </c>
      <c r="C6844">
        <v>111</v>
      </c>
      <c r="D6844">
        <v>4</v>
      </c>
      <c r="E6844">
        <v>1</v>
      </c>
      <c r="F6844" t="s">
        <v>1139</v>
      </c>
      <c r="G6844" t="s">
        <v>32</v>
      </c>
      <c r="H6844" t="s">
        <v>33</v>
      </c>
      <c r="I6844" t="s">
        <v>43</v>
      </c>
      <c r="J6844" t="s">
        <v>44</v>
      </c>
      <c r="K6844" t="s">
        <v>36</v>
      </c>
      <c r="L6844" t="s">
        <v>45</v>
      </c>
      <c r="M6844">
        <v>0</v>
      </c>
      <c r="N6844">
        <v>0</v>
      </c>
      <c r="O6844">
        <v>2463</v>
      </c>
      <c r="P6844">
        <v>2462</v>
      </c>
      <c r="Q6844">
        <f>35-13.5</f>
        <v>21.5</v>
      </c>
      <c r="R6844" t="s">
        <v>1028</v>
      </c>
      <c r="S6844" t="s">
        <v>102</v>
      </c>
      <c r="AB6844" t="s">
        <v>1136</v>
      </c>
      <c r="AC6844" t="s">
        <v>41</v>
      </c>
    </row>
    <row r="6845" spans="1:30" x14ac:dyDescent="0.35">
      <c r="A6845" s="7">
        <v>43277</v>
      </c>
      <c r="B6845" t="s">
        <v>30</v>
      </c>
      <c r="C6845">
        <v>112</v>
      </c>
      <c r="D6845">
        <v>4</v>
      </c>
      <c r="E6845">
        <v>1</v>
      </c>
      <c r="F6845" t="s">
        <v>1139</v>
      </c>
      <c r="G6845" t="s">
        <v>32</v>
      </c>
      <c r="H6845" t="s">
        <v>33</v>
      </c>
      <c r="I6845" t="s">
        <v>43</v>
      </c>
      <c r="J6845" t="s">
        <v>44</v>
      </c>
      <c r="K6845" t="s">
        <v>36</v>
      </c>
      <c r="L6845" t="s">
        <v>45</v>
      </c>
      <c r="M6845">
        <v>0</v>
      </c>
      <c r="N6845">
        <v>0</v>
      </c>
      <c r="O6845">
        <v>2415</v>
      </c>
      <c r="P6845">
        <v>2414</v>
      </c>
      <c r="Q6845">
        <f>36-14</f>
        <v>22</v>
      </c>
      <c r="R6845" t="s">
        <v>1021</v>
      </c>
      <c r="S6845" t="s">
        <v>102</v>
      </c>
      <c r="AB6845" t="s">
        <v>1136</v>
      </c>
      <c r="AC6845" t="s">
        <v>41</v>
      </c>
    </row>
    <row r="6846" spans="1:30" x14ac:dyDescent="0.35">
      <c r="A6846" s="7">
        <v>43277</v>
      </c>
      <c r="B6846" t="s">
        <v>30</v>
      </c>
      <c r="C6846">
        <v>112</v>
      </c>
      <c r="D6846">
        <v>5</v>
      </c>
      <c r="E6846">
        <v>1</v>
      </c>
      <c r="F6846" t="s">
        <v>1139</v>
      </c>
      <c r="G6846" t="s">
        <v>32</v>
      </c>
      <c r="H6846" t="s">
        <v>33</v>
      </c>
      <c r="I6846" t="s">
        <v>43</v>
      </c>
      <c r="J6846" t="s">
        <v>35</v>
      </c>
      <c r="K6846" t="s">
        <v>36</v>
      </c>
      <c r="L6846" t="s">
        <v>37</v>
      </c>
      <c r="M6846">
        <v>0</v>
      </c>
      <c r="N6846">
        <v>1</v>
      </c>
      <c r="O6846">
        <v>1056</v>
      </c>
      <c r="P6846">
        <v>1055</v>
      </c>
      <c r="Q6846">
        <f>35-14.5</f>
        <v>20.5</v>
      </c>
      <c r="R6846" t="s">
        <v>38</v>
      </c>
      <c r="AB6846" t="s">
        <v>1136</v>
      </c>
      <c r="AC6846" t="s">
        <v>41</v>
      </c>
    </row>
    <row r="6847" spans="1:30" x14ac:dyDescent="0.35">
      <c r="A6847" s="7">
        <v>43277</v>
      </c>
      <c r="B6847" t="s">
        <v>30</v>
      </c>
      <c r="C6847">
        <v>112</v>
      </c>
      <c r="D6847">
        <v>6</v>
      </c>
      <c r="E6847">
        <v>1</v>
      </c>
      <c r="F6847" t="s">
        <v>1139</v>
      </c>
      <c r="G6847" t="s">
        <v>32</v>
      </c>
      <c r="H6847" t="s">
        <v>33</v>
      </c>
      <c r="I6847" t="s">
        <v>43</v>
      </c>
      <c r="J6847" t="s">
        <v>44</v>
      </c>
      <c r="K6847" t="s">
        <v>36</v>
      </c>
      <c r="L6847" t="s">
        <v>45</v>
      </c>
      <c r="M6847">
        <v>0</v>
      </c>
      <c r="N6847">
        <v>0</v>
      </c>
      <c r="O6847">
        <v>1061</v>
      </c>
      <c r="P6847">
        <v>1060</v>
      </c>
      <c r="Q6847">
        <f>35-13.5</f>
        <v>21.5</v>
      </c>
      <c r="R6847" t="s">
        <v>1021</v>
      </c>
      <c r="S6847" t="s">
        <v>102</v>
      </c>
      <c r="AB6847" t="s">
        <v>1136</v>
      </c>
      <c r="AC6847" t="s">
        <v>41</v>
      </c>
      <c r="AD6847" t="s">
        <v>1176</v>
      </c>
    </row>
    <row r="6848" spans="1:30" x14ac:dyDescent="0.35">
      <c r="A6848" s="7">
        <v>43277</v>
      </c>
      <c r="B6848" t="s">
        <v>30</v>
      </c>
      <c r="C6848">
        <v>113</v>
      </c>
      <c r="D6848">
        <v>1</v>
      </c>
      <c r="E6848">
        <v>1</v>
      </c>
      <c r="F6848" t="s">
        <v>1139</v>
      </c>
      <c r="G6848" t="s">
        <v>32</v>
      </c>
      <c r="H6848" t="s">
        <v>33</v>
      </c>
      <c r="I6848" t="s">
        <v>43</v>
      </c>
      <c r="J6848" t="s">
        <v>35</v>
      </c>
      <c r="K6848" t="s">
        <v>88</v>
      </c>
      <c r="L6848" t="s">
        <v>45</v>
      </c>
      <c r="M6848">
        <v>0</v>
      </c>
      <c r="N6848">
        <v>1</v>
      </c>
      <c r="O6848">
        <v>1102</v>
      </c>
      <c r="P6848">
        <v>1101</v>
      </c>
      <c r="Q6848">
        <f>26.5-13</f>
        <v>13.5</v>
      </c>
      <c r="R6848" t="s">
        <v>46</v>
      </c>
      <c r="S6848" t="s">
        <v>39</v>
      </c>
      <c r="AB6848" t="s">
        <v>1136</v>
      </c>
      <c r="AC6848" t="s">
        <v>41</v>
      </c>
    </row>
    <row r="6849" spans="1:29" x14ac:dyDescent="0.35">
      <c r="A6849" s="7">
        <v>43277</v>
      </c>
      <c r="B6849" t="s">
        <v>30</v>
      </c>
      <c r="C6849">
        <v>201</v>
      </c>
      <c r="D6849">
        <v>1</v>
      </c>
      <c r="E6849">
        <v>1</v>
      </c>
      <c r="F6849" t="s">
        <v>1170</v>
      </c>
      <c r="G6849" t="s">
        <v>32</v>
      </c>
      <c r="H6849" t="s">
        <v>33</v>
      </c>
      <c r="I6849" t="s">
        <v>43</v>
      </c>
      <c r="J6849" t="s">
        <v>35</v>
      </c>
      <c r="K6849" t="s">
        <v>113</v>
      </c>
      <c r="L6849" t="s">
        <v>37</v>
      </c>
      <c r="M6849">
        <v>0</v>
      </c>
      <c r="N6849">
        <v>1</v>
      </c>
      <c r="O6849">
        <v>1136</v>
      </c>
      <c r="P6849">
        <v>1135</v>
      </c>
      <c r="Q6849">
        <f>29-13</f>
        <v>16</v>
      </c>
      <c r="R6849" t="s">
        <v>64</v>
      </c>
      <c r="AB6849" t="s">
        <v>1137</v>
      </c>
      <c r="AC6849" t="s">
        <v>41</v>
      </c>
    </row>
    <row r="6850" spans="1:29" x14ac:dyDescent="0.35">
      <c r="A6850" s="7">
        <v>43277</v>
      </c>
      <c r="B6850" t="s">
        <v>30</v>
      </c>
      <c r="C6850">
        <v>201</v>
      </c>
      <c r="D6850">
        <v>5</v>
      </c>
      <c r="E6850">
        <v>1</v>
      </c>
      <c r="F6850" t="s">
        <v>1170</v>
      </c>
      <c r="G6850" t="s">
        <v>32</v>
      </c>
      <c r="H6850" t="s">
        <v>33</v>
      </c>
      <c r="I6850" t="s">
        <v>43</v>
      </c>
      <c r="J6850" t="s">
        <v>44</v>
      </c>
      <c r="K6850" t="s">
        <v>36</v>
      </c>
      <c r="L6850" t="s">
        <v>45</v>
      </c>
      <c r="M6850">
        <v>0</v>
      </c>
      <c r="N6850">
        <v>0</v>
      </c>
      <c r="O6850">
        <v>36</v>
      </c>
      <c r="P6850">
        <v>37</v>
      </c>
      <c r="Q6850">
        <f>31-12</f>
        <v>19</v>
      </c>
      <c r="R6850" t="s">
        <v>1021</v>
      </c>
      <c r="S6850" t="s">
        <v>102</v>
      </c>
      <c r="AB6850" t="s">
        <v>1137</v>
      </c>
      <c r="AC6850" t="s">
        <v>41</v>
      </c>
    </row>
    <row r="6851" spans="1:29" x14ac:dyDescent="0.35">
      <c r="A6851" s="7">
        <v>43277</v>
      </c>
      <c r="B6851" t="s">
        <v>30</v>
      </c>
      <c r="C6851">
        <v>201</v>
      </c>
      <c r="D6851">
        <v>6</v>
      </c>
      <c r="E6851">
        <v>1</v>
      </c>
      <c r="F6851" t="s">
        <v>1170</v>
      </c>
      <c r="G6851" t="s">
        <v>32</v>
      </c>
      <c r="H6851" t="s">
        <v>33</v>
      </c>
      <c r="I6851" t="s">
        <v>43</v>
      </c>
      <c r="J6851" t="s">
        <v>35</v>
      </c>
      <c r="K6851" t="s">
        <v>113</v>
      </c>
      <c r="L6851" t="s">
        <v>37</v>
      </c>
      <c r="M6851">
        <v>0</v>
      </c>
      <c r="N6851">
        <v>1</v>
      </c>
      <c r="O6851">
        <v>1137</v>
      </c>
      <c r="P6851">
        <v>1138</v>
      </c>
      <c r="Q6851">
        <f>33-19</f>
        <v>14</v>
      </c>
      <c r="R6851" t="s">
        <v>46</v>
      </c>
      <c r="S6851" t="s">
        <v>39</v>
      </c>
      <c r="AB6851" t="s">
        <v>1137</v>
      </c>
      <c r="AC6851" t="s">
        <v>41</v>
      </c>
    </row>
    <row r="6852" spans="1:29" x14ac:dyDescent="0.35">
      <c r="A6852" s="7">
        <v>43277</v>
      </c>
      <c r="B6852" t="s">
        <v>30</v>
      </c>
      <c r="C6852">
        <v>201</v>
      </c>
      <c r="D6852">
        <v>7</v>
      </c>
      <c r="E6852">
        <v>1</v>
      </c>
      <c r="F6852" t="s">
        <v>1170</v>
      </c>
      <c r="G6852" t="s">
        <v>32</v>
      </c>
      <c r="H6852" t="s">
        <v>33</v>
      </c>
      <c r="I6852" t="s">
        <v>43</v>
      </c>
      <c r="J6852" t="s">
        <v>35</v>
      </c>
      <c r="K6852" t="s">
        <v>36</v>
      </c>
      <c r="L6852" t="s">
        <v>37</v>
      </c>
      <c r="M6852">
        <v>0</v>
      </c>
      <c r="N6852">
        <v>1</v>
      </c>
      <c r="O6852">
        <v>1140</v>
      </c>
      <c r="P6852">
        <v>1139</v>
      </c>
      <c r="Q6852">
        <f>35-19</f>
        <v>16</v>
      </c>
      <c r="R6852" t="s">
        <v>38</v>
      </c>
      <c r="AB6852" t="s">
        <v>1137</v>
      </c>
      <c r="AC6852" t="s">
        <v>41</v>
      </c>
    </row>
    <row r="6853" spans="1:29" x14ac:dyDescent="0.35">
      <c r="A6853" s="7">
        <v>43277</v>
      </c>
      <c r="B6853" t="s">
        <v>30</v>
      </c>
      <c r="C6853">
        <v>201</v>
      </c>
      <c r="D6853">
        <v>8</v>
      </c>
      <c r="E6853">
        <v>1</v>
      </c>
      <c r="F6853" t="s">
        <v>1170</v>
      </c>
      <c r="G6853" t="s">
        <v>32</v>
      </c>
      <c r="H6853" t="s">
        <v>33</v>
      </c>
      <c r="I6853" t="s">
        <v>43</v>
      </c>
      <c r="J6853" t="s">
        <v>56</v>
      </c>
      <c r="AB6853" t="s">
        <v>1137</v>
      </c>
      <c r="AC6853" t="s">
        <v>41</v>
      </c>
    </row>
    <row r="6854" spans="1:29" x14ac:dyDescent="0.35">
      <c r="A6854" s="7">
        <v>43277</v>
      </c>
      <c r="B6854" t="s">
        <v>30</v>
      </c>
      <c r="C6854">
        <v>202</v>
      </c>
      <c r="D6854">
        <v>2</v>
      </c>
      <c r="E6854">
        <v>1</v>
      </c>
      <c r="F6854" t="s">
        <v>1170</v>
      </c>
      <c r="G6854" t="s">
        <v>32</v>
      </c>
      <c r="H6854" t="s">
        <v>33</v>
      </c>
      <c r="I6854" t="s">
        <v>43</v>
      </c>
      <c r="J6854" t="s">
        <v>44</v>
      </c>
      <c r="K6854" t="s">
        <v>113</v>
      </c>
      <c r="L6854" t="s">
        <v>37</v>
      </c>
      <c r="M6854">
        <v>0</v>
      </c>
      <c r="N6854">
        <v>0</v>
      </c>
      <c r="O6854">
        <v>1134</v>
      </c>
      <c r="P6854">
        <v>1133</v>
      </c>
      <c r="Q6854">
        <f>34-21</f>
        <v>13</v>
      </c>
      <c r="R6854" t="s">
        <v>64</v>
      </c>
      <c r="AB6854" t="s">
        <v>1137</v>
      </c>
      <c r="AC6854" t="s">
        <v>41</v>
      </c>
    </row>
    <row r="6855" spans="1:29" x14ac:dyDescent="0.35">
      <c r="A6855" s="7">
        <v>43277</v>
      </c>
      <c r="B6855" t="s">
        <v>30</v>
      </c>
      <c r="C6855">
        <v>202</v>
      </c>
      <c r="D6855">
        <v>5</v>
      </c>
      <c r="E6855">
        <v>1</v>
      </c>
      <c r="F6855" t="s">
        <v>1170</v>
      </c>
      <c r="G6855" t="s">
        <v>32</v>
      </c>
      <c r="H6855" t="s">
        <v>33</v>
      </c>
      <c r="I6855" t="s">
        <v>43</v>
      </c>
      <c r="J6855" t="s">
        <v>44</v>
      </c>
      <c r="K6855" t="s">
        <v>36</v>
      </c>
      <c r="L6855" t="s">
        <v>45</v>
      </c>
      <c r="M6855">
        <v>0</v>
      </c>
      <c r="N6855">
        <v>0</v>
      </c>
      <c r="O6855">
        <v>1163</v>
      </c>
      <c r="P6855">
        <v>1162</v>
      </c>
      <c r="Q6855">
        <f>40-21</f>
        <v>19</v>
      </c>
      <c r="R6855" t="s">
        <v>79</v>
      </c>
      <c r="AB6855" t="s">
        <v>1137</v>
      </c>
      <c r="AC6855" t="s">
        <v>41</v>
      </c>
    </row>
    <row r="6856" spans="1:29" x14ac:dyDescent="0.35">
      <c r="A6856" s="7">
        <v>43277</v>
      </c>
      <c r="B6856" t="s">
        <v>30</v>
      </c>
      <c r="C6856">
        <v>202</v>
      </c>
      <c r="D6856">
        <v>5</v>
      </c>
      <c r="E6856">
        <v>2</v>
      </c>
      <c r="F6856" t="s">
        <v>1170</v>
      </c>
      <c r="G6856" t="s">
        <v>32</v>
      </c>
      <c r="H6856" t="s">
        <v>33</v>
      </c>
      <c r="I6856" t="s">
        <v>43</v>
      </c>
      <c r="J6856" t="s">
        <v>44</v>
      </c>
      <c r="K6856" t="s">
        <v>36</v>
      </c>
      <c r="L6856" t="s">
        <v>45</v>
      </c>
      <c r="M6856">
        <v>0</v>
      </c>
      <c r="N6856">
        <v>0</v>
      </c>
      <c r="O6856">
        <v>1157</v>
      </c>
      <c r="P6856">
        <v>1156</v>
      </c>
      <c r="Q6856">
        <f>37-21</f>
        <v>16</v>
      </c>
      <c r="R6856" t="s">
        <v>77</v>
      </c>
      <c r="AB6856" t="s">
        <v>1137</v>
      </c>
      <c r="AC6856" t="s">
        <v>41</v>
      </c>
    </row>
    <row r="6857" spans="1:29" x14ac:dyDescent="0.35">
      <c r="A6857" s="7">
        <v>43277</v>
      </c>
      <c r="B6857" t="s">
        <v>30</v>
      </c>
      <c r="C6857">
        <v>202</v>
      </c>
      <c r="D6857">
        <v>7</v>
      </c>
      <c r="E6857">
        <v>1</v>
      </c>
      <c r="F6857" t="s">
        <v>1170</v>
      </c>
      <c r="G6857" t="s">
        <v>32</v>
      </c>
      <c r="H6857" t="s">
        <v>33</v>
      </c>
      <c r="I6857" t="s">
        <v>43</v>
      </c>
      <c r="J6857" t="s">
        <v>35</v>
      </c>
      <c r="K6857" t="s">
        <v>88</v>
      </c>
      <c r="L6857" t="s">
        <v>37</v>
      </c>
      <c r="M6857">
        <v>0</v>
      </c>
      <c r="N6857">
        <v>1</v>
      </c>
      <c r="O6857">
        <v>1150</v>
      </c>
      <c r="P6857">
        <v>1149</v>
      </c>
      <c r="Q6857">
        <f>36-22</f>
        <v>14</v>
      </c>
      <c r="R6857" t="s">
        <v>46</v>
      </c>
      <c r="AB6857" t="s">
        <v>1137</v>
      </c>
      <c r="AC6857" t="s">
        <v>41</v>
      </c>
    </row>
    <row r="6858" spans="1:29" x14ac:dyDescent="0.35">
      <c r="A6858" s="7">
        <v>43277</v>
      </c>
      <c r="B6858" t="s">
        <v>30</v>
      </c>
      <c r="C6858">
        <v>202</v>
      </c>
      <c r="D6858">
        <v>8</v>
      </c>
      <c r="E6858">
        <v>1</v>
      </c>
      <c r="F6858" t="s">
        <v>1170</v>
      </c>
      <c r="G6858" t="s">
        <v>32</v>
      </c>
      <c r="H6858" t="s">
        <v>33</v>
      </c>
      <c r="I6858" t="s">
        <v>43</v>
      </c>
      <c r="J6858" t="s">
        <v>44</v>
      </c>
      <c r="K6858" t="s">
        <v>36</v>
      </c>
      <c r="L6858" t="s">
        <v>37</v>
      </c>
      <c r="M6858">
        <v>0</v>
      </c>
      <c r="N6858">
        <v>0</v>
      </c>
      <c r="O6858">
        <v>9808</v>
      </c>
      <c r="P6858">
        <v>9807</v>
      </c>
      <c r="Q6858">
        <f>33-15</f>
        <v>18</v>
      </c>
      <c r="R6858" t="s">
        <v>38</v>
      </c>
      <c r="AB6858" t="s">
        <v>1137</v>
      </c>
      <c r="AC6858" t="s">
        <v>41</v>
      </c>
    </row>
    <row r="6859" spans="1:29" x14ac:dyDescent="0.35">
      <c r="A6859" s="7">
        <v>43277</v>
      </c>
      <c r="B6859" t="s">
        <v>30</v>
      </c>
      <c r="C6859">
        <v>203</v>
      </c>
      <c r="D6859">
        <v>3</v>
      </c>
      <c r="E6859">
        <v>1</v>
      </c>
      <c r="F6859" t="s">
        <v>1170</v>
      </c>
      <c r="G6859" t="s">
        <v>32</v>
      </c>
      <c r="H6859" t="s">
        <v>33</v>
      </c>
      <c r="I6859" t="s">
        <v>43</v>
      </c>
      <c r="J6859" t="s">
        <v>35</v>
      </c>
      <c r="K6859" t="s">
        <v>36</v>
      </c>
      <c r="L6859" t="s">
        <v>45</v>
      </c>
      <c r="M6859">
        <v>0</v>
      </c>
      <c r="N6859">
        <v>1</v>
      </c>
      <c r="O6859">
        <v>1142</v>
      </c>
      <c r="P6859">
        <v>1141</v>
      </c>
      <c r="Q6859">
        <f>38-20</f>
        <v>18</v>
      </c>
      <c r="R6859" t="s">
        <v>1021</v>
      </c>
      <c r="S6859" t="s">
        <v>102</v>
      </c>
      <c r="AB6859" t="s">
        <v>1137</v>
      </c>
      <c r="AC6859" t="s">
        <v>41</v>
      </c>
    </row>
    <row r="6860" spans="1:29" x14ac:dyDescent="0.35">
      <c r="A6860" s="7">
        <v>43277</v>
      </c>
      <c r="B6860" t="s">
        <v>30</v>
      </c>
      <c r="C6860">
        <v>203</v>
      </c>
      <c r="D6860">
        <v>5</v>
      </c>
      <c r="E6860">
        <v>1</v>
      </c>
      <c r="F6860" t="s">
        <v>1170</v>
      </c>
      <c r="G6860" t="s">
        <v>32</v>
      </c>
      <c r="H6860" t="s">
        <v>33</v>
      </c>
      <c r="I6860" t="s">
        <v>43</v>
      </c>
      <c r="J6860" t="s">
        <v>44</v>
      </c>
      <c r="K6860" t="s">
        <v>88</v>
      </c>
      <c r="L6860" t="s">
        <v>37</v>
      </c>
      <c r="M6860">
        <v>0</v>
      </c>
      <c r="N6860">
        <v>0</v>
      </c>
      <c r="O6860">
        <v>39811</v>
      </c>
      <c r="P6860">
        <v>39810</v>
      </c>
      <c r="Q6860">
        <f>37-24</f>
        <v>13</v>
      </c>
      <c r="R6860" t="s">
        <v>64</v>
      </c>
      <c r="AB6860" t="s">
        <v>1137</v>
      </c>
      <c r="AC6860" t="s">
        <v>41</v>
      </c>
    </row>
    <row r="6861" spans="1:29" x14ac:dyDescent="0.35">
      <c r="A6861" s="7">
        <v>43277</v>
      </c>
      <c r="B6861" t="s">
        <v>30</v>
      </c>
      <c r="C6861">
        <v>203</v>
      </c>
      <c r="D6861">
        <v>5</v>
      </c>
      <c r="E6861">
        <v>2</v>
      </c>
      <c r="F6861" t="s">
        <v>1170</v>
      </c>
      <c r="G6861" t="s">
        <v>32</v>
      </c>
      <c r="H6861" t="s">
        <v>33</v>
      </c>
      <c r="I6861" t="s">
        <v>43</v>
      </c>
      <c r="J6861" t="s">
        <v>44</v>
      </c>
      <c r="K6861" t="s">
        <v>36</v>
      </c>
      <c r="L6861" t="s">
        <v>45</v>
      </c>
      <c r="M6861">
        <v>0</v>
      </c>
      <c r="N6861">
        <v>0</v>
      </c>
      <c r="O6861">
        <v>3012</v>
      </c>
      <c r="P6861">
        <v>3013</v>
      </c>
      <c r="Q6861">
        <f>55-12</f>
        <v>43</v>
      </c>
      <c r="R6861" t="s">
        <v>1028</v>
      </c>
      <c r="S6861" t="s">
        <v>102</v>
      </c>
      <c r="AB6861" t="s">
        <v>1137</v>
      </c>
      <c r="AC6861" t="s">
        <v>41</v>
      </c>
    </row>
    <row r="6862" spans="1:29" x14ac:dyDescent="0.35">
      <c r="A6862" s="7">
        <v>43277</v>
      </c>
      <c r="B6862" t="s">
        <v>30</v>
      </c>
      <c r="C6862">
        <v>203</v>
      </c>
      <c r="D6862">
        <v>9</v>
      </c>
      <c r="E6862">
        <v>1</v>
      </c>
      <c r="F6862" t="s">
        <v>1170</v>
      </c>
      <c r="G6862" t="s">
        <v>32</v>
      </c>
      <c r="H6862" t="s">
        <v>33</v>
      </c>
      <c r="I6862" t="s">
        <v>43</v>
      </c>
      <c r="J6862" t="s">
        <v>44</v>
      </c>
      <c r="K6862" t="s">
        <v>36</v>
      </c>
      <c r="L6862" t="s">
        <v>45</v>
      </c>
      <c r="M6862">
        <v>0</v>
      </c>
      <c r="N6862">
        <v>1</v>
      </c>
      <c r="O6862">
        <v>1143</v>
      </c>
      <c r="P6862">
        <v>1144</v>
      </c>
      <c r="Q6862">
        <f>28-13</f>
        <v>15</v>
      </c>
      <c r="R6862" t="s">
        <v>46</v>
      </c>
      <c r="S6862" t="s">
        <v>39</v>
      </c>
      <c r="AB6862" t="s">
        <v>1137</v>
      </c>
      <c r="AC6862" t="s">
        <v>41</v>
      </c>
    </row>
    <row r="6863" spans="1:29" x14ac:dyDescent="0.35">
      <c r="A6863" s="7">
        <v>43277</v>
      </c>
      <c r="B6863" t="s">
        <v>30</v>
      </c>
      <c r="C6863">
        <v>203</v>
      </c>
      <c r="D6863">
        <v>9</v>
      </c>
      <c r="E6863">
        <v>2</v>
      </c>
      <c r="F6863" t="s">
        <v>1170</v>
      </c>
      <c r="G6863" t="s">
        <v>32</v>
      </c>
      <c r="H6863" t="s">
        <v>33</v>
      </c>
      <c r="I6863" t="s">
        <v>43</v>
      </c>
      <c r="J6863" t="s">
        <v>44</v>
      </c>
      <c r="K6863" t="s">
        <v>36</v>
      </c>
      <c r="L6863" t="s">
        <v>45</v>
      </c>
      <c r="M6863">
        <v>0</v>
      </c>
      <c r="N6863">
        <v>0</v>
      </c>
      <c r="O6863">
        <v>1155</v>
      </c>
      <c r="P6863">
        <v>1154</v>
      </c>
      <c r="Q6863">
        <f>33-14</f>
        <v>19</v>
      </c>
      <c r="R6863" t="s">
        <v>77</v>
      </c>
      <c r="S6863" t="s">
        <v>39</v>
      </c>
      <c r="AB6863" t="s">
        <v>1137</v>
      </c>
      <c r="AC6863" t="s">
        <v>41</v>
      </c>
    </row>
    <row r="6864" spans="1:29" x14ac:dyDescent="0.35">
      <c r="A6864" s="7">
        <v>43277</v>
      </c>
      <c r="B6864" t="s">
        <v>30</v>
      </c>
      <c r="C6864">
        <v>304</v>
      </c>
      <c r="D6864">
        <v>7</v>
      </c>
      <c r="E6864">
        <v>1</v>
      </c>
      <c r="F6864" t="s">
        <v>1170</v>
      </c>
      <c r="G6864" t="s">
        <v>32</v>
      </c>
      <c r="H6864" t="s">
        <v>33</v>
      </c>
      <c r="I6864" t="s">
        <v>43</v>
      </c>
      <c r="J6864" t="s">
        <v>35</v>
      </c>
      <c r="K6864" t="s">
        <v>88</v>
      </c>
      <c r="L6864" t="s">
        <v>37</v>
      </c>
      <c r="M6864">
        <v>0</v>
      </c>
      <c r="N6864">
        <v>1</v>
      </c>
      <c r="O6864">
        <v>1148</v>
      </c>
      <c r="P6864">
        <v>1147</v>
      </c>
      <c r="Q6864">
        <f>29-15</f>
        <v>14</v>
      </c>
      <c r="R6864" t="s">
        <v>64</v>
      </c>
      <c r="AB6864" t="s">
        <v>1137</v>
      </c>
      <c r="AC6864" t="s">
        <v>41</v>
      </c>
    </row>
    <row r="6865" spans="1:29" x14ac:dyDescent="0.35">
      <c r="A6865" s="7">
        <v>43277</v>
      </c>
      <c r="B6865" t="s">
        <v>30</v>
      </c>
      <c r="C6865">
        <v>113</v>
      </c>
      <c r="D6865">
        <v>6</v>
      </c>
      <c r="E6865">
        <v>1</v>
      </c>
      <c r="F6865" t="s">
        <v>1139</v>
      </c>
      <c r="G6865" t="s">
        <v>32</v>
      </c>
      <c r="H6865" t="s">
        <v>33</v>
      </c>
      <c r="I6865" t="s">
        <v>34</v>
      </c>
      <c r="J6865" t="s">
        <v>35</v>
      </c>
      <c r="K6865" t="s">
        <v>36</v>
      </c>
      <c r="L6865" t="s">
        <v>37</v>
      </c>
      <c r="M6865">
        <v>0</v>
      </c>
      <c r="N6865">
        <v>1</v>
      </c>
      <c r="O6865">
        <v>1052</v>
      </c>
      <c r="Q6865">
        <f>155-80</f>
        <v>75</v>
      </c>
      <c r="R6865" t="s">
        <v>64</v>
      </c>
      <c r="AB6865" t="s">
        <v>1136</v>
      </c>
      <c r="AC6865" t="s">
        <v>41</v>
      </c>
    </row>
    <row r="6866" spans="1:29" x14ac:dyDescent="0.35">
      <c r="A6866" s="7">
        <v>43277</v>
      </c>
      <c r="B6866" t="s">
        <v>30</v>
      </c>
      <c r="C6866">
        <v>201</v>
      </c>
      <c r="D6866">
        <v>3</v>
      </c>
      <c r="E6866">
        <v>1</v>
      </c>
      <c r="F6866" t="s">
        <v>1170</v>
      </c>
      <c r="G6866" t="s">
        <v>32</v>
      </c>
      <c r="H6866" t="s">
        <v>33</v>
      </c>
      <c r="I6866" t="s">
        <v>58</v>
      </c>
      <c r="J6866" t="s">
        <v>92</v>
      </c>
      <c r="AB6866" t="s">
        <v>1137</v>
      </c>
      <c r="AC6866" t="s">
        <v>41</v>
      </c>
    </row>
    <row r="6867" spans="1:29" x14ac:dyDescent="0.35">
      <c r="A6867" s="7">
        <v>43277</v>
      </c>
      <c r="B6867" t="s">
        <v>30</v>
      </c>
      <c r="C6867">
        <v>111</v>
      </c>
      <c r="D6867">
        <v>9</v>
      </c>
      <c r="E6867">
        <v>1</v>
      </c>
      <c r="F6867" t="s">
        <v>1139</v>
      </c>
      <c r="G6867" t="s">
        <v>32</v>
      </c>
      <c r="H6867" t="s">
        <v>33</v>
      </c>
      <c r="I6867" t="s">
        <v>72</v>
      </c>
      <c r="J6867" t="s">
        <v>56</v>
      </c>
      <c r="AB6867" t="s">
        <v>1136</v>
      </c>
      <c r="AC6867" t="s">
        <v>41</v>
      </c>
    </row>
    <row r="6868" spans="1:29" x14ac:dyDescent="0.35">
      <c r="A6868" s="7">
        <v>43277</v>
      </c>
      <c r="B6868" t="s">
        <v>30</v>
      </c>
      <c r="C6868">
        <v>113</v>
      </c>
      <c r="D6868">
        <v>7</v>
      </c>
      <c r="E6868">
        <v>1</v>
      </c>
      <c r="F6868" t="s">
        <v>1139</v>
      </c>
      <c r="G6868" t="s">
        <v>32</v>
      </c>
      <c r="H6868" t="s">
        <v>33</v>
      </c>
      <c r="I6868" t="s">
        <v>72</v>
      </c>
      <c r="J6868" t="s">
        <v>56</v>
      </c>
      <c r="AB6868" t="s">
        <v>1136</v>
      </c>
      <c r="AC6868" t="s">
        <v>41</v>
      </c>
    </row>
    <row r="6869" spans="1:29" x14ac:dyDescent="0.35">
      <c r="A6869" s="7">
        <v>43277</v>
      </c>
      <c r="B6869" t="s">
        <v>30</v>
      </c>
      <c r="C6869">
        <v>113</v>
      </c>
      <c r="D6869">
        <v>9</v>
      </c>
      <c r="E6869">
        <v>1</v>
      </c>
      <c r="F6869" t="s">
        <v>1139</v>
      </c>
      <c r="G6869" t="s">
        <v>32</v>
      </c>
      <c r="H6869" t="s">
        <v>33</v>
      </c>
      <c r="I6869" t="s">
        <v>72</v>
      </c>
      <c r="J6869" t="s">
        <v>66</v>
      </c>
      <c r="AB6869" t="s">
        <v>1136</v>
      </c>
      <c r="AC6869" t="s">
        <v>41</v>
      </c>
    </row>
    <row r="6870" spans="1:29" x14ac:dyDescent="0.35">
      <c r="A6870" s="7">
        <v>43277</v>
      </c>
      <c r="B6870" t="s">
        <v>30</v>
      </c>
      <c r="C6870">
        <v>201</v>
      </c>
      <c r="D6870">
        <v>10</v>
      </c>
      <c r="E6870">
        <v>1</v>
      </c>
      <c r="F6870" t="s">
        <v>1170</v>
      </c>
      <c r="G6870" t="s">
        <v>32</v>
      </c>
      <c r="H6870" t="s">
        <v>33</v>
      </c>
      <c r="I6870" t="s">
        <v>72</v>
      </c>
      <c r="J6870" t="s">
        <v>56</v>
      </c>
      <c r="AB6870" t="s">
        <v>1137</v>
      </c>
      <c r="AC6870" t="s">
        <v>41</v>
      </c>
    </row>
    <row r="6871" spans="1:29" x14ac:dyDescent="0.35">
      <c r="A6871" s="7">
        <v>43277</v>
      </c>
      <c r="B6871" t="s">
        <v>30</v>
      </c>
      <c r="C6871">
        <v>203</v>
      </c>
      <c r="D6871">
        <v>4</v>
      </c>
      <c r="E6871">
        <v>1</v>
      </c>
      <c r="F6871" t="s">
        <v>1170</v>
      </c>
      <c r="G6871" t="s">
        <v>32</v>
      </c>
      <c r="H6871" t="s">
        <v>33</v>
      </c>
      <c r="I6871" t="s">
        <v>72</v>
      </c>
      <c r="J6871" t="s">
        <v>56</v>
      </c>
      <c r="AB6871" t="s">
        <v>1137</v>
      </c>
      <c r="AC6871" t="s">
        <v>41</v>
      </c>
    </row>
    <row r="6872" spans="1:29" x14ac:dyDescent="0.35">
      <c r="A6872" s="7">
        <v>43277</v>
      </c>
      <c r="B6872" t="s">
        <v>30</v>
      </c>
      <c r="C6872">
        <v>111</v>
      </c>
      <c r="D6872">
        <v>2</v>
      </c>
      <c r="E6872">
        <v>2</v>
      </c>
      <c r="F6872" t="s">
        <v>1139</v>
      </c>
      <c r="G6872" t="s">
        <v>32</v>
      </c>
      <c r="H6872" t="s">
        <v>33</v>
      </c>
      <c r="I6872" t="s">
        <v>59</v>
      </c>
      <c r="AB6872" t="s">
        <v>1136</v>
      </c>
      <c r="AC6872" t="s">
        <v>41</v>
      </c>
    </row>
    <row r="6873" spans="1:29" x14ac:dyDescent="0.35">
      <c r="A6873" s="7">
        <v>43277</v>
      </c>
      <c r="B6873" t="s">
        <v>30</v>
      </c>
      <c r="C6873">
        <v>111</v>
      </c>
      <c r="D6873">
        <v>8</v>
      </c>
      <c r="E6873">
        <v>1</v>
      </c>
      <c r="F6873" t="s">
        <v>1139</v>
      </c>
      <c r="G6873" t="s">
        <v>32</v>
      </c>
      <c r="H6873" t="s">
        <v>33</v>
      </c>
      <c r="I6873" t="s">
        <v>59</v>
      </c>
      <c r="AB6873" t="s">
        <v>1136</v>
      </c>
      <c r="AC6873" t="s">
        <v>41</v>
      </c>
    </row>
    <row r="6874" spans="1:29" x14ac:dyDescent="0.35">
      <c r="A6874" s="7">
        <v>43277</v>
      </c>
      <c r="B6874" t="s">
        <v>30</v>
      </c>
      <c r="C6874">
        <v>111</v>
      </c>
      <c r="D6874">
        <v>8</v>
      </c>
      <c r="E6874">
        <v>2</v>
      </c>
      <c r="F6874" t="s">
        <v>1139</v>
      </c>
      <c r="G6874" t="s">
        <v>32</v>
      </c>
      <c r="H6874" t="s">
        <v>33</v>
      </c>
      <c r="I6874" t="s">
        <v>59</v>
      </c>
      <c r="AB6874" t="s">
        <v>1136</v>
      </c>
      <c r="AC6874" t="s">
        <v>41</v>
      </c>
    </row>
    <row r="6875" spans="1:29" x14ac:dyDescent="0.35">
      <c r="A6875" s="7">
        <v>43277</v>
      </c>
      <c r="B6875" t="s">
        <v>30</v>
      </c>
      <c r="C6875">
        <v>201</v>
      </c>
      <c r="D6875">
        <v>4</v>
      </c>
      <c r="E6875">
        <v>1</v>
      </c>
      <c r="F6875" t="s">
        <v>1170</v>
      </c>
      <c r="G6875" t="s">
        <v>32</v>
      </c>
      <c r="H6875" t="s">
        <v>33</v>
      </c>
      <c r="I6875" t="s">
        <v>59</v>
      </c>
      <c r="AB6875" t="s">
        <v>1137</v>
      </c>
      <c r="AC6875" t="s">
        <v>41</v>
      </c>
    </row>
    <row r="6876" spans="1:29" x14ac:dyDescent="0.35">
      <c r="A6876" s="7">
        <v>43277</v>
      </c>
      <c r="B6876" t="s">
        <v>30</v>
      </c>
      <c r="C6876">
        <v>202</v>
      </c>
      <c r="D6876">
        <v>1</v>
      </c>
      <c r="E6876">
        <v>1</v>
      </c>
      <c r="F6876" t="s">
        <v>1170</v>
      </c>
      <c r="G6876" t="s">
        <v>32</v>
      </c>
      <c r="H6876" t="s">
        <v>33</v>
      </c>
      <c r="I6876" t="s">
        <v>59</v>
      </c>
      <c r="AB6876" t="s">
        <v>1137</v>
      </c>
      <c r="AC6876" t="s">
        <v>41</v>
      </c>
    </row>
    <row r="6877" spans="1:29" x14ac:dyDescent="0.35">
      <c r="A6877" s="7">
        <v>43277</v>
      </c>
      <c r="B6877" t="s">
        <v>30</v>
      </c>
      <c r="C6877">
        <v>402</v>
      </c>
      <c r="D6877">
        <v>1</v>
      </c>
      <c r="E6877">
        <v>1</v>
      </c>
      <c r="F6877" t="s">
        <v>1139</v>
      </c>
      <c r="G6877" t="s">
        <v>32</v>
      </c>
      <c r="H6877" t="s">
        <v>33</v>
      </c>
      <c r="I6877" t="s">
        <v>59</v>
      </c>
      <c r="AB6877" t="s">
        <v>1136</v>
      </c>
      <c r="AC6877" t="s">
        <v>41</v>
      </c>
    </row>
    <row r="6878" spans="1:29" x14ac:dyDescent="0.35">
      <c r="A6878" s="7">
        <v>43277</v>
      </c>
      <c r="B6878" t="s">
        <v>30</v>
      </c>
      <c r="C6878">
        <v>402</v>
      </c>
      <c r="D6878">
        <v>1</v>
      </c>
      <c r="E6878">
        <v>2</v>
      </c>
      <c r="F6878" t="s">
        <v>1139</v>
      </c>
      <c r="G6878" t="s">
        <v>32</v>
      </c>
      <c r="H6878" t="s">
        <v>33</v>
      </c>
      <c r="I6878" t="s">
        <v>59</v>
      </c>
      <c r="AB6878" t="s">
        <v>1136</v>
      </c>
      <c r="AC6878" t="s">
        <v>41</v>
      </c>
    </row>
    <row r="6879" spans="1:29" x14ac:dyDescent="0.35">
      <c r="A6879" s="7">
        <v>43277</v>
      </c>
      <c r="B6879" t="s">
        <v>30</v>
      </c>
      <c r="C6879">
        <v>402</v>
      </c>
      <c r="D6879">
        <v>2</v>
      </c>
      <c r="E6879">
        <v>1</v>
      </c>
      <c r="F6879" t="s">
        <v>1139</v>
      </c>
      <c r="G6879" t="s">
        <v>32</v>
      </c>
      <c r="H6879" t="s">
        <v>33</v>
      </c>
      <c r="I6879" t="s">
        <v>59</v>
      </c>
      <c r="AB6879" t="s">
        <v>1136</v>
      </c>
      <c r="AC6879" t="s">
        <v>41</v>
      </c>
    </row>
    <row r="6880" spans="1:29" x14ac:dyDescent="0.35">
      <c r="A6880" s="7">
        <v>43277</v>
      </c>
      <c r="B6880" t="s">
        <v>30</v>
      </c>
      <c r="C6880">
        <v>402</v>
      </c>
      <c r="D6880">
        <v>3</v>
      </c>
      <c r="E6880">
        <v>1</v>
      </c>
      <c r="F6880" t="s">
        <v>1139</v>
      </c>
      <c r="G6880" t="s">
        <v>32</v>
      </c>
      <c r="H6880" t="s">
        <v>33</v>
      </c>
      <c r="I6880" t="s">
        <v>94</v>
      </c>
      <c r="J6880" t="s">
        <v>35</v>
      </c>
      <c r="K6880" t="s">
        <v>36</v>
      </c>
      <c r="L6880" t="s">
        <v>45</v>
      </c>
      <c r="M6880">
        <v>0</v>
      </c>
      <c r="N6880">
        <v>1</v>
      </c>
      <c r="O6880">
        <v>1054</v>
      </c>
      <c r="Q6880">
        <f>39.5-13.5</f>
        <v>26</v>
      </c>
      <c r="R6880" t="s">
        <v>1021</v>
      </c>
      <c r="S6880" t="s">
        <v>102</v>
      </c>
      <c r="AB6880" t="s">
        <v>1136</v>
      </c>
      <c r="AC6880" t="s">
        <v>41</v>
      </c>
    </row>
    <row r="6881" spans="1:30" x14ac:dyDescent="0.35">
      <c r="A6881" s="7">
        <v>43277</v>
      </c>
      <c r="B6881" t="s">
        <v>30</v>
      </c>
      <c r="C6881">
        <v>402</v>
      </c>
      <c r="D6881">
        <v>8</v>
      </c>
      <c r="E6881">
        <v>1</v>
      </c>
      <c r="F6881" t="s">
        <v>1139</v>
      </c>
      <c r="G6881" t="s">
        <v>32</v>
      </c>
      <c r="H6881" t="s">
        <v>33</v>
      </c>
      <c r="I6881" t="s">
        <v>94</v>
      </c>
      <c r="J6881" t="s">
        <v>56</v>
      </c>
      <c r="K6881" t="s">
        <v>36</v>
      </c>
      <c r="L6881" t="s">
        <v>37</v>
      </c>
      <c r="AB6881" t="s">
        <v>1136</v>
      </c>
      <c r="AC6881" t="s">
        <v>41</v>
      </c>
    </row>
    <row r="6882" spans="1:30" x14ac:dyDescent="0.35">
      <c r="A6882" s="7">
        <v>43278</v>
      </c>
      <c r="B6882" t="s">
        <v>30</v>
      </c>
      <c r="C6882">
        <v>111</v>
      </c>
      <c r="D6882">
        <v>2</v>
      </c>
      <c r="E6882">
        <v>1</v>
      </c>
      <c r="F6882" t="s">
        <v>1139</v>
      </c>
      <c r="G6882" t="s">
        <v>32</v>
      </c>
      <c r="H6882" t="s">
        <v>33</v>
      </c>
      <c r="I6882" t="s">
        <v>43</v>
      </c>
      <c r="J6882" t="s">
        <v>44</v>
      </c>
      <c r="K6882" t="s">
        <v>36</v>
      </c>
      <c r="L6882" t="s">
        <v>45</v>
      </c>
      <c r="M6882">
        <v>0</v>
      </c>
      <c r="N6882">
        <v>0</v>
      </c>
      <c r="O6882">
        <v>2408</v>
      </c>
      <c r="P6882">
        <v>2407</v>
      </c>
      <c r="Q6882">
        <f>31-13</f>
        <v>18</v>
      </c>
      <c r="R6882" t="s">
        <v>1021</v>
      </c>
      <c r="S6882" t="s">
        <v>102</v>
      </c>
      <c r="AB6882" t="s">
        <v>1136</v>
      </c>
      <c r="AC6882" t="s">
        <v>87</v>
      </c>
    </row>
    <row r="6883" spans="1:30" x14ac:dyDescent="0.35">
      <c r="A6883" s="7">
        <v>43278</v>
      </c>
      <c r="B6883" t="s">
        <v>30</v>
      </c>
      <c r="C6883">
        <v>111</v>
      </c>
      <c r="D6883">
        <v>3</v>
      </c>
      <c r="E6883">
        <v>1</v>
      </c>
      <c r="F6883" t="s">
        <v>1139</v>
      </c>
      <c r="G6883" t="s">
        <v>32</v>
      </c>
      <c r="H6883" t="s">
        <v>33</v>
      </c>
      <c r="I6883" t="s">
        <v>43</v>
      </c>
      <c r="J6883" t="s">
        <v>35</v>
      </c>
      <c r="K6883" t="s">
        <v>88</v>
      </c>
      <c r="L6883" t="s">
        <v>45</v>
      </c>
      <c r="M6883">
        <v>0</v>
      </c>
      <c r="N6883">
        <v>1</v>
      </c>
      <c r="O6883">
        <v>1124</v>
      </c>
      <c r="P6883">
        <v>1123</v>
      </c>
      <c r="Q6883">
        <f>27-13</f>
        <v>14</v>
      </c>
      <c r="R6883" t="s">
        <v>46</v>
      </c>
      <c r="S6883" t="s">
        <v>39</v>
      </c>
      <c r="AB6883" t="s">
        <v>1136</v>
      </c>
      <c r="AC6883" t="s">
        <v>87</v>
      </c>
    </row>
    <row r="6884" spans="1:30" x14ac:dyDescent="0.35">
      <c r="A6884" s="7">
        <v>43278</v>
      </c>
      <c r="B6884" t="s">
        <v>30</v>
      </c>
      <c r="C6884">
        <v>111</v>
      </c>
      <c r="D6884">
        <v>4</v>
      </c>
      <c r="E6884">
        <v>1</v>
      </c>
      <c r="F6884" t="s">
        <v>1139</v>
      </c>
      <c r="G6884" t="s">
        <v>32</v>
      </c>
      <c r="H6884" t="s">
        <v>33</v>
      </c>
      <c r="I6884" t="s">
        <v>43</v>
      </c>
      <c r="J6884" t="s">
        <v>44</v>
      </c>
      <c r="K6884" t="s">
        <v>36</v>
      </c>
      <c r="L6884" t="s">
        <v>45</v>
      </c>
      <c r="M6884">
        <v>0</v>
      </c>
      <c r="N6884">
        <v>0</v>
      </c>
      <c r="O6884">
        <v>2463</v>
      </c>
      <c r="P6884">
        <v>2462</v>
      </c>
      <c r="Q6884">
        <f>35-14.5</f>
        <v>20.5</v>
      </c>
      <c r="R6884" t="s">
        <v>1028</v>
      </c>
      <c r="S6884" t="s">
        <v>102</v>
      </c>
      <c r="AB6884" t="s">
        <v>1136</v>
      </c>
      <c r="AC6884" t="s">
        <v>87</v>
      </c>
    </row>
    <row r="6885" spans="1:30" x14ac:dyDescent="0.35">
      <c r="A6885" s="7">
        <v>43278</v>
      </c>
      <c r="B6885" t="s">
        <v>30</v>
      </c>
      <c r="C6885">
        <v>111</v>
      </c>
      <c r="D6885">
        <v>5</v>
      </c>
      <c r="E6885">
        <v>1</v>
      </c>
      <c r="F6885" t="s">
        <v>1139</v>
      </c>
      <c r="G6885" t="s">
        <v>32</v>
      </c>
      <c r="H6885" t="s">
        <v>33</v>
      </c>
      <c r="I6885" t="s">
        <v>43</v>
      </c>
      <c r="J6885" t="s">
        <v>44</v>
      </c>
      <c r="K6885" t="s">
        <v>88</v>
      </c>
      <c r="L6885" t="s">
        <v>45</v>
      </c>
      <c r="M6885">
        <v>0</v>
      </c>
      <c r="N6885">
        <v>0</v>
      </c>
      <c r="O6885">
        <v>1063</v>
      </c>
      <c r="P6885">
        <v>1062</v>
      </c>
      <c r="Q6885">
        <f>26-15</f>
        <v>11</v>
      </c>
      <c r="R6885" t="s">
        <v>46</v>
      </c>
      <c r="S6885" t="s">
        <v>39</v>
      </c>
      <c r="AB6885" t="s">
        <v>1136</v>
      </c>
      <c r="AC6885" t="s">
        <v>87</v>
      </c>
      <c r="AD6885" t="s">
        <v>1177</v>
      </c>
    </row>
    <row r="6886" spans="1:30" x14ac:dyDescent="0.35">
      <c r="A6886" s="7">
        <v>43278</v>
      </c>
      <c r="B6886" t="s">
        <v>30</v>
      </c>
      <c r="C6886">
        <v>111</v>
      </c>
      <c r="D6886">
        <v>8</v>
      </c>
      <c r="E6886">
        <v>1</v>
      </c>
      <c r="F6886" t="s">
        <v>1139</v>
      </c>
      <c r="G6886" t="s">
        <v>32</v>
      </c>
      <c r="H6886" t="s">
        <v>33</v>
      </c>
      <c r="I6886" t="s">
        <v>43</v>
      </c>
      <c r="J6886" t="s">
        <v>44</v>
      </c>
      <c r="K6886" t="s">
        <v>36</v>
      </c>
      <c r="L6886" t="s">
        <v>45</v>
      </c>
      <c r="M6886">
        <v>0</v>
      </c>
      <c r="N6886">
        <v>0</v>
      </c>
      <c r="O6886">
        <v>2406</v>
      </c>
      <c r="P6886">
        <v>2405</v>
      </c>
      <c r="Q6886">
        <f>34-14</f>
        <v>20</v>
      </c>
      <c r="R6886" t="s">
        <v>1021</v>
      </c>
      <c r="S6886" t="s">
        <v>102</v>
      </c>
      <c r="AB6886" t="s">
        <v>1136</v>
      </c>
      <c r="AC6886" t="s">
        <v>87</v>
      </c>
    </row>
    <row r="6887" spans="1:30" x14ac:dyDescent="0.35">
      <c r="A6887" s="7">
        <v>43278</v>
      </c>
      <c r="B6887" t="s">
        <v>30</v>
      </c>
      <c r="C6887">
        <v>112</v>
      </c>
      <c r="D6887">
        <v>4</v>
      </c>
      <c r="E6887">
        <v>2</v>
      </c>
      <c r="F6887" t="s">
        <v>1139</v>
      </c>
      <c r="G6887" t="s">
        <v>32</v>
      </c>
      <c r="H6887" t="s">
        <v>33</v>
      </c>
      <c r="I6887" t="s">
        <v>43</v>
      </c>
      <c r="J6887" t="s">
        <v>44</v>
      </c>
      <c r="K6887" t="s">
        <v>36</v>
      </c>
      <c r="L6887" t="s">
        <v>45</v>
      </c>
      <c r="M6887">
        <v>0</v>
      </c>
      <c r="N6887">
        <v>0</v>
      </c>
      <c r="O6887">
        <v>2415</v>
      </c>
      <c r="P6887">
        <v>2414</v>
      </c>
      <c r="Q6887">
        <f>35-13</f>
        <v>22</v>
      </c>
      <c r="R6887" t="s">
        <v>1021</v>
      </c>
      <c r="S6887" t="s">
        <v>102</v>
      </c>
      <c r="AB6887" t="s">
        <v>1136</v>
      </c>
      <c r="AC6887" t="s">
        <v>87</v>
      </c>
    </row>
    <row r="6888" spans="1:30" x14ac:dyDescent="0.35">
      <c r="A6888" s="7">
        <v>43278</v>
      </c>
      <c r="B6888" t="s">
        <v>30</v>
      </c>
      <c r="C6888">
        <v>112</v>
      </c>
      <c r="D6888">
        <v>5</v>
      </c>
      <c r="E6888">
        <v>1</v>
      </c>
      <c r="F6888" t="s">
        <v>1139</v>
      </c>
      <c r="G6888" t="s">
        <v>32</v>
      </c>
      <c r="H6888" t="s">
        <v>33</v>
      </c>
      <c r="I6888" t="s">
        <v>43</v>
      </c>
      <c r="J6888" t="s">
        <v>35</v>
      </c>
      <c r="K6888" t="s">
        <v>88</v>
      </c>
      <c r="L6888" t="s">
        <v>37</v>
      </c>
      <c r="M6888">
        <v>0</v>
      </c>
      <c r="N6888">
        <v>1</v>
      </c>
      <c r="O6888">
        <v>1121</v>
      </c>
      <c r="P6888">
        <v>1120</v>
      </c>
      <c r="Q6888">
        <f>27-13</f>
        <v>14</v>
      </c>
      <c r="R6888" t="s">
        <v>64</v>
      </c>
      <c r="AB6888" t="s">
        <v>1136</v>
      </c>
      <c r="AC6888" t="s">
        <v>87</v>
      </c>
    </row>
    <row r="6889" spans="1:30" x14ac:dyDescent="0.35">
      <c r="A6889" s="7">
        <v>43278</v>
      </c>
      <c r="B6889" t="s">
        <v>30</v>
      </c>
      <c r="C6889">
        <v>112</v>
      </c>
      <c r="D6889">
        <v>6</v>
      </c>
      <c r="E6889">
        <v>1</v>
      </c>
      <c r="F6889" t="s">
        <v>1139</v>
      </c>
      <c r="G6889" t="s">
        <v>32</v>
      </c>
      <c r="H6889" t="s">
        <v>33</v>
      </c>
      <c r="I6889" t="s">
        <v>43</v>
      </c>
      <c r="J6889" t="s">
        <v>44</v>
      </c>
      <c r="K6889" t="s">
        <v>36</v>
      </c>
      <c r="L6889" t="s">
        <v>45</v>
      </c>
      <c r="M6889">
        <v>0</v>
      </c>
      <c r="N6889">
        <v>0</v>
      </c>
      <c r="O6889">
        <v>1061</v>
      </c>
      <c r="P6889">
        <v>1060</v>
      </c>
      <c r="Q6889">
        <f>38-14.5</f>
        <v>23.5</v>
      </c>
      <c r="R6889" t="s">
        <v>1021</v>
      </c>
      <c r="S6889" t="s">
        <v>102</v>
      </c>
      <c r="AB6889" t="s">
        <v>1136</v>
      </c>
      <c r="AC6889" t="s">
        <v>87</v>
      </c>
    </row>
    <row r="6890" spans="1:30" x14ac:dyDescent="0.35">
      <c r="A6890" s="7">
        <v>43278</v>
      </c>
      <c r="B6890" t="s">
        <v>30</v>
      </c>
      <c r="C6890">
        <v>113</v>
      </c>
      <c r="D6890">
        <v>2</v>
      </c>
      <c r="E6890">
        <v>1</v>
      </c>
      <c r="F6890" t="s">
        <v>1139</v>
      </c>
      <c r="G6890" t="s">
        <v>32</v>
      </c>
      <c r="H6890" t="s">
        <v>33</v>
      </c>
      <c r="I6890" t="s">
        <v>43</v>
      </c>
      <c r="J6890" t="s">
        <v>35</v>
      </c>
      <c r="K6890" t="s">
        <v>88</v>
      </c>
      <c r="L6890" t="s">
        <v>37</v>
      </c>
      <c r="M6890">
        <v>0</v>
      </c>
      <c r="N6890">
        <v>1</v>
      </c>
      <c r="O6890">
        <v>1103</v>
      </c>
      <c r="P6890">
        <v>1102</v>
      </c>
      <c r="Q6890">
        <f>26-13</f>
        <v>13</v>
      </c>
      <c r="R6890" t="s">
        <v>64</v>
      </c>
      <c r="AB6890" t="s">
        <v>1136</v>
      </c>
      <c r="AC6890" t="s">
        <v>87</v>
      </c>
    </row>
    <row r="6891" spans="1:30" x14ac:dyDescent="0.35">
      <c r="A6891" s="7">
        <v>43278</v>
      </c>
      <c r="B6891" t="s">
        <v>30</v>
      </c>
      <c r="C6891">
        <v>201</v>
      </c>
      <c r="D6891">
        <v>7</v>
      </c>
      <c r="E6891">
        <v>1</v>
      </c>
      <c r="F6891" t="s">
        <v>1170</v>
      </c>
      <c r="G6891" t="s">
        <v>32</v>
      </c>
      <c r="H6891" t="s">
        <v>33</v>
      </c>
      <c r="I6891" t="s">
        <v>43</v>
      </c>
      <c r="J6891" t="s">
        <v>44</v>
      </c>
      <c r="K6891" t="s">
        <v>36</v>
      </c>
      <c r="L6891" t="s">
        <v>45</v>
      </c>
      <c r="M6891">
        <v>0</v>
      </c>
      <c r="N6891">
        <v>0</v>
      </c>
      <c r="O6891">
        <v>9817</v>
      </c>
      <c r="P6891">
        <v>9816</v>
      </c>
      <c r="Q6891">
        <f>42-18</f>
        <v>24</v>
      </c>
      <c r="R6891" t="s">
        <v>1021</v>
      </c>
      <c r="S6891" t="s">
        <v>102</v>
      </c>
      <c r="AB6891" t="s">
        <v>1136</v>
      </c>
      <c r="AC6891" t="s">
        <v>87</v>
      </c>
    </row>
    <row r="6892" spans="1:30" x14ac:dyDescent="0.35">
      <c r="A6892" s="7">
        <v>43278</v>
      </c>
      <c r="B6892" t="s">
        <v>30</v>
      </c>
      <c r="C6892">
        <v>202</v>
      </c>
      <c r="D6892">
        <v>2</v>
      </c>
      <c r="E6892">
        <v>1</v>
      </c>
      <c r="F6892" t="s">
        <v>1170</v>
      </c>
      <c r="G6892" t="s">
        <v>32</v>
      </c>
      <c r="H6892" t="s">
        <v>33</v>
      </c>
      <c r="I6892" t="s">
        <v>43</v>
      </c>
      <c r="J6892" t="s">
        <v>44</v>
      </c>
      <c r="K6892" t="s">
        <v>36</v>
      </c>
      <c r="L6892" t="s">
        <v>45</v>
      </c>
      <c r="M6892">
        <v>0</v>
      </c>
      <c r="N6892">
        <v>0</v>
      </c>
      <c r="O6892">
        <v>39809</v>
      </c>
      <c r="P6892">
        <v>39808</v>
      </c>
      <c r="Q6892">
        <f>32-17</f>
        <v>15</v>
      </c>
      <c r="R6892" t="s">
        <v>77</v>
      </c>
      <c r="S6892" t="s">
        <v>39</v>
      </c>
      <c r="AB6892" t="s">
        <v>1136</v>
      </c>
      <c r="AC6892" t="s">
        <v>87</v>
      </c>
    </row>
    <row r="6893" spans="1:30" x14ac:dyDescent="0.35">
      <c r="A6893" s="7">
        <v>43278</v>
      </c>
      <c r="B6893" t="s">
        <v>30</v>
      </c>
      <c r="C6893">
        <v>202</v>
      </c>
      <c r="D6893">
        <v>4</v>
      </c>
      <c r="E6893">
        <v>1</v>
      </c>
      <c r="F6893" t="s">
        <v>1170</v>
      </c>
      <c r="G6893" t="s">
        <v>32</v>
      </c>
      <c r="H6893" t="s">
        <v>33</v>
      </c>
      <c r="I6893" t="s">
        <v>43</v>
      </c>
      <c r="J6893" t="s">
        <v>44</v>
      </c>
      <c r="K6893" t="s">
        <v>36</v>
      </c>
      <c r="L6893" t="s">
        <v>45</v>
      </c>
      <c r="M6893">
        <v>0</v>
      </c>
      <c r="N6893">
        <v>0</v>
      </c>
      <c r="O6893">
        <v>1155</v>
      </c>
      <c r="P6893">
        <v>1154</v>
      </c>
      <c r="Q6893">
        <f>36-15</f>
        <v>21</v>
      </c>
      <c r="R6893" t="s">
        <v>1021</v>
      </c>
      <c r="S6893" t="s">
        <v>102</v>
      </c>
      <c r="AB6893" t="s">
        <v>1136</v>
      </c>
      <c r="AC6893" t="s">
        <v>87</v>
      </c>
      <c r="AD6893" t="s">
        <v>1178</v>
      </c>
    </row>
    <row r="6894" spans="1:30" x14ac:dyDescent="0.35">
      <c r="A6894" s="7">
        <v>43278</v>
      </c>
      <c r="B6894" t="s">
        <v>30</v>
      </c>
      <c r="C6894">
        <v>202</v>
      </c>
      <c r="D6894">
        <v>5</v>
      </c>
      <c r="E6894">
        <v>1</v>
      </c>
      <c r="F6894" t="s">
        <v>1170</v>
      </c>
      <c r="G6894" t="s">
        <v>32</v>
      </c>
      <c r="H6894" t="s">
        <v>33</v>
      </c>
      <c r="I6894" t="s">
        <v>43</v>
      </c>
      <c r="J6894" t="s">
        <v>44</v>
      </c>
      <c r="K6894" t="s">
        <v>113</v>
      </c>
      <c r="L6894" t="s">
        <v>37</v>
      </c>
      <c r="M6894">
        <v>0</v>
      </c>
      <c r="N6894">
        <v>0</v>
      </c>
      <c r="O6894">
        <v>1134</v>
      </c>
      <c r="P6894">
        <v>1133</v>
      </c>
      <c r="Q6894">
        <f>26-15</f>
        <v>11</v>
      </c>
      <c r="R6894" t="s">
        <v>64</v>
      </c>
      <c r="AB6894" t="s">
        <v>1136</v>
      </c>
      <c r="AC6894" t="s">
        <v>87</v>
      </c>
      <c r="AD6894" t="s">
        <v>1179</v>
      </c>
    </row>
    <row r="6895" spans="1:30" x14ac:dyDescent="0.35">
      <c r="A6895" s="7">
        <v>43278</v>
      </c>
      <c r="B6895" t="s">
        <v>30</v>
      </c>
      <c r="C6895">
        <v>202</v>
      </c>
      <c r="D6895">
        <v>7</v>
      </c>
      <c r="E6895">
        <v>1</v>
      </c>
      <c r="F6895" t="s">
        <v>1170</v>
      </c>
      <c r="G6895" t="s">
        <v>32</v>
      </c>
      <c r="H6895" t="s">
        <v>33</v>
      </c>
      <c r="I6895" t="s">
        <v>43</v>
      </c>
      <c r="J6895" t="s">
        <v>66</v>
      </c>
      <c r="O6895">
        <v>1152</v>
      </c>
      <c r="P6895">
        <v>1151</v>
      </c>
      <c r="AB6895" t="s">
        <v>1136</v>
      </c>
      <c r="AC6895" t="s">
        <v>87</v>
      </c>
    </row>
    <row r="6896" spans="1:30" x14ac:dyDescent="0.35">
      <c r="A6896" s="7">
        <v>43278</v>
      </c>
      <c r="B6896" t="s">
        <v>30</v>
      </c>
      <c r="C6896">
        <v>203</v>
      </c>
      <c r="D6896">
        <v>3</v>
      </c>
      <c r="E6896">
        <v>1</v>
      </c>
      <c r="F6896" t="s">
        <v>1170</v>
      </c>
      <c r="G6896" t="s">
        <v>32</v>
      </c>
      <c r="H6896" t="s">
        <v>33</v>
      </c>
      <c r="I6896" t="s">
        <v>43</v>
      </c>
      <c r="J6896" t="s">
        <v>44</v>
      </c>
      <c r="K6896" t="s">
        <v>113</v>
      </c>
      <c r="L6896" t="s">
        <v>37</v>
      </c>
      <c r="M6896">
        <v>0</v>
      </c>
      <c r="N6896">
        <v>0</v>
      </c>
      <c r="Q6896">
        <f>42-18</f>
        <v>24</v>
      </c>
      <c r="R6896" t="s">
        <v>38</v>
      </c>
      <c r="AB6896" t="s">
        <v>1136</v>
      </c>
      <c r="AC6896" t="s">
        <v>87</v>
      </c>
    </row>
    <row r="6897" spans="1:29" x14ac:dyDescent="0.35">
      <c r="A6897" s="7">
        <v>43278</v>
      </c>
      <c r="B6897" t="s">
        <v>30</v>
      </c>
      <c r="C6897">
        <v>111</v>
      </c>
      <c r="D6897">
        <v>3</v>
      </c>
      <c r="E6897">
        <v>2</v>
      </c>
      <c r="F6897" t="s">
        <v>1139</v>
      </c>
      <c r="G6897" t="s">
        <v>32</v>
      </c>
      <c r="H6897" t="s">
        <v>33</v>
      </c>
      <c r="I6897" t="s">
        <v>34</v>
      </c>
      <c r="J6897" t="s">
        <v>35</v>
      </c>
      <c r="K6897" t="s">
        <v>36</v>
      </c>
      <c r="L6897" t="s">
        <v>45</v>
      </c>
      <c r="M6897">
        <v>0</v>
      </c>
      <c r="N6897">
        <v>1</v>
      </c>
      <c r="O6897">
        <v>1122</v>
      </c>
      <c r="R6897" t="s">
        <v>46</v>
      </c>
      <c r="S6897" t="s">
        <v>39</v>
      </c>
      <c r="AB6897" t="s">
        <v>1136</v>
      </c>
      <c r="AC6897" t="s">
        <v>87</v>
      </c>
    </row>
    <row r="6898" spans="1:29" x14ac:dyDescent="0.35">
      <c r="A6898" s="7">
        <v>43278</v>
      </c>
      <c r="B6898" t="s">
        <v>30</v>
      </c>
      <c r="C6898">
        <v>112</v>
      </c>
      <c r="D6898">
        <v>10</v>
      </c>
      <c r="E6898">
        <v>1</v>
      </c>
      <c r="F6898" t="s">
        <v>1139</v>
      </c>
      <c r="G6898" t="s">
        <v>32</v>
      </c>
      <c r="H6898" t="s">
        <v>33</v>
      </c>
      <c r="I6898" t="s">
        <v>34</v>
      </c>
      <c r="J6898" t="s">
        <v>35</v>
      </c>
      <c r="K6898" t="s">
        <v>36</v>
      </c>
      <c r="L6898" t="s">
        <v>45</v>
      </c>
      <c r="M6898">
        <v>0</v>
      </c>
      <c r="N6898">
        <v>1</v>
      </c>
      <c r="O6898">
        <v>1119</v>
      </c>
      <c r="Q6898">
        <f>150-80</f>
        <v>70</v>
      </c>
      <c r="R6898" t="s">
        <v>46</v>
      </c>
      <c r="S6898" t="s">
        <v>39</v>
      </c>
      <c r="AB6898" t="s">
        <v>1136</v>
      </c>
      <c r="AC6898" t="s">
        <v>87</v>
      </c>
    </row>
    <row r="6899" spans="1:29" x14ac:dyDescent="0.35">
      <c r="A6899" s="7">
        <v>43278</v>
      </c>
      <c r="B6899" t="s">
        <v>30</v>
      </c>
      <c r="C6899">
        <v>113</v>
      </c>
      <c r="D6899">
        <v>3</v>
      </c>
      <c r="E6899">
        <v>1</v>
      </c>
      <c r="F6899" t="s">
        <v>1139</v>
      </c>
      <c r="G6899" t="s">
        <v>32</v>
      </c>
      <c r="H6899" t="s">
        <v>33</v>
      </c>
      <c r="I6899" t="s">
        <v>34</v>
      </c>
      <c r="J6899" t="s">
        <v>35</v>
      </c>
      <c r="K6899" t="s">
        <v>36</v>
      </c>
      <c r="L6899" t="s">
        <v>45</v>
      </c>
      <c r="M6899">
        <v>0</v>
      </c>
      <c r="N6899">
        <v>1</v>
      </c>
      <c r="O6899">
        <v>1118</v>
      </c>
      <c r="Q6899">
        <f>170-80</f>
        <v>90</v>
      </c>
      <c r="R6899" t="s">
        <v>46</v>
      </c>
      <c r="S6899" t="s">
        <v>39</v>
      </c>
      <c r="AB6899" t="s">
        <v>1136</v>
      </c>
      <c r="AC6899" t="s">
        <v>87</v>
      </c>
    </row>
    <row r="6900" spans="1:29" x14ac:dyDescent="0.35">
      <c r="A6900" s="7">
        <v>43278</v>
      </c>
      <c r="B6900" t="s">
        <v>30</v>
      </c>
      <c r="C6900">
        <v>113</v>
      </c>
      <c r="D6900">
        <v>5</v>
      </c>
      <c r="E6900">
        <v>1</v>
      </c>
      <c r="F6900" t="s">
        <v>1139</v>
      </c>
      <c r="G6900" t="s">
        <v>32</v>
      </c>
      <c r="H6900" t="s">
        <v>33</v>
      </c>
      <c r="I6900" t="s">
        <v>34</v>
      </c>
      <c r="K6900" t="s">
        <v>36</v>
      </c>
      <c r="L6900" t="s">
        <v>45</v>
      </c>
      <c r="M6900">
        <v>0</v>
      </c>
      <c r="N6900">
        <v>1</v>
      </c>
      <c r="O6900">
        <v>1117</v>
      </c>
      <c r="Q6900">
        <f>160-80</f>
        <v>80</v>
      </c>
      <c r="R6900" t="s">
        <v>79</v>
      </c>
      <c r="S6900" t="s">
        <v>39</v>
      </c>
      <c r="AB6900" t="s">
        <v>1136</v>
      </c>
      <c r="AC6900" t="s">
        <v>87</v>
      </c>
    </row>
    <row r="6901" spans="1:29" x14ac:dyDescent="0.35">
      <c r="A6901" s="7">
        <v>43278</v>
      </c>
      <c r="B6901" t="s">
        <v>30</v>
      </c>
      <c r="C6901">
        <v>113</v>
      </c>
      <c r="D6901">
        <v>9</v>
      </c>
      <c r="E6901">
        <v>1</v>
      </c>
      <c r="F6901" t="s">
        <v>1139</v>
      </c>
      <c r="G6901" t="s">
        <v>32</v>
      </c>
      <c r="H6901" t="s">
        <v>33</v>
      </c>
      <c r="I6901" t="s">
        <v>34</v>
      </c>
      <c r="J6901" t="s">
        <v>44</v>
      </c>
      <c r="K6901" t="s">
        <v>36</v>
      </c>
      <c r="L6901" t="s">
        <v>37</v>
      </c>
      <c r="M6901">
        <v>0</v>
      </c>
      <c r="N6901">
        <v>0</v>
      </c>
      <c r="O6901">
        <v>1052</v>
      </c>
      <c r="Q6901">
        <f>160-80</f>
        <v>80</v>
      </c>
      <c r="R6901" t="s">
        <v>64</v>
      </c>
      <c r="AB6901" t="s">
        <v>1136</v>
      </c>
      <c r="AC6901" t="s">
        <v>87</v>
      </c>
    </row>
    <row r="6902" spans="1:29" x14ac:dyDescent="0.35">
      <c r="A6902" s="7">
        <v>43278</v>
      </c>
      <c r="B6902" t="s">
        <v>30</v>
      </c>
      <c r="C6902">
        <v>202</v>
      </c>
      <c r="D6902">
        <v>8</v>
      </c>
      <c r="E6902">
        <v>1</v>
      </c>
      <c r="F6902" t="s">
        <v>1170</v>
      </c>
      <c r="G6902" t="s">
        <v>32</v>
      </c>
      <c r="H6902" t="s">
        <v>33</v>
      </c>
      <c r="I6902" t="s">
        <v>34</v>
      </c>
      <c r="J6902" t="s">
        <v>44</v>
      </c>
      <c r="K6902" t="s">
        <v>36</v>
      </c>
      <c r="L6902" t="s">
        <v>37</v>
      </c>
      <c r="M6902">
        <v>0</v>
      </c>
      <c r="N6902">
        <v>0</v>
      </c>
      <c r="O6902">
        <v>1130</v>
      </c>
      <c r="Q6902">
        <f>115-20</f>
        <v>95</v>
      </c>
      <c r="R6902" t="s">
        <v>38</v>
      </c>
      <c r="AB6902" t="s">
        <v>1136</v>
      </c>
      <c r="AC6902" t="s">
        <v>87</v>
      </c>
    </row>
    <row r="6903" spans="1:29" x14ac:dyDescent="0.35">
      <c r="A6903" s="7">
        <v>43278</v>
      </c>
      <c r="B6903" t="s">
        <v>30</v>
      </c>
      <c r="C6903">
        <v>402</v>
      </c>
      <c r="D6903">
        <v>4</v>
      </c>
      <c r="E6903">
        <v>2</v>
      </c>
      <c r="F6903" t="s">
        <v>1139</v>
      </c>
      <c r="G6903" t="s">
        <v>32</v>
      </c>
      <c r="H6903" t="s">
        <v>33</v>
      </c>
      <c r="I6903" t="s">
        <v>34</v>
      </c>
      <c r="J6903" t="s">
        <v>92</v>
      </c>
      <c r="AB6903" t="s">
        <v>1136</v>
      </c>
      <c r="AC6903" t="s">
        <v>87</v>
      </c>
    </row>
    <row r="6904" spans="1:29" x14ac:dyDescent="0.35">
      <c r="A6904" s="7">
        <v>43278</v>
      </c>
      <c r="B6904" t="s">
        <v>30</v>
      </c>
      <c r="C6904">
        <v>111</v>
      </c>
      <c r="D6904">
        <v>9</v>
      </c>
      <c r="E6904">
        <v>1</v>
      </c>
      <c r="F6904" t="s">
        <v>1139</v>
      </c>
      <c r="G6904" t="s">
        <v>32</v>
      </c>
      <c r="H6904" t="s">
        <v>33</v>
      </c>
      <c r="I6904" t="s">
        <v>72</v>
      </c>
      <c r="J6904" t="s">
        <v>56</v>
      </c>
      <c r="AB6904" t="s">
        <v>1136</v>
      </c>
      <c r="AC6904" t="s">
        <v>87</v>
      </c>
    </row>
    <row r="6905" spans="1:29" x14ac:dyDescent="0.35">
      <c r="A6905" s="7">
        <v>43278</v>
      </c>
      <c r="B6905" t="s">
        <v>30</v>
      </c>
      <c r="C6905">
        <v>111</v>
      </c>
      <c r="D6905">
        <v>9</v>
      </c>
      <c r="E6905">
        <v>2</v>
      </c>
      <c r="F6905" t="s">
        <v>1139</v>
      </c>
      <c r="G6905" t="s">
        <v>32</v>
      </c>
      <c r="H6905" t="s">
        <v>33</v>
      </c>
      <c r="I6905" t="s">
        <v>72</v>
      </c>
      <c r="J6905" t="s">
        <v>56</v>
      </c>
      <c r="AB6905" t="s">
        <v>1136</v>
      </c>
      <c r="AC6905" t="s">
        <v>87</v>
      </c>
    </row>
    <row r="6906" spans="1:29" x14ac:dyDescent="0.35">
      <c r="A6906" s="7">
        <v>43278</v>
      </c>
      <c r="B6906" t="s">
        <v>30</v>
      </c>
      <c r="C6906">
        <v>111</v>
      </c>
      <c r="D6906">
        <v>10</v>
      </c>
      <c r="E6906">
        <v>1</v>
      </c>
      <c r="F6906" t="s">
        <v>1139</v>
      </c>
      <c r="G6906" t="s">
        <v>32</v>
      </c>
      <c r="H6906" t="s">
        <v>33</v>
      </c>
      <c r="I6906" t="s">
        <v>72</v>
      </c>
      <c r="J6906" t="s">
        <v>56</v>
      </c>
      <c r="AB6906" t="s">
        <v>1136</v>
      </c>
      <c r="AC6906" t="s">
        <v>87</v>
      </c>
    </row>
    <row r="6907" spans="1:29" x14ac:dyDescent="0.35">
      <c r="A6907" s="7">
        <v>43278</v>
      </c>
      <c r="B6907" t="s">
        <v>30</v>
      </c>
      <c r="C6907">
        <v>112</v>
      </c>
      <c r="D6907">
        <v>4</v>
      </c>
      <c r="E6907">
        <v>1</v>
      </c>
      <c r="F6907" t="s">
        <v>1139</v>
      </c>
      <c r="G6907" t="s">
        <v>32</v>
      </c>
      <c r="H6907" t="s">
        <v>33</v>
      </c>
      <c r="I6907" t="s">
        <v>72</v>
      </c>
      <c r="J6907" t="s">
        <v>56</v>
      </c>
      <c r="AB6907" t="s">
        <v>1136</v>
      </c>
      <c r="AC6907" t="s">
        <v>87</v>
      </c>
    </row>
    <row r="6908" spans="1:29" x14ac:dyDescent="0.35">
      <c r="A6908" s="7">
        <v>43278</v>
      </c>
      <c r="B6908" t="s">
        <v>30</v>
      </c>
      <c r="C6908">
        <v>113</v>
      </c>
      <c r="D6908">
        <v>10</v>
      </c>
      <c r="E6908">
        <v>1</v>
      </c>
      <c r="F6908" t="s">
        <v>1139</v>
      </c>
      <c r="G6908" t="s">
        <v>32</v>
      </c>
      <c r="H6908" t="s">
        <v>33</v>
      </c>
      <c r="I6908" t="s">
        <v>72</v>
      </c>
      <c r="J6908" t="s">
        <v>56</v>
      </c>
      <c r="AB6908" t="s">
        <v>1136</v>
      </c>
      <c r="AC6908" t="s">
        <v>87</v>
      </c>
    </row>
    <row r="6909" spans="1:29" x14ac:dyDescent="0.35">
      <c r="A6909" s="7">
        <v>43278</v>
      </c>
      <c r="B6909" t="s">
        <v>30</v>
      </c>
      <c r="C6909">
        <v>201</v>
      </c>
      <c r="D6909">
        <v>10</v>
      </c>
      <c r="E6909">
        <v>1</v>
      </c>
      <c r="F6909" t="s">
        <v>1170</v>
      </c>
      <c r="G6909" t="s">
        <v>32</v>
      </c>
      <c r="H6909" t="s">
        <v>33</v>
      </c>
      <c r="I6909" t="s">
        <v>72</v>
      </c>
      <c r="J6909" t="s">
        <v>66</v>
      </c>
      <c r="AB6909" t="s">
        <v>1136</v>
      </c>
      <c r="AC6909" t="s">
        <v>87</v>
      </c>
    </row>
    <row r="6910" spans="1:29" x14ac:dyDescent="0.35">
      <c r="A6910" s="7">
        <v>43278</v>
      </c>
      <c r="B6910" t="s">
        <v>30</v>
      </c>
      <c r="C6910">
        <v>203</v>
      </c>
      <c r="D6910">
        <v>1</v>
      </c>
      <c r="E6910">
        <v>1</v>
      </c>
      <c r="F6910" t="s">
        <v>1170</v>
      </c>
      <c r="G6910" t="s">
        <v>32</v>
      </c>
      <c r="H6910" t="s">
        <v>33</v>
      </c>
      <c r="I6910" t="s">
        <v>72</v>
      </c>
      <c r="J6910" t="s">
        <v>56</v>
      </c>
      <c r="AB6910" t="s">
        <v>1136</v>
      </c>
      <c r="AC6910" t="s">
        <v>87</v>
      </c>
    </row>
    <row r="6911" spans="1:29" x14ac:dyDescent="0.35">
      <c r="A6911" s="7">
        <v>43278</v>
      </c>
      <c r="B6911" t="s">
        <v>30</v>
      </c>
      <c r="C6911">
        <v>203</v>
      </c>
      <c r="D6911">
        <v>6</v>
      </c>
      <c r="E6911">
        <v>1</v>
      </c>
      <c r="F6911" t="s">
        <v>1170</v>
      </c>
      <c r="G6911" t="s">
        <v>32</v>
      </c>
      <c r="H6911" t="s">
        <v>33</v>
      </c>
      <c r="I6911" t="s">
        <v>72</v>
      </c>
      <c r="J6911" t="s">
        <v>56</v>
      </c>
      <c r="AB6911" t="s">
        <v>1136</v>
      </c>
      <c r="AC6911" t="s">
        <v>87</v>
      </c>
    </row>
    <row r="6912" spans="1:29" x14ac:dyDescent="0.35">
      <c r="A6912" s="7">
        <v>43278</v>
      </c>
      <c r="B6912" t="s">
        <v>30</v>
      </c>
      <c r="C6912">
        <v>203</v>
      </c>
      <c r="D6912">
        <v>7</v>
      </c>
      <c r="E6912">
        <v>1</v>
      </c>
      <c r="F6912" t="s">
        <v>1170</v>
      </c>
      <c r="G6912" t="s">
        <v>32</v>
      </c>
      <c r="H6912" t="s">
        <v>33</v>
      </c>
      <c r="I6912" t="s">
        <v>72</v>
      </c>
      <c r="J6912" t="s">
        <v>56</v>
      </c>
      <c r="AB6912" t="s">
        <v>1136</v>
      </c>
      <c r="AC6912" t="s">
        <v>87</v>
      </c>
    </row>
    <row r="6913" spans="1:29" x14ac:dyDescent="0.35">
      <c r="A6913" s="7">
        <v>43278</v>
      </c>
      <c r="B6913" t="s">
        <v>30</v>
      </c>
      <c r="C6913">
        <v>304</v>
      </c>
      <c r="D6913">
        <v>9</v>
      </c>
      <c r="E6913">
        <v>1</v>
      </c>
      <c r="F6913" t="s">
        <v>1170</v>
      </c>
      <c r="G6913" t="s">
        <v>32</v>
      </c>
      <c r="H6913" t="s">
        <v>33</v>
      </c>
      <c r="I6913" t="s">
        <v>72</v>
      </c>
      <c r="J6913" t="s">
        <v>56</v>
      </c>
      <c r="AB6913" t="s">
        <v>1136</v>
      </c>
      <c r="AC6913" t="s">
        <v>87</v>
      </c>
    </row>
    <row r="6914" spans="1:29" x14ac:dyDescent="0.35">
      <c r="A6914" s="7">
        <v>43278</v>
      </c>
      <c r="B6914" t="s">
        <v>30</v>
      </c>
      <c r="C6914">
        <v>402</v>
      </c>
      <c r="D6914">
        <v>1</v>
      </c>
      <c r="E6914">
        <v>1</v>
      </c>
      <c r="F6914" t="s">
        <v>1139</v>
      </c>
      <c r="G6914" t="s">
        <v>32</v>
      </c>
      <c r="H6914" t="s">
        <v>33</v>
      </c>
      <c r="I6914" t="s">
        <v>84</v>
      </c>
      <c r="AB6914" t="s">
        <v>1136</v>
      </c>
      <c r="AC6914" t="s">
        <v>87</v>
      </c>
    </row>
    <row r="6915" spans="1:29" x14ac:dyDescent="0.35">
      <c r="A6915" s="7">
        <v>43278</v>
      </c>
      <c r="B6915" t="s">
        <v>30</v>
      </c>
      <c r="C6915">
        <v>402</v>
      </c>
      <c r="D6915">
        <v>1</v>
      </c>
      <c r="E6915">
        <v>2</v>
      </c>
      <c r="F6915" t="s">
        <v>1139</v>
      </c>
      <c r="G6915" t="s">
        <v>32</v>
      </c>
      <c r="H6915" t="s">
        <v>33</v>
      </c>
      <c r="I6915" t="s">
        <v>84</v>
      </c>
      <c r="AB6915" t="s">
        <v>1136</v>
      </c>
      <c r="AC6915" t="s">
        <v>87</v>
      </c>
    </row>
    <row r="6916" spans="1:29" x14ac:dyDescent="0.35">
      <c r="A6916" s="7">
        <v>43278</v>
      </c>
      <c r="B6916" t="s">
        <v>30</v>
      </c>
      <c r="C6916">
        <v>402</v>
      </c>
      <c r="D6916">
        <v>2</v>
      </c>
      <c r="E6916">
        <v>1</v>
      </c>
      <c r="F6916" t="s">
        <v>1139</v>
      </c>
      <c r="G6916" t="s">
        <v>32</v>
      </c>
      <c r="H6916" t="s">
        <v>33</v>
      </c>
      <c r="I6916" t="s">
        <v>84</v>
      </c>
      <c r="AB6916" t="s">
        <v>1136</v>
      </c>
      <c r="AC6916" t="s">
        <v>87</v>
      </c>
    </row>
    <row r="6917" spans="1:29" x14ac:dyDescent="0.35">
      <c r="A6917" s="7">
        <v>43278</v>
      </c>
      <c r="B6917" t="s">
        <v>30</v>
      </c>
      <c r="C6917">
        <v>402</v>
      </c>
      <c r="D6917">
        <v>2</v>
      </c>
      <c r="E6917">
        <v>2</v>
      </c>
      <c r="F6917" t="s">
        <v>1139</v>
      </c>
      <c r="G6917" t="s">
        <v>32</v>
      </c>
      <c r="H6917" t="s">
        <v>33</v>
      </c>
      <c r="I6917" t="s">
        <v>84</v>
      </c>
      <c r="AB6917" t="s">
        <v>1136</v>
      </c>
      <c r="AC6917" t="s">
        <v>87</v>
      </c>
    </row>
    <row r="6918" spans="1:29" x14ac:dyDescent="0.35">
      <c r="A6918" s="7">
        <v>43278</v>
      </c>
      <c r="B6918" t="s">
        <v>30</v>
      </c>
      <c r="C6918">
        <v>402</v>
      </c>
      <c r="D6918">
        <v>3</v>
      </c>
      <c r="E6918">
        <v>1</v>
      </c>
      <c r="F6918" t="s">
        <v>1139</v>
      </c>
      <c r="G6918" t="s">
        <v>32</v>
      </c>
      <c r="H6918" t="s">
        <v>33</v>
      </c>
      <c r="I6918" t="s">
        <v>84</v>
      </c>
      <c r="AB6918" t="s">
        <v>1136</v>
      </c>
      <c r="AC6918" t="s">
        <v>87</v>
      </c>
    </row>
    <row r="6919" spans="1:29" x14ac:dyDescent="0.35">
      <c r="A6919" s="7">
        <v>43278</v>
      </c>
      <c r="B6919" t="s">
        <v>30</v>
      </c>
      <c r="C6919">
        <v>402</v>
      </c>
      <c r="D6919">
        <v>3</v>
      </c>
      <c r="E6919">
        <v>2</v>
      </c>
      <c r="F6919" t="s">
        <v>1139</v>
      </c>
      <c r="G6919" t="s">
        <v>32</v>
      </c>
      <c r="H6919" t="s">
        <v>33</v>
      </c>
      <c r="I6919" t="s">
        <v>84</v>
      </c>
      <c r="AB6919" t="s">
        <v>1136</v>
      </c>
      <c r="AC6919" t="s">
        <v>87</v>
      </c>
    </row>
    <row r="6920" spans="1:29" x14ac:dyDescent="0.35">
      <c r="A6920" s="7">
        <v>43278</v>
      </c>
      <c r="B6920" t="s">
        <v>30</v>
      </c>
      <c r="C6920">
        <v>402</v>
      </c>
      <c r="D6920">
        <v>4</v>
      </c>
      <c r="E6920">
        <v>1</v>
      </c>
      <c r="F6920" t="s">
        <v>1139</v>
      </c>
      <c r="G6920" t="s">
        <v>32</v>
      </c>
      <c r="H6920" t="s">
        <v>33</v>
      </c>
      <c r="I6920" t="s">
        <v>84</v>
      </c>
      <c r="AB6920" t="s">
        <v>1136</v>
      </c>
      <c r="AC6920" t="s">
        <v>87</v>
      </c>
    </row>
    <row r="6921" spans="1:29" x14ac:dyDescent="0.35">
      <c r="A6921" s="7">
        <v>43278</v>
      </c>
      <c r="B6921" t="s">
        <v>30</v>
      </c>
      <c r="C6921">
        <v>402</v>
      </c>
      <c r="D6921">
        <v>5</v>
      </c>
      <c r="E6921">
        <v>1</v>
      </c>
      <c r="F6921" t="s">
        <v>1139</v>
      </c>
      <c r="G6921" t="s">
        <v>32</v>
      </c>
      <c r="H6921" t="s">
        <v>33</v>
      </c>
      <c r="I6921" t="s">
        <v>84</v>
      </c>
      <c r="AB6921" t="s">
        <v>1136</v>
      </c>
      <c r="AC6921" t="s">
        <v>87</v>
      </c>
    </row>
    <row r="6922" spans="1:29" x14ac:dyDescent="0.35">
      <c r="A6922" s="7">
        <v>43278</v>
      </c>
      <c r="B6922" t="s">
        <v>30</v>
      </c>
      <c r="C6922">
        <v>402</v>
      </c>
      <c r="D6922">
        <v>5</v>
      </c>
      <c r="E6922">
        <v>2</v>
      </c>
      <c r="F6922" t="s">
        <v>1139</v>
      </c>
      <c r="G6922" t="s">
        <v>32</v>
      </c>
      <c r="H6922" t="s">
        <v>33</v>
      </c>
      <c r="I6922" t="s">
        <v>84</v>
      </c>
      <c r="AB6922" t="s">
        <v>1136</v>
      </c>
      <c r="AC6922" t="s">
        <v>87</v>
      </c>
    </row>
    <row r="6923" spans="1:29" x14ac:dyDescent="0.35">
      <c r="A6923" s="7">
        <v>43278</v>
      </c>
      <c r="B6923" t="s">
        <v>30</v>
      </c>
      <c r="C6923">
        <v>402</v>
      </c>
      <c r="D6923">
        <v>6</v>
      </c>
      <c r="E6923">
        <v>1</v>
      </c>
      <c r="F6923" t="s">
        <v>1139</v>
      </c>
      <c r="G6923" t="s">
        <v>32</v>
      </c>
      <c r="H6923" t="s">
        <v>33</v>
      </c>
      <c r="I6923" t="s">
        <v>84</v>
      </c>
      <c r="AB6923" t="s">
        <v>1136</v>
      </c>
      <c r="AC6923" t="s">
        <v>87</v>
      </c>
    </row>
    <row r="6924" spans="1:29" x14ac:dyDescent="0.35">
      <c r="A6924" s="7">
        <v>43278</v>
      </c>
      <c r="B6924" t="s">
        <v>30</v>
      </c>
      <c r="C6924">
        <v>402</v>
      </c>
      <c r="D6924">
        <v>6</v>
      </c>
      <c r="E6924">
        <v>2</v>
      </c>
      <c r="F6924" t="s">
        <v>1139</v>
      </c>
      <c r="G6924" t="s">
        <v>32</v>
      </c>
      <c r="H6924" t="s">
        <v>33</v>
      </c>
      <c r="I6924" t="s">
        <v>84</v>
      </c>
      <c r="AB6924" t="s">
        <v>1136</v>
      </c>
      <c r="AC6924" t="s">
        <v>87</v>
      </c>
    </row>
    <row r="6925" spans="1:29" x14ac:dyDescent="0.35">
      <c r="A6925" s="7">
        <v>43278</v>
      </c>
      <c r="B6925" t="s">
        <v>30</v>
      </c>
      <c r="C6925">
        <v>402</v>
      </c>
      <c r="D6925">
        <v>7</v>
      </c>
      <c r="E6925">
        <v>1</v>
      </c>
      <c r="F6925" t="s">
        <v>1139</v>
      </c>
      <c r="G6925" t="s">
        <v>32</v>
      </c>
      <c r="H6925" t="s">
        <v>33</v>
      </c>
      <c r="I6925" t="s">
        <v>84</v>
      </c>
      <c r="AB6925" t="s">
        <v>1136</v>
      </c>
      <c r="AC6925" t="s">
        <v>87</v>
      </c>
    </row>
    <row r="6926" spans="1:29" x14ac:dyDescent="0.35">
      <c r="A6926" s="7">
        <v>43278</v>
      </c>
      <c r="B6926" t="s">
        <v>30</v>
      </c>
      <c r="C6926">
        <v>402</v>
      </c>
      <c r="D6926">
        <v>7</v>
      </c>
      <c r="E6926">
        <v>2</v>
      </c>
      <c r="F6926" t="s">
        <v>1139</v>
      </c>
      <c r="G6926" t="s">
        <v>32</v>
      </c>
      <c r="H6926" t="s">
        <v>33</v>
      </c>
      <c r="I6926" t="s">
        <v>84</v>
      </c>
      <c r="AB6926" t="s">
        <v>1136</v>
      </c>
      <c r="AC6926" t="s">
        <v>87</v>
      </c>
    </row>
    <row r="6927" spans="1:29" x14ac:dyDescent="0.35">
      <c r="A6927" s="7">
        <v>43278</v>
      </c>
      <c r="B6927" t="s">
        <v>30</v>
      </c>
      <c r="C6927">
        <v>402</v>
      </c>
      <c r="D6927">
        <v>8</v>
      </c>
      <c r="E6927">
        <v>1</v>
      </c>
      <c r="F6927" t="s">
        <v>1139</v>
      </c>
      <c r="G6927" t="s">
        <v>32</v>
      </c>
      <c r="H6927" t="s">
        <v>33</v>
      </c>
      <c r="I6927" t="s">
        <v>84</v>
      </c>
      <c r="AB6927" t="s">
        <v>1136</v>
      </c>
      <c r="AC6927" t="s">
        <v>87</v>
      </c>
    </row>
    <row r="6928" spans="1:29" x14ac:dyDescent="0.35">
      <c r="A6928" s="7">
        <v>43278</v>
      </c>
      <c r="B6928" t="s">
        <v>30</v>
      </c>
      <c r="C6928">
        <v>402</v>
      </c>
      <c r="D6928">
        <v>8</v>
      </c>
      <c r="E6928">
        <v>2</v>
      </c>
      <c r="F6928" t="s">
        <v>1139</v>
      </c>
      <c r="G6928" t="s">
        <v>32</v>
      </c>
      <c r="H6928" t="s">
        <v>33</v>
      </c>
      <c r="I6928" t="s">
        <v>84</v>
      </c>
      <c r="AB6928" t="s">
        <v>1136</v>
      </c>
      <c r="AC6928" t="s">
        <v>87</v>
      </c>
    </row>
    <row r="6929" spans="1:29" x14ac:dyDescent="0.35">
      <c r="A6929" s="7">
        <v>43278</v>
      </c>
      <c r="B6929" t="s">
        <v>30</v>
      </c>
      <c r="C6929">
        <v>402</v>
      </c>
      <c r="D6929">
        <v>9</v>
      </c>
      <c r="E6929">
        <v>1</v>
      </c>
      <c r="F6929" t="s">
        <v>1139</v>
      </c>
      <c r="G6929" t="s">
        <v>32</v>
      </c>
      <c r="H6929" t="s">
        <v>33</v>
      </c>
      <c r="I6929" t="s">
        <v>84</v>
      </c>
      <c r="AB6929" t="s">
        <v>1136</v>
      </c>
      <c r="AC6929" t="s">
        <v>87</v>
      </c>
    </row>
    <row r="6930" spans="1:29" x14ac:dyDescent="0.35">
      <c r="A6930" s="7">
        <v>43278</v>
      </c>
      <c r="B6930" t="s">
        <v>30</v>
      </c>
      <c r="C6930">
        <v>402</v>
      </c>
      <c r="D6930">
        <v>10</v>
      </c>
      <c r="E6930">
        <v>1</v>
      </c>
      <c r="F6930" t="s">
        <v>1139</v>
      </c>
      <c r="G6930" t="s">
        <v>32</v>
      </c>
      <c r="H6930" t="s">
        <v>33</v>
      </c>
      <c r="I6930" t="s">
        <v>84</v>
      </c>
      <c r="AB6930" t="s">
        <v>1136</v>
      </c>
      <c r="AC6930" t="s">
        <v>87</v>
      </c>
    </row>
    <row r="6931" spans="1:29" x14ac:dyDescent="0.35">
      <c r="A6931" s="7">
        <v>43278</v>
      </c>
      <c r="B6931" t="s">
        <v>30</v>
      </c>
      <c r="C6931">
        <v>402</v>
      </c>
      <c r="D6931">
        <v>10</v>
      </c>
      <c r="E6931">
        <v>2</v>
      </c>
      <c r="F6931" t="s">
        <v>1139</v>
      </c>
      <c r="G6931" t="s">
        <v>32</v>
      </c>
      <c r="H6931" t="s">
        <v>33</v>
      </c>
      <c r="I6931" t="s">
        <v>84</v>
      </c>
      <c r="AB6931" t="s">
        <v>1136</v>
      </c>
      <c r="AC6931" t="s">
        <v>87</v>
      </c>
    </row>
    <row r="6932" spans="1:29" x14ac:dyDescent="0.35">
      <c r="A6932" s="7">
        <v>43278</v>
      </c>
      <c r="B6932" t="s">
        <v>30</v>
      </c>
      <c r="C6932">
        <v>112</v>
      </c>
      <c r="D6932">
        <v>2</v>
      </c>
      <c r="E6932">
        <v>1</v>
      </c>
      <c r="F6932" t="s">
        <v>1139</v>
      </c>
      <c r="G6932" t="s">
        <v>32</v>
      </c>
      <c r="H6932" t="s">
        <v>33</v>
      </c>
      <c r="I6932" t="s">
        <v>59</v>
      </c>
      <c r="AB6932" t="s">
        <v>1136</v>
      </c>
      <c r="AC6932" t="s">
        <v>87</v>
      </c>
    </row>
    <row r="6933" spans="1:29" x14ac:dyDescent="0.35">
      <c r="A6933" s="7">
        <v>43278</v>
      </c>
      <c r="B6933" t="s">
        <v>30</v>
      </c>
      <c r="C6933">
        <v>112</v>
      </c>
      <c r="D6933">
        <v>3</v>
      </c>
      <c r="E6933">
        <v>1</v>
      </c>
      <c r="F6933" t="s">
        <v>1139</v>
      </c>
      <c r="G6933" t="s">
        <v>32</v>
      </c>
      <c r="H6933" t="s">
        <v>33</v>
      </c>
      <c r="I6933" t="s">
        <v>59</v>
      </c>
      <c r="AB6933" t="s">
        <v>1136</v>
      </c>
      <c r="AC6933" t="s">
        <v>87</v>
      </c>
    </row>
    <row r="6934" spans="1:29" x14ac:dyDescent="0.35">
      <c r="A6934" s="7">
        <v>43278</v>
      </c>
      <c r="B6934" t="s">
        <v>30</v>
      </c>
      <c r="C6934">
        <v>112</v>
      </c>
      <c r="D6934">
        <v>7</v>
      </c>
      <c r="E6934">
        <v>1</v>
      </c>
      <c r="F6934" t="s">
        <v>1139</v>
      </c>
      <c r="G6934" t="s">
        <v>32</v>
      </c>
      <c r="H6934" t="s">
        <v>33</v>
      </c>
      <c r="I6934" t="s">
        <v>59</v>
      </c>
      <c r="AB6934" t="s">
        <v>1136</v>
      </c>
      <c r="AC6934" t="s">
        <v>87</v>
      </c>
    </row>
    <row r="6935" spans="1:29" x14ac:dyDescent="0.35">
      <c r="A6935" s="7">
        <v>43278</v>
      </c>
      <c r="B6935" t="s">
        <v>30</v>
      </c>
      <c r="C6935">
        <v>113</v>
      </c>
      <c r="D6935">
        <v>6</v>
      </c>
      <c r="E6935">
        <v>1</v>
      </c>
      <c r="F6935" t="s">
        <v>1139</v>
      </c>
      <c r="G6935" t="s">
        <v>32</v>
      </c>
      <c r="H6935" t="s">
        <v>33</v>
      </c>
      <c r="I6935" t="s">
        <v>59</v>
      </c>
      <c r="AB6935" t="s">
        <v>1136</v>
      </c>
      <c r="AC6935" t="s">
        <v>87</v>
      </c>
    </row>
    <row r="6936" spans="1:29" x14ac:dyDescent="0.35">
      <c r="A6936" s="7">
        <v>43278</v>
      </c>
      <c r="B6936" t="s">
        <v>30</v>
      </c>
      <c r="C6936">
        <v>113</v>
      </c>
      <c r="D6936">
        <v>7</v>
      </c>
      <c r="E6936">
        <v>1</v>
      </c>
      <c r="F6936" t="s">
        <v>1139</v>
      </c>
      <c r="G6936" t="s">
        <v>32</v>
      </c>
      <c r="H6936" t="s">
        <v>33</v>
      </c>
      <c r="I6936" t="s">
        <v>59</v>
      </c>
      <c r="AB6936" t="s">
        <v>1136</v>
      </c>
      <c r="AC6936" t="s">
        <v>87</v>
      </c>
    </row>
    <row r="6937" spans="1:29" x14ac:dyDescent="0.35">
      <c r="A6937" s="7">
        <v>43278</v>
      </c>
      <c r="B6937" t="s">
        <v>30</v>
      </c>
      <c r="C6937">
        <v>113</v>
      </c>
      <c r="D6937">
        <v>8</v>
      </c>
      <c r="E6937">
        <v>1</v>
      </c>
      <c r="F6937" t="s">
        <v>1139</v>
      </c>
      <c r="G6937" t="s">
        <v>32</v>
      </c>
      <c r="H6937" t="s">
        <v>33</v>
      </c>
      <c r="I6937" t="s">
        <v>59</v>
      </c>
      <c r="AB6937" t="s">
        <v>1136</v>
      </c>
      <c r="AC6937" t="s">
        <v>87</v>
      </c>
    </row>
    <row r="6938" spans="1:29" x14ac:dyDescent="0.35">
      <c r="A6938" s="7">
        <v>43278</v>
      </c>
      <c r="B6938" t="s">
        <v>30</v>
      </c>
      <c r="C6938">
        <v>201</v>
      </c>
      <c r="D6938">
        <v>2</v>
      </c>
      <c r="E6938">
        <v>1</v>
      </c>
      <c r="F6938" t="s">
        <v>1170</v>
      </c>
      <c r="G6938" t="s">
        <v>32</v>
      </c>
      <c r="H6938" t="s">
        <v>33</v>
      </c>
      <c r="I6938" t="s">
        <v>59</v>
      </c>
      <c r="AB6938" t="s">
        <v>1136</v>
      </c>
      <c r="AC6938" t="s">
        <v>87</v>
      </c>
    </row>
    <row r="6939" spans="1:29" x14ac:dyDescent="0.35">
      <c r="A6939" s="7">
        <v>43278</v>
      </c>
      <c r="B6939" t="s">
        <v>30</v>
      </c>
      <c r="C6939">
        <v>201</v>
      </c>
      <c r="D6939">
        <v>3</v>
      </c>
      <c r="E6939">
        <v>1</v>
      </c>
      <c r="F6939" t="s">
        <v>1170</v>
      </c>
      <c r="G6939" t="s">
        <v>32</v>
      </c>
      <c r="H6939" t="s">
        <v>33</v>
      </c>
      <c r="I6939" t="s">
        <v>59</v>
      </c>
      <c r="AB6939" t="s">
        <v>1136</v>
      </c>
      <c r="AC6939" t="s">
        <v>87</v>
      </c>
    </row>
    <row r="6940" spans="1:29" x14ac:dyDescent="0.35">
      <c r="A6940" s="7">
        <v>43278</v>
      </c>
      <c r="B6940" t="s">
        <v>30</v>
      </c>
      <c r="C6940">
        <v>201</v>
      </c>
      <c r="D6940">
        <v>4</v>
      </c>
      <c r="E6940">
        <v>1</v>
      </c>
      <c r="F6940" t="s">
        <v>1170</v>
      </c>
      <c r="G6940" t="s">
        <v>32</v>
      </c>
      <c r="H6940" t="s">
        <v>33</v>
      </c>
      <c r="I6940" t="s">
        <v>59</v>
      </c>
      <c r="AB6940" t="s">
        <v>1136</v>
      </c>
      <c r="AC6940" t="s">
        <v>87</v>
      </c>
    </row>
    <row r="6941" spans="1:29" x14ac:dyDescent="0.35">
      <c r="A6941" s="7">
        <v>43278</v>
      </c>
      <c r="B6941" t="s">
        <v>30</v>
      </c>
      <c r="C6941">
        <v>201</v>
      </c>
      <c r="D6941">
        <v>5</v>
      </c>
      <c r="E6941">
        <v>1</v>
      </c>
      <c r="F6941" t="s">
        <v>1170</v>
      </c>
      <c r="G6941" t="s">
        <v>32</v>
      </c>
      <c r="H6941" t="s">
        <v>33</v>
      </c>
      <c r="I6941" t="s">
        <v>59</v>
      </c>
      <c r="AB6941" t="s">
        <v>1136</v>
      </c>
      <c r="AC6941" t="s">
        <v>87</v>
      </c>
    </row>
    <row r="6942" spans="1:29" x14ac:dyDescent="0.35">
      <c r="A6942" s="7">
        <v>43278</v>
      </c>
      <c r="B6942" t="s">
        <v>30</v>
      </c>
      <c r="C6942">
        <v>202</v>
      </c>
      <c r="D6942">
        <v>3</v>
      </c>
      <c r="E6942">
        <v>1</v>
      </c>
      <c r="F6942" t="s">
        <v>1170</v>
      </c>
      <c r="G6942" t="s">
        <v>32</v>
      </c>
      <c r="H6942" t="s">
        <v>33</v>
      </c>
      <c r="I6942" t="s">
        <v>59</v>
      </c>
      <c r="AB6942" t="s">
        <v>1136</v>
      </c>
      <c r="AC6942" t="s">
        <v>87</v>
      </c>
    </row>
    <row r="6943" spans="1:29" x14ac:dyDescent="0.35">
      <c r="A6943" s="7">
        <v>43278</v>
      </c>
      <c r="B6943" t="s">
        <v>30</v>
      </c>
      <c r="C6943">
        <v>203</v>
      </c>
      <c r="D6943">
        <v>5</v>
      </c>
      <c r="E6943">
        <v>1</v>
      </c>
      <c r="F6943" t="s">
        <v>1170</v>
      </c>
      <c r="G6943" t="s">
        <v>32</v>
      </c>
      <c r="H6943" t="s">
        <v>33</v>
      </c>
      <c r="I6943" t="s">
        <v>59</v>
      </c>
      <c r="AB6943" t="s">
        <v>1136</v>
      </c>
      <c r="AC6943" t="s">
        <v>87</v>
      </c>
    </row>
    <row r="6944" spans="1:29" x14ac:dyDescent="0.35">
      <c r="A6944" s="7">
        <v>43278</v>
      </c>
      <c r="B6944" t="s">
        <v>30</v>
      </c>
      <c r="C6944">
        <v>203</v>
      </c>
      <c r="D6944">
        <v>9</v>
      </c>
      <c r="E6944">
        <v>1</v>
      </c>
      <c r="F6944" t="s">
        <v>1170</v>
      </c>
      <c r="G6944" t="s">
        <v>32</v>
      </c>
      <c r="H6944" t="s">
        <v>33</v>
      </c>
      <c r="I6944" t="s">
        <v>59</v>
      </c>
      <c r="AB6944" t="s">
        <v>1136</v>
      </c>
      <c r="AC6944" t="s">
        <v>87</v>
      </c>
    </row>
    <row r="6945" spans="1:29" x14ac:dyDescent="0.35">
      <c r="A6945" s="7">
        <v>43278</v>
      </c>
      <c r="B6945" t="s">
        <v>30</v>
      </c>
      <c r="C6945">
        <v>203</v>
      </c>
      <c r="D6945">
        <v>10</v>
      </c>
      <c r="E6945">
        <v>1</v>
      </c>
      <c r="F6945" t="s">
        <v>1170</v>
      </c>
      <c r="G6945" t="s">
        <v>32</v>
      </c>
      <c r="H6945" t="s">
        <v>33</v>
      </c>
      <c r="I6945" t="s">
        <v>59</v>
      </c>
      <c r="AB6945" t="s">
        <v>1136</v>
      </c>
      <c r="AC6945" t="s">
        <v>87</v>
      </c>
    </row>
    <row r="6946" spans="1:29" x14ac:dyDescent="0.35">
      <c r="A6946" s="7">
        <v>43278</v>
      </c>
      <c r="B6946" t="s">
        <v>30</v>
      </c>
      <c r="C6946">
        <v>304</v>
      </c>
      <c r="D6946">
        <v>7</v>
      </c>
      <c r="E6946">
        <v>1</v>
      </c>
      <c r="F6946" t="s">
        <v>1170</v>
      </c>
      <c r="G6946" t="s">
        <v>32</v>
      </c>
      <c r="H6946" t="s">
        <v>33</v>
      </c>
      <c r="I6946" t="s">
        <v>59</v>
      </c>
      <c r="AB6946" t="s">
        <v>1136</v>
      </c>
      <c r="AC6946" t="s">
        <v>87</v>
      </c>
    </row>
    <row r="6947" spans="1:29" x14ac:dyDescent="0.35">
      <c r="A6947" s="7">
        <v>43278</v>
      </c>
      <c r="B6947" t="s">
        <v>30</v>
      </c>
      <c r="C6947">
        <v>304</v>
      </c>
      <c r="D6947">
        <v>8</v>
      </c>
      <c r="E6947">
        <v>1</v>
      </c>
      <c r="F6947" t="s">
        <v>1170</v>
      </c>
      <c r="G6947" t="s">
        <v>32</v>
      </c>
      <c r="H6947" t="s">
        <v>33</v>
      </c>
      <c r="I6947" t="s">
        <v>59</v>
      </c>
      <c r="AB6947" t="s">
        <v>1136</v>
      </c>
      <c r="AC6947" t="s">
        <v>87</v>
      </c>
    </row>
    <row r="6948" spans="1:29" x14ac:dyDescent="0.35">
      <c r="A6948" s="7">
        <v>43278</v>
      </c>
      <c r="B6948" t="s">
        <v>30</v>
      </c>
      <c r="C6948">
        <v>402</v>
      </c>
      <c r="D6948">
        <v>9</v>
      </c>
      <c r="E6948">
        <v>2</v>
      </c>
      <c r="F6948" t="s">
        <v>1139</v>
      </c>
      <c r="G6948" t="s">
        <v>32</v>
      </c>
      <c r="H6948" t="s">
        <v>33</v>
      </c>
      <c r="I6948" t="s">
        <v>94</v>
      </c>
      <c r="J6948" t="s">
        <v>44</v>
      </c>
      <c r="K6948" t="s">
        <v>36</v>
      </c>
      <c r="L6948" t="s">
        <v>45</v>
      </c>
      <c r="M6948">
        <v>0</v>
      </c>
      <c r="N6948">
        <v>0</v>
      </c>
      <c r="O6948">
        <v>1054</v>
      </c>
      <c r="Q6948">
        <f>38.5-13</f>
        <v>25.5</v>
      </c>
      <c r="R6948" t="s">
        <v>1021</v>
      </c>
      <c r="S6948" t="s">
        <v>102</v>
      </c>
      <c r="AB6948" t="s">
        <v>1136</v>
      </c>
      <c r="AC6948" t="s">
        <v>87</v>
      </c>
    </row>
    <row r="6949" spans="1:29" x14ac:dyDescent="0.35">
      <c r="A6949" s="7">
        <v>43283</v>
      </c>
      <c r="B6949" t="s">
        <v>30</v>
      </c>
      <c r="C6949">
        <v>303</v>
      </c>
      <c r="D6949">
        <v>1</v>
      </c>
      <c r="E6949">
        <v>1</v>
      </c>
      <c r="F6949" t="s">
        <v>1139</v>
      </c>
      <c r="G6949" t="s">
        <v>32</v>
      </c>
      <c r="H6949" t="s">
        <v>33</v>
      </c>
      <c r="I6949" t="s">
        <v>43</v>
      </c>
      <c r="J6949" t="s">
        <v>44</v>
      </c>
      <c r="K6949" t="s">
        <v>36</v>
      </c>
      <c r="L6949" t="s">
        <v>45</v>
      </c>
      <c r="M6949">
        <v>0</v>
      </c>
      <c r="N6949">
        <v>0</v>
      </c>
      <c r="O6949">
        <v>2903</v>
      </c>
      <c r="P6949">
        <v>2901</v>
      </c>
      <c r="Q6949">
        <f>36-14</f>
        <v>22</v>
      </c>
      <c r="R6949" t="s">
        <v>1021</v>
      </c>
      <c r="S6949" t="s">
        <v>102</v>
      </c>
      <c r="AB6949" t="s">
        <v>47</v>
      </c>
      <c r="AC6949" t="s">
        <v>87</v>
      </c>
    </row>
    <row r="6950" spans="1:29" x14ac:dyDescent="0.35">
      <c r="A6950" s="7">
        <v>43283</v>
      </c>
      <c r="B6950" t="s">
        <v>30</v>
      </c>
      <c r="C6950">
        <v>303</v>
      </c>
      <c r="D6950">
        <v>8</v>
      </c>
      <c r="E6950">
        <v>1</v>
      </c>
      <c r="F6950" t="s">
        <v>1139</v>
      </c>
      <c r="G6950" t="s">
        <v>32</v>
      </c>
      <c r="H6950" t="s">
        <v>33</v>
      </c>
      <c r="I6950" t="s">
        <v>43</v>
      </c>
      <c r="J6950" t="s">
        <v>44</v>
      </c>
      <c r="K6950" t="s">
        <v>36</v>
      </c>
      <c r="L6950" t="s">
        <v>45</v>
      </c>
      <c r="M6950">
        <v>0</v>
      </c>
      <c r="N6950">
        <v>0</v>
      </c>
      <c r="O6950">
        <v>2913</v>
      </c>
      <c r="P6950">
        <v>2912</v>
      </c>
      <c r="Q6950">
        <f>36-14</f>
        <v>22</v>
      </c>
      <c r="R6950" t="s">
        <v>1021</v>
      </c>
      <c r="S6950" t="s">
        <v>102</v>
      </c>
      <c r="AB6950" t="s">
        <v>47</v>
      </c>
      <c r="AC6950" t="s">
        <v>87</v>
      </c>
    </row>
    <row r="6951" spans="1:29" x14ac:dyDescent="0.35">
      <c r="A6951" s="7">
        <v>43283</v>
      </c>
      <c r="B6951" t="s">
        <v>30</v>
      </c>
      <c r="C6951">
        <v>303</v>
      </c>
      <c r="D6951">
        <v>8</v>
      </c>
      <c r="E6951">
        <v>2</v>
      </c>
      <c r="F6951" t="s">
        <v>1139</v>
      </c>
      <c r="G6951" t="s">
        <v>32</v>
      </c>
      <c r="H6951" t="s">
        <v>33</v>
      </c>
      <c r="I6951" t="s">
        <v>43</v>
      </c>
      <c r="J6951" t="s">
        <v>44</v>
      </c>
      <c r="K6951" t="s">
        <v>88</v>
      </c>
      <c r="L6951" t="s">
        <v>45</v>
      </c>
      <c r="M6951">
        <v>0</v>
      </c>
      <c r="N6951">
        <v>0</v>
      </c>
      <c r="O6951">
        <v>1006</v>
      </c>
      <c r="P6951">
        <v>1005</v>
      </c>
      <c r="Q6951">
        <f>28-15</f>
        <v>13</v>
      </c>
      <c r="R6951" t="s">
        <v>46</v>
      </c>
      <c r="S6951" t="s">
        <v>39</v>
      </c>
      <c r="AB6951" t="s">
        <v>47</v>
      </c>
      <c r="AC6951" t="s">
        <v>87</v>
      </c>
    </row>
    <row r="6952" spans="1:29" x14ac:dyDescent="0.35">
      <c r="A6952" s="7">
        <v>43283</v>
      </c>
      <c r="B6952" t="s">
        <v>30</v>
      </c>
      <c r="C6952" s="6">
        <v>401</v>
      </c>
      <c r="D6952">
        <v>10</v>
      </c>
      <c r="E6952">
        <v>1</v>
      </c>
      <c r="F6952" t="s">
        <v>1139</v>
      </c>
      <c r="G6952" t="s">
        <v>32</v>
      </c>
      <c r="H6952" t="s">
        <v>33</v>
      </c>
      <c r="I6952" t="s">
        <v>43</v>
      </c>
      <c r="J6952" t="s">
        <v>35</v>
      </c>
      <c r="K6952" t="s">
        <v>88</v>
      </c>
      <c r="L6952" t="s">
        <v>37</v>
      </c>
      <c r="M6952">
        <v>0</v>
      </c>
      <c r="N6952">
        <v>1</v>
      </c>
      <c r="O6952">
        <v>1108</v>
      </c>
      <c r="P6952">
        <v>1106</v>
      </c>
      <c r="Q6952">
        <f>27-13.5</f>
        <v>13.5</v>
      </c>
      <c r="R6952" t="s">
        <v>64</v>
      </c>
      <c r="AB6952" t="s">
        <v>47</v>
      </c>
      <c r="AC6952" t="s">
        <v>87</v>
      </c>
    </row>
    <row r="6953" spans="1:29" x14ac:dyDescent="0.35">
      <c r="A6953" s="7">
        <v>43283</v>
      </c>
      <c r="B6953" t="s">
        <v>30</v>
      </c>
      <c r="C6953">
        <v>501</v>
      </c>
      <c r="D6953">
        <v>1</v>
      </c>
      <c r="E6953">
        <v>1</v>
      </c>
      <c r="F6953" t="s">
        <v>1139</v>
      </c>
      <c r="G6953" t="s">
        <v>32</v>
      </c>
      <c r="H6953" t="s">
        <v>33</v>
      </c>
      <c r="I6953" t="s">
        <v>43</v>
      </c>
      <c r="J6953" t="s">
        <v>44</v>
      </c>
      <c r="K6953" t="s">
        <v>88</v>
      </c>
      <c r="L6953" t="s">
        <v>45</v>
      </c>
      <c r="M6953">
        <v>0</v>
      </c>
      <c r="N6953">
        <v>0</v>
      </c>
      <c r="O6953">
        <v>1002</v>
      </c>
      <c r="P6953">
        <v>1001</v>
      </c>
      <c r="Q6953">
        <f>30.5-13</f>
        <v>17.5</v>
      </c>
      <c r="R6953" t="s">
        <v>46</v>
      </c>
      <c r="S6953" t="s">
        <v>39</v>
      </c>
      <c r="AB6953" t="s">
        <v>47</v>
      </c>
      <c r="AC6953" t="s">
        <v>87</v>
      </c>
    </row>
    <row r="6954" spans="1:29" x14ac:dyDescent="0.35">
      <c r="A6954" s="7">
        <v>43283</v>
      </c>
      <c r="B6954" t="s">
        <v>30</v>
      </c>
      <c r="C6954">
        <v>501</v>
      </c>
      <c r="D6954">
        <v>3</v>
      </c>
      <c r="E6954">
        <v>1</v>
      </c>
      <c r="F6954" t="s">
        <v>1139</v>
      </c>
      <c r="G6954" t="s">
        <v>32</v>
      </c>
      <c r="H6954" t="s">
        <v>33</v>
      </c>
      <c r="I6954" t="s">
        <v>43</v>
      </c>
      <c r="J6954" t="s">
        <v>44</v>
      </c>
      <c r="K6954" t="s">
        <v>36</v>
      </c>
      <c r="L6954" t="s">
        <v>45</v>
      </c>
      <c r="M6954">
        <v>0</v>
      </c>
      <c r="N6954">
        <v>0</v>
      </c>
      <c r="O6954">
        <v>2953</v>
      </c>
      <c r="P6954">
        <v>2952</v>
      </c>
      <c r="Q6954">
        <f>39-14</f>
        <v>25</v>
      </c>
      <c r="R6954" t="s">
        <v>1028</v>
      </c>
      <c r="S6954" t="s">
        <v>102</v>
      </c>
      <c r="AB6954" t="s">
        <v>47</v>
      </c>
      <c r="AC6954" t="s">
        <v>87</v>
      </c>
    </row>
    <row r="6955" spans="1:29" x14ac:dyDescent="0.35">
      <c r="A6955" s="7">
        <v>43283</v>
      </c>
      <c r="B6955" t="s">
        <v>30</v>
      </c>
      <c r="C6955">
        <v>501</v>
      </c>
      <c r="D6955">
        <v>8</v>
      </c>
      <c r="E6955">
        <v>1</v>
      </c>
      <c r="F6955" t="s">
        <v>1139</v>
      </c>
      <c r="G6955" t="s">
        <v>32</v>
      </c>
      <c r="H6955" t="s">
        <v>33</v>
      </c>
      <c r="I6955" t="s">
        <v>43</v>
      </c>
      <c r="J6955" t="s">
        <v>35</v>
      </c>
      <c r="K6955" t="s">
        <v>88</v>
      </c>
      <c r="L6955" t="s">
        <v>45</v>
      </c>
      <c r="M6955">
        <v>0</v>
      </c>
      <c r="N6955">
        <v>1</v>
      </c>
      <c r="O6955">
        <v>1104</v>
      </c>
      <c r="P6955">
        <v>1103</v>
      </c>
      <c r="Q6955">
        <f>26-14</f>
        <v>12</v>
      </c>
      <c r="R6955" t="s">
        <v>46</v>
      </c>
      <c r="S6955" t="s">
        <v>39</v>
      </c>
      <c r="AB6955" t="s">
        <v>47</v>
      </c>
      <c r="AC6955" t="s">
        <v>87</v>
      </c>
    </row>
    <row r="6956" spans="1:29" x14ac:dyDescent="0.35">
      <c r="A6956" s="7">
        <v>43283</v>
      </c>
      <c r="B6956" t="s">
        <v>30</v>
      </c>
      <c r="C6956">
        <v>701</v>
      </c>
      <c r="D6956">
        <v>1</v>
      </c>
      <c r="E6956">
        <v>1</v>
      </c>
      <c r="F6956" t="s">
        <v>1020</v>
      </c>
      <c r="G6956" t="s">
        <v>32</v>
      </c>
      <c r="H6956" t="s">
        <v>33</v>
      </c>
      <c r="I6956" t="s">
        <v>43</v>
      </c>
      <c r="J6956" t="s">
        <v>44</v>
      </c>
      <c r="K6956" t="s">
        <v>36</v>
      </c>
      <c r="L6956" t="s">
        <v>45</v>
      </c>
      <c r="M6956">
        <v>0</v>
      </c>
      <c r="N6956">
        <v>0</v>
      </c>
      <c r="O6956">
        <v>2471</v>
      </c>
      <c r="P6956">
        <v>2470</v>
      </c>
      <c r="Q6956">
        <f>36-13.5</f>
        <v>22.5</v>
      </c>
      <c r="R6956" t="s">
        <v>1021</v>
      </c>
      <c r="S6956" t="s">
        <v>102</v>
      </c>
      <c r="AB6956" t="s">
        <v>86</v>
      </c>
      <c r="AC6956" t="s">
        <v>137</v>
      </c>
    </row>
    <row r="6957" spans="1:29" x14ac:dyDescent="0.35">
      <c r="A6957" s="7">
        <v>43283</v>
      </c>
      <c r="B6957" t="s">
        <v>30</v>
      </c>
      <c r="C6957">
        <v>703</v>
      </c>
      <c r="D6957">
        <v>3</v>
      </c>
      <c r="E6957">
        <v>1</v>
      </c>
      <c r="F6957" t="s">
        <v>1020</v>
      </c>
      <c r="G6957" t="s">
        <v>32</v>
      </c>
      <c r="H6957" t="s">
        <v>33</v>
      </c>
      <c r="I6957" t="s">
        <v>43</v>
      </c>
      <c r="J6957" t="s">
        <v>35</v>
      </c>
      <c r="K6957" t="s">
        <v>113</v>
      </c>
      <c r="L6957" t="s">
        <v>37</v>
      </c>
      <c r="M6957">
        <v>0</v>
      </c>
      <c r="N6957">
        <v>1</v>
      </c>
      <c r="O6957">
        <v>1100</v>
      </c>
      <c r="P6957">
        <v>1099</v>
      </c>
      <c r="Q6957">
        <f>27.5-13</f>
        <v>14.5</v>
      </c>
      <c r="R6957" t="s">
        <v>64</v>
      </c>
      <c r="AB6957" t="s">
        <v>86</v>
      </c>
      <c r="AC6957" t="s">
        <v>137</v>
      </c>
    </row>
    <row r="6958" spans="1:29" x14ac:dyDescent="0.35">
      <c r="A6958" s="7">
        <v>43283</v>
      </c>
      <c r="B6958" t="s">
        <v>30</v>
      </c>
      <c r="C6958">
        <v>703</v>
      </c>
      <c r="D6958">
        <v>4</v>
      </c>
      <c r="E6958">
        <v>1</v>
      </c>
      <c r="F6958" t="s">
        <v>1020</v>
      </c>
      <c r="G6958" t="s">
        <v>32</v>
      </c>
      <c r="H6958" t="s">
        <v>33</v>
      </c>
      <c r="I6958" t="s">
        <v>43</v>
      </c>
      <c r="J6958" t="s">
        <v>44</v>
      </c>
      <c r="K6958" t="s">
        <v>36</v>
      </c>
      <c r="L6958" t="s">
        <v>45</v>
      </c>
      <c r="M6958">
        <v>0</v>
      </c>
      <c r="N6958">
        <v>0</v>
      </c>
      <c r="O6958">
        <v>39771</v>
      </c>
      <c r="P6958">
        <v>39770</v>
      </c>
      <c r="Q6958">
        <f>34-13.25</f>
        <v>20.75</v>
      </c>
      <c r="R6958" t="s">
        <v>1021</v>
      </c>
      <c r="S6958" t="s">
        <v>102</v>
      </c>
      <c r="AB6958" t="s">
        <v>86</v>
      </c>
      <c r="AC6958" t="s">
        <v>137</v>
      </c>
    </row>
    <row r="6959" spans="1:29" x14ac:dyDescent="0.35">
      <c r="A6959" s="7">
        <v>43283</v>
      </c>
      <c r="B6959" t="s">
        <v>30</v>
      </c>
      <c r="C6959">
        <v>703</v>
      </c>
      <c r="D6959">
        <v>5</v>
      </c>
      <c r="E6959">
        <v>1</v>
      </c>
      <c r="F6959" t="s">
        <v>1020</v>
      </c>
      <c r="G6959" t="s">
        <v>32</v>
      </c>
      <c r="H6959" t="s">
        <v>33</v>
      </c>
      <c r="I6959" t="s">
        <v>43</v>
      </c>
      <c r="J6959" t="s">
        <v>44</v>
      </c>
      <c r="K6959" t="s">
        <v>113</v>
      </c>
      <c r="L6959" t="s">
        <v>37</v>
      </c>
      <c r="M6959">
        <v>0</v>
      </c>
      <c r="N6959">
        <v>0</v>
      </c>
      <c r="O6959">
        <v>1068</v>
      </c>
      <c r="P6959">
        <v>1067</v>
      </c>
      <c r="Q6959">
        <f>28.5-13.25</f>
        <v>15.25</v>
      </c>
      <c r="R6959" t="s">
        <v>64</v>
      </c>
      <c r="AB6959" t="s">
        <v>86</v>
      </c>
      <c r="AC6959" t="s">
        <v>137</v>
      </c>
    </row>
    <row r="6960" spans="1:29" x14ac:dyDescent="0.35">
      <c r="A6960" s="7">
        <v>43283</v>
      </c>
      <c r="B6960" t="s">
        <v>30</v>
      </c>
      <c r="C6960">
        <v>703</v>
      </c>
      <c r="D6960">
        <v>6</v>
      </c>
      <c r="E6960">
        <v>1</v>
      </c>
      <c r="F6960" t="s">
        <v>1020</v>
      </c>
      <c r="G6960" t="s">
        <v>32</v>
      </c>
      <c r="H6960" t="s">
        <v>33</v>
      </c>
      <c r="I6960" t="s">
        <v>43</v>
      </c>
      <c r="J6960" t="s">
        <v>44</v>
      </c>
      <c r="K6960" t="s">
        <v>36</v>
      </c>
      <c r="L6960" t="s">
        <v>45</v>
      </c>
      <c r="M6960">
        <v>0</v>
      </c>
      <c r="N6960">
        <v>0</v>
      </c>
      <c r="O6960">
        <v>1165</v>
      </c>
      <c r="P6960">
        <v>1164</v>
      </c>
      <c r="Q6960">
        <f>35.5-13.25</f>
        <v>22.25</v>
      </c>
      <c r="R6960" t="s">
        <v>1021</v>
      </c>
      <c r="S6960" t="s">
        <v>102</v>
      </c>
      <c r="AB6960" t="s">
        <v>86</v>
      </c>
      <c r="AC6960" t="s">
        <v>137</v>
      </c>
    </row>
    <row r="6961" spans="1:30" x14ac:dyDescent="0.35">
      <c r="A6961" s="7">
        <v>43283</v>
      </c>
      <c r="B6961" t="s">
        <v>30</v>
      </c>
      <c r="C6961">
        <v>703</v>
      </c>
      <c r="D6961">
        <v>10</v>
      </c>
      <c r="E6961">
        <v>2</v>
      </c>
      <c r="F6961" t="s">
        <v>1020</v>
      </c>
      <c r="G6961" t="s">
        <v>32</v>
      </c>
      <c r="H6961" t="s">
        <v>33</v>
      </c>
      <c r="I6961" t="s">
        <v>43</v>
      </c>
      <c r="J6961" t="s">
        <v>44</v>
      </c>
      <c r="K6961" t="s">
        <v>36</v>
      </c>
      <c r="L6961" t="s">
        <v>45</v>
      </c>
      <c r="M6961">
        <v>0</v>
      </c>
      <c r="N6961">
        <v>0</v>
      </c>
      <c r="O6961">
        <v>2469</v>
      </c>
      <c r="P6961">
        <v>2468</v>
      </c>
      <c r="Q6961">
        <f>32-14</f>
        <v>18</v>
      </c>
      <c r="R6961" t="s">
        <v>1021</v>
      </c>
      <c r="S6961" t="s">
        <v>102</v>
      </c>
      <c r="AB6961" t="s">
        <v>86</v>
      </c>
      <c r="AC6961" t="s">
        <v>137</v>
      </c>
    </row>
    <row r="6962" spans="1:30" x14ac:dyDescent="0.35">
      <c r="A6962" s="7">
        <v>43283</v>
      </c>
      <c r="B6962" t="s">
        <v>30</v>
      </c>
      <c r="C6962">
        <v>801</v>
      </c>
      <c r="D6962">
        <v>3</v>
      </c>
      <c r="E6962">
        <v>1</v>
      </c>
      <c r="F6962" t="s">
        <v>1020</v>
      </c>
      <c r="G6962" t="s">
        <v>32</v>
      </c>
      <c r="H6962" t="s">
        <v>33</v>
      </c>
      <c r="I6962" t="s">
        <v>43</v>
      </c>
      <c r="J6962" t="s">
        <v>44</v>
      </c>
      <c r="K6962" t="s">
        <v>36</v>
      </c>
      <c r="L6962" t="s">
        <v>45</v>
      </c>
      <c r="M6962">
        <v>0</v>
      </c>
      <c r="N6962">
        <v>0</v>
      </c>
      <c r="O6962">
        <v>2425</v>
      </c>
      <c r="P6962">
        <v>2424</v>
      </c>
      <c r="Q6962">
        <f>37-14.25</f>
        <v>22.75</v>
      </c>
      <c r="R6962" t="s">
        <v>1021</v>
      </c>
      <c r="S6962" t="s">
        <v>102</v>
      </c>
      <c r="AB6962" t="s">
        <v>86</v>
      </c>
      <c r="AC6962" t="s">
        <v>137</v>
      </c>
    </row>
    <row r="6963" spans="1:30" x14ac:dyDescent="0.35">
      <c r="A6963" s="7">
        <v>43283</v>
      </c>
      <c r="B6963" t="s">
        <v>30</v>
      </c>
      <c r="C6963">
        <v>801</v>
      </c>
      <c r="D6963">
        <v>8</v>
      </c>
      <c r="E6963">
        <v>1</v>
      </c>
      <c r="F6963" t="s">
        <v>1020</v>
      </c>
      <c r="G6963" t="s">
        <v>32</v>
      </c>
      <c r="H6963" t="s">
        <v>33</v>
      </c>
      <c r="I6963" t="s">
        <v>43</v>
      </c>
      <c r="J6963" t="s">
        <v>44</v>
      </c>
      <c r="K6963" t="s">
        <v>36</v>
      </c>
      <c r="L6963" t="s">
        <v>37</v>
      </c>
      <c r="M6963">
        <v>0</v>
      </c>
      <c r="N6963">
        <v>0</v>
      </c>
      <c r="O6963">
        <v>1072</v>
      </c>
      <c r="P6963">
        <v>1071</v>
      </c>
      <c r="Q6963">
        <f>34-13.5</f>
        <v>20.5</v>
      </c>
      <c r="R6963" t="s">
        <v>38</v>
      </c>
      <c r="AB6963" t="s">
        <v>86</v>
      </c>
      <c r="AC6963" t="s">
        <v>137</v>
      </c>
    </row>
    <row r="6964" spans="1:30" x14ac:dyDescent="0.35">
      <c r="A6964" s="7">
        <v>43283</v>
      </c>
      <c r="B6964" t="s">
        <v>30</v>
      </c>
      <c r="C6964">
        <v>803</v>
      </c>
      <c r="D6964">
        <v>7</v>
      </c>
      <c r="E6964">
        <v>2</v>
      </c>
      <c r="F6964" t="s">
        <v>1020</v>
      </c>
      <c r="G6964" t="s">
        <v>32</v>
      </c>
      <c r="H6964" t="s">
        <v>33</v>
      </c>
      <c r="I6964" t="s">
        <v>43</v>
      </c>
      <c r="J6964" t="s">
        <v>44</v>
      </c>
      <c r="K6964" t="s">
        <v>113</v>
      </c>
      <c r="L6964" t="s">
        <v>45</v>
      </c>
      <c r="M6964">
        <v>0</v>
      </c>
      <c r="N6964">
        <v>0</v>
      </c>
      <c r="O6964">
        <v>1070</v>
      </c>
      <c r="P6964">
        <v>1069</v>
      </c>
      <c r="Q6964">
        <f>34-13.75</f>
        <v>20.25</v>
      </c>
      <c r="R6964" t="s">
        <v>46</v>
      </c>
      <c r="S6964" t="s">
        <v>39</v>
      </c>
      <c r="AB6964" t="s">
        <v>86</v>
      </c>
      <c r="AC6964" t="s">
        <v>137</v>
      </c>
      <c r="AD6964" t="s">
        <v>1180</v>
      </c>
    </row>
    <row r="6965" spans="1:30" x14ac:dyDescent="0.35">
      <c r="A6965" s="7">
        <v>43283</v>
      </c>
      <c r="B6965" t="s">
        <v>30</v>
      </c>
      <c r="C6965">
        <v>901</v>
      </c>
      <c r="D6965">
        <v>2</v>
      </c>
      <c r="E6965">
        <v>1</v>
      </c>
      <c r="F6965" t="s">
        <v>1020</v>
      </c>
      <c r="G6965" t="s">
        <v>32</v>
      </c>
      <c r="H6965" t="s">
        <v>33</v>
      </c>
      <c r="I6965" t="s">
        <v>43</v>
      </c>
      <c r="J6965" t="s">
        <v>44</v>
      </c>
      <c r="K6965" t="s">
        <v>36</v>
      </c>
      <c r="L6965" t="s">
        <v>37</v>
      </c>
      <c r="M6965">
        <v>0</v>
      </c>
      <c r="N6965">
        <v>0</v>
      </c>
      <c r="O6965">
        <v>1075</v>
      </c>
      <c r="P6965">
        <v>1074</v>
      </c>
      <c r="Q6965">
        <f>33.25-13.5</f>
        <v>19.75</v>
      </c>
      <c r="R6965" t="s">
        <v>38</v>
      </c>
      <c r="AB6965" t="s">
        <v>86</v>
      </c>
      <c r="AC6965" t="s">
        <v>137</v>
      </c>
    </row>
    <row r="6966" spans="1:30" x14ac:dyDescent="0.35">
      <c r="A6966" s="7">
        <v>43283</v>
      </c>
      <c r="B6966" t="s">
        <v>30</v>
      </c>
      <c r="C6966">
        <v>901</v>
      </c>
      <c r="D6966">
        <v>5</v>
      </c>
      <c r="E6966">
        <v>1</v>
      </c>
      <c r="F6966" t="s">
        <v>1020</v>
      </c>
      <c r="G6966" t="s">
        <v>32</v>
      </c>
      <c r="H6966" t="s">
        <v>33</v>
      </c>
      <c r="I6966" t="s">
        <v>43</v>
      </c>
      <c r="J6966" t="s">
        <v>35</v>
      </c>
      <c r="K6966" t="s">
        <v>36</v>
      </c>
      <c r="L6966" t="s">
        <v>45</v>
      </c>
      <c r="M6966">
        <v>0</v>
      </c>
      <c r="N6966">
        <v>1</v>
      </c>
      <c r="O6966">
        <v>1094</v>
      </c>
      <c r="P6966">
        <v>1093</v>
      </c>
      <c r="Q6966">
        <f>35-13</f>
        <v>22</v>
      </c>
      <c r="R6966" t="s">
        <v>1021</v>
      </c>
      <c r="S6966" t="s">
        <v>102</v>
      </c>
      <c r="AB6966" t="s">
        <v>86</v>
      </c>
      <c r="AC6966" t="s">
        <v>137</v>
      </c>
    </row>
    <row r="6967" spans="1:30" x14ac:dyDescent="0.35">
      <c r="A6967" s="7">
        <v>43283</v>
      </c>
      <c r="B6967" t="s">
        <v>30</v>
      </c>
      <c r="C6967">
        <v>501</v>
      </c>
      <c r="D6967">
        <v>4</v>
      </c>
      <c r="E6967">
        <v>1</v>
      </c>
      <c r="F6967" t="s">
        <v>1139</v>
      </c>
      <c r="G6967" t="s">
        <v>32</v>
      </c>
      <c r="H6967" t="s">
        <v>33</v>
      </c>
      <c r="I6967" t="s">
        <v>34</v>
      </c>
      <c r="J6967" t="s">
        <v>44</v>
      </c>
      <c r="K6967" t="s">
        <v>36</v>
      </c>
      <c r="L6967" t="s">
        <v>45</v>
      </c>
      <c r="M6967">
        <v>0</v>
      </c>
      <c r="N6967">
        <v>0</v>
      </c>
      <c r="P6967">
        <v>39189</v>
      </c>
      <c r="Q6967">
        <f>160-80</f>
        <v>80</v>
      </c>
      <c r="R6967" t="s">
        <v>46</v>
      </c>
      <c r="S6967" t="s">
        <v>39</v>
      </c>
      <c r="AB6967" t="s">
        <v>47</v>
      </c>
      <c r="AC6967" t="s">
        <v>87</v>
      </c>
    </row>
    <row r="6968" spans="1:30" x14ac:dyDescent="0.35">
      <c r="A6968" s="7">
        <v>43283</v>
      </c>
      <c r="B6968" t="s">
        <v>30</v>
      </c>
      <c r="C6968">
        <v>801</v>
      </c>
      <c r="D6968">
        <v>6</v>
      </c>
      <c r="E6968">
        <v>1</v>
      </c>
      <c r="F6968" t="s">
        <v>1020</v>
      </c>
      <c r="G6968" t="s">
        <v>32</v>
      </c>
      <c r="H6968" t="s">
        <v>33</v>
      </c>
      <c r="I6968" t="s">
        <v>34</v>
      </c>
      <c r="J6968" t="s">
        <v>44</v>
      </c>
      <c r="K6968" t="s">
        <v>36</v>
      </c>
      <c r="L6968" t="s">
        <v>37</v>
      </c>
      <c r="M6968">
        <v>0</v>
      </c>
      <c r="N6968">
        <v>1</v>
      </c>
      <c r="O6968">
        <v>1065</v>
      </c>
      <c r="P6968">
        <v>1088</v>
      </c>
      <c r="Q6968">
        <f>232-126</f>
        <v>106</v>
      </c>
      <c r="R6968" t="s">
        <v>64</v>
      </c>
      <c r="AB6968" t="s">
        <v>86</v>
      </c>
      <c r="AC6968" t="s">
        <v>137</v>
      </c>
      <c r="AD6968" t="s">
        <v>1181</v>
      </c>
    </row>
    <row r="6969" spans="1:30" x14ac:dyDescent="0.35">
      <c r="A6969" s="7">
        <v>43283</v>
      </c>
      <c r="B6969" t="s">
        <v>30</v>
      </c>
      <c r="C6969">
        <v>801</v>
      </c>
      <c r="D6969">
        <v>9</v>
      </c>
      <c r="E6969">
        <v>1</v>
      </c>
      <c r="F6969" t="s">
        <v>1020</v>
      </c>
      <c r="G6969" t="s">
        <v>32</v>
      </c>
      <c r="H6969" t="s">
        <v>33</v>
      </c>
      <c r="I6969" t="s">
        <v>34</v>
      </c>
      <c r="J6969" t="s">
        <v>35</v>
      </c>
      <c r="K6969" t="s">
        <v>36</v>
      </c>
      <c r="L6969" t="s">
        <v>45</v>
      </c>
      <c r="M6969">
        <v>0</v>
      </c>
      <c r="N6969">
        <v>1</v>
      </c>
      <c r="O6969">
        <v>1089</v>
      </c>
      <c r="Q6969">
        <f>209-130</f>
        <v>79</v>
      </c>
      <c r="R6969" t="s">
        <v>1021</v>
      </c>
      <c r="S6969" t="s">
        <v>102</v>
      </c>
      <c r="AB6969" t="s">
        <v>86</v>
      </c>
      <c r="AC6969" t="s">
        <v>137</v>
      </c>
      <c r="AD6969" t="s">
        <v>1023</v>
      </c>
    </row>
    <row r="6970" spans="1:30" x14ac:dyDescent="0.35">
      <c r="A6970" s="7">
        <v>43283</v>
      </c>
      <c r="B6970" t="s">
        <v>30</v>
      </c>
      <c r="C6970">
        <v>801</v>
      </c>
      <c r="D6970">
        <v>10</v>
      </c>
      <c r="E6970">
        <v>1</v>
      </c>
      <c r="F6970" t="s">
        <v>1020</v>
      </c>
      <c r="G6970" t="s">
        <v>32</v>
      </c>
      <c r="H6970" t="s">
        <v>33</v>
      </c>
      <c r="I6970" t="s">
        <v>34</v>
      </c>
      <c r="J6970" t="s">
        <v>44</v>
      </c>
      <c r="K6970" t="s">
        <v>36</v>
      </c>
      <c r="L6970" t="s">
        <v>37</v>
      </c>
      <c r="M6970">
        <v>0</v>
      </c>
      <c r="N6970">
        <v>0</v>
      </c>
      <c r="O6970">
        <v>2452</v>
      </c>
      <c r="Q6970">
        <f>210-126</f>
        <v>84</v>
      </c>
      <c r="R6970" t="s">
        <v>64</v>
      </c>
      <c r="AB6970" t="s">
        <v>86</v>
      </c>
      <c r="AC6970" t="s">
        <v>137</v>
      </c>
    </row>
    <row r="6971" spans="1:30" x14ac:dyDescent="0.35">
      <c r="A6971" s="7">
        <v>43283</v>
      </c>
      <c r="B6971" t="s">
        <v>30</v>
      </c>
      <c r="C6971">
        <v>803</v>
      </c>
      <c r="D6971">
        <v>5</v>
      </c>
      <c r="E6971">
        <v>1</v>
      </c>
      <c r="F6971" t="s">
        <v>1020</v>
      </c>
      <c r="G6971" t="s">
        <v>32</v>
      </c>
      <c r="H6971" t="s">
        <v>33</v>
      </c>
      <c r="I6971" t="s">
        <v>34</v>
      </c>
      <c r="J6971" t="s">
        <v>35</v>
      </c>
      <c r="K6971" t="s">
        <v>88</v>
      </c>
      <c r="L6971" t="s">
        <v>37</v>
      </c>
      <c r="M6971">
        <v>0</v>
      </c>
      <c r="N6971">
        <v>1</v>
      </c>
      <c r="O6971">
        <v>1090</v>
      </c>
      <c r="Q6971">
        <f>205-131</f>
        <v>74</v>
      </c>
      <c r="R6971" t="s">
        <v>64</v>
      </c>
      <c r="AB6971" t="s">
        <v>86</v>
      </c>
      <c r="AC6971" t="s">
        <v>137</v>
      </c>
    </row>
    <row r="6972" spans="1:30" x14ac:dyDescent="0.35">
      <c r="A6972" s="7">
        <v>43283</v>
      </c>
      <c r="B6972" t="s">
        <v>30</v>
      </c>
      <c r="C6972">
        <v>803</v>
      </c>
      <c r="D6972">
        <v>5</v>
      </c>
      <c r="E6972">
        <v>2</v>
      </c>
      <c r="F6972" t="s">
        <v>1020</v>
      </c>
      <c r="G6972" t="s">
        <v>32</v>
      </c>
      <c r="H6972" t="s">
        <v>33</v>
      </c>
      <c r="I6972" t="s">
        <v>34</v>
      </c>
      <c r="J6972" t="s">
        <v>35</v>
      </c>
      <c r="K6972" t="s">
        <v>36</v>
      </c>
      <c r="L6972" t="s">
        <v>45</v>
      </c>
      <c r="M6972">
        <v>0</v>
      </c>
      <c r="N6972">
        <v>1</v>
      </c>
      <c r="O6972">
        <v>1091</v>
      </c>
      <c r="Q6972">
        <f>210-131</f>
        <v>79</v>
      </c>
      <c r="R6972" t="s">
        <v>46</v>
      </c>
      <c r="S6972" t="s">
        <v>39</v>
      </c>
      <c r="AB6972" t="s">
        <v>86</v>
      </c>
      <c r="AC6972" t="s">
        <v>137</v>
      </c>
    </row>
    <row r="6973" spans="1:30" x14ac:dyDescent="0.35">
      <c r="A6973" s="7">
        <v>43283</v>
      </c>
      <c r="B6973" t="s">
        <v>30</v>
      </c>
      <c r="C6973">
        <v>303</v>
      </c>
      <c r="D6973">
        <v>10</v>
      </c>
      <c r="E6973">
        <v>1</v>
      </c>
      <c r="F6973" t="s">
        <v>1139</v>
      </c>
      <c r="G6973" t="s">
        <v>32</v>
      </c>
      <c r="H6973" t="s">
        <v>33</v>
      </c>
      <c r="I6973" t="s">
        <v>58</v>
      </c>
      <c r="J6973" t="s">
        <v>44</v>
      </c>
      <c r="K6973" t="s">
        <v>36</v>
      </c>
      <c r="L6973" t="s">
        <v>45</v>
      </c>
      <c r="M6973">
        <v>0</v>
      </c>
      <c r="N6973">
        <v>0</v>
      </c>
      <c r="O6973">
        <v>1114</v>
      </c>
      <c r="Q6973">
        <f>36-14</f>
        <v>22</v>
      </c>
      <c r="R6973" t="s">
        <v>46</v>
      </c>
      <c r="S6973" t="s">
        <v>39</v>
      </c>
      <c r="AB6973" t="s">
        <v>47</v>
      </c>
      <c r="AC6973" t="s">
        <v>87</v>
      </c>
    </row>
    <row r="6974" spans="1:30" x14ac:dyDescent="0.35">
      <c r="A6974" s="7">
        <v>43283</v>
      </c>
      <c r="B6974" t="s">
        <v>30</v>
      </c>
      <c r="C6974">
        <v>503</v>
      </c>
      <c r="D6974">
        <v>4</v>
      </c>
      <c r="E6974">
        <v>1</v>
      </c>
      <c r="F6974" t="s">
        <v>1139</v>
      </c>
      <c r="G6974" t="s">
        <v>32</v>
      </c>
      <c r="H6974" t="s">
        <v>33</v>
      </c>
      <c r="I6974" t="s">
        <v>58</v>
      </c>
      <c r="J6974" t="s">
        <v>44</v>
      </c>
      <c r="K6974" t="s">
        <v>36</v>
      </c>
      <c r="L6974" t="s">
        <v>45</v>
      </c>
      <c r="M6974">
        <v>0</v>
      </c>
      <c r="N6974">
        <v>0</v>
      </c>
      <c r="P6974">
        <v>2908</v>
      </c>
      <c r="Q6974">
        <f>42.5-14</f>
        <v>28.5</v>
      </c>
      <c r="R6974" t="s">
        <v>1021</v>
      </c>
      <c r="S6974" t="s">
        <v>102</v>
      </c>
      <c r="AB6974" t="s">
        <v>47</v>
      </c>
      <c r="AC6974" t="s">
        <v>87</v>
      </c>
    </row>
    <row r="6975" spans="1:30" x14ac:dyDescent="0.35">
      <c r="A6975" s="7">
        <v>43283</v>
      </c>
      <c r="B6975" t="s">
        <v>30</v>
      </c>
      <c r="C6975">
        <v>503</v>
      </c>
      <c r="D6975">
        <v>8</v>
      </c>
      <c r="E6975">
        <v>1</v>
      </c>
      <c r="F6975" t="s">
        <v>1139</v>
      </c>
      <c r="G6975" t="s">
        <v>32</v>
      </c>
      <c r="H6975" t="s">
        <v>33</v>
      </c>
      <c r="I6975" t="s">
        <v>65</v>
      </c>
      <c r="J6975" t="s">
        <v>92</v>
      </c>
      <c r="AB6975" t="s">
        <v>47</v>
      </c>
      <c r="AC6975" t="s">
        <v>87</v>
      </c>
      <c r="AD6975" t="s">
        <v>1182</v>
      </c>
    </row>
    <row r="6976" spans="1:30" x14ac:dyDescent="0.35">
      <c r="A6976" s="7">
        <v>43283</v>
      </c>
      <c r="B6976" t="s">
        <v>30</v>
      </c>
      <c r="C6976">
        <v>703</v>
      </c>
      <c r="D6976">
        <v>8</v>
      </c>
      <c r="E6976">
        <v>1</v>
      </c>
      <c r="F6976" t="s">
        <v>1020</v>
      </c>
      <c r="G6976" t="s">
        <v>32</v>
      </c>
      <c r="H6976" t="s">
        <v>33</v>
      </c>
      <c r="I6976" t="s">
        <v>65</v>
      </c>
      <c r="J6976" t="s">
        <v>44</v>
      </c>
      <c r="K6976" t="s">
        <v>36</v>
      </c>
      <c r="L6976" t="s">
        <v>45</v>
      </c>
      <c r="M6976">
        <v>0</v>
      </c>
      <c r="N6976">
        <v>0</v>
      </c>
      <c r="O6976">
        <v>2467</v>
      </c>
      <c r="Q6976">
        <f>275-127</f>
        <v>148</v>
      </c>
      <c r="R6976" t="s">
        <v>79</v>
      </c>
      <c r="S6976" t="s">
        <v>39</v>
      </c>
      <c r="AB6976" t="s">
        <v>86</v>
      </c>
      <c r="AC6976" t="s">
        <v>137</v>
      </c>
    </row>
    <row r="6977" spans="1:29" x14ac:dyDescent="0.35">
      <c r="A6977" s="7">
        <v>43283</v>
      </c>
      <c r="B6977" t="s">
        <v>30</v>
      </c>
      <c r="C6977">
        <v>901</v>
      </c>
      <c r="D6977">
        <v>1</v>
      </c>
      <c r="E6977">
        <v>1</v>
      </c>
      <c r="F6977" t="s">
        <v>1020</v>
      </c>
      <c r="G6977" t="s">
        <v>32</v>
      </c>
      <c r="H6977" t="s">
        <v>33</v>
      </c>
      <c r="I6977" t="s">
        <v>65</v>
      </c>
      <c r="J6977" t="s">
        <v>35</v>
      </c>
      <c r="K6977" t="s">
        <v>36</v>
      </c>
      <c r="L6977" t="s">
        <v>37</v>
      </c>
      <c r="M6977">
        <v>0</v>
      </c>
      <c r="N6977">
        <v>1</v>
      </c>
      <c r="O6977">
        <v>1092</v>
      </c>
      <c r="Q6977">
        <f>273-128</f>
        <v>145</v>
      </c>
      <c r="R6977" t="s">
        <v>64</v>
      </c>
      <c r="AB6977" t="s">
        <v>86</v>
      </c>
      <c r="AC6977" t="s">
        <v>137</v>
      </c>
    </row>
    <row r="6978" spans="1:29" x14ac:dyDescent="0.35">
      <c r="A6978" s="7">
        <v>43283</v>
      </c>
      <c r="B6978" t="s">
        <v>30</v>
      </c>
      <c r="C6978">
        <v>901</v>
      </c>
      <c r="D6978">
        <v>3</v>
      </c>
      <c r="E6978">
        <v>1</v>
      </c>
      <c r="F6978" t="s">
        <v>1020</v>
      </c>
      <c r="G6978" t="s">
        <v>32</v>
      </c>
      <c r="H6978" t="s">
        <v>33</v>
      </c>
      <c r="I6978" t="s">
        <v>65</v>
      </c>
      <c r="J6978" t="s">
        <v>56</v>
      </c>
      <c r="AB6978" t="s">
        <v>86</v>
      </c>
      <c r="AC6978" t="s">
        <v>137</v>
      </c>
    </row>
    <row r="6979" spans="1:29" x14ac:dyDescent="0.35">
      <c r="A6979" s="7">
        <v>43283</v>
      </c>
      <c r="B6979" t="s">
        <v>30</v>
      </c>
      <c r="C6979">
        <v>901</v>
      </c>
      <c r="D6979">
        <v>7</v>
      </c>
      <c r="E6979">
        <v>1</v>
      </c>
      <c r="F6979" t="s">
        <v>1020</v>
      </c>
      <c r="G6979" t="s">
        <v>32</v>
      </c>
      <c r="H6979" t="s">
        <v>33</v>
      </c>
      <c r="I6979" t="s">
        <v>65</v>
      </c>
      <c r="J6979" t="s">
        <v>56</v>
      </c>
      <c r="AB6979" t="s">
        <v>86</v>
      </c>
      <c r="AC6979" t="s">
        <v>137</v>
      </c>
    </row>
    <row r="6980" spans="1:29" x14ac:dyDescent="0.35">
      <c r="A6980" s="7">
        <v>43283</v>
      </c>
      <c r="B6980" t="s">
        <v>30</v>
      </c>
      <c r="C6980" s="6">
        <v>401</v>
      </c>
      <c r="D6980">
        <v>3</v>
      </c>
      <c r="E6980">
        <v>1</v>
      </c>
      <c r="F6980" t="s">
        <v>1139</v>
      </c>
      <c r="G6980" t="s">
        <v>32</v>
      </c>
      <c r="H6980" t="s">
        <v>33</v>
      </c>
      <c r="I6980" t="s">
        <v>1029</v>
      </c>
      <c r="J6980" t="s">
        <v>56</v>
      </c>
      <c r="AB6980" t="s">
        <v>47</v>
      </c>
      <c r="AC6980" t="s">
        <v>87</v>
      </c>
    </row>
    <row r="6981" spans="1:29" x14ac:dyDescent="0.35">
      <c r="A6981" s="7">
        <v>43283</v>
      </c>
      <c r="B6981" t="s">
        <v>30</v>
      </c>
      <c r="C6981">
        <v>501</v>
      </c>
      <c r="D6981">
        <v>9</v>
      </c>
      <c r="E6981">
        <v>1</v>
      </c>
      <c r="F6981" t="s">
        <v>1139</v>
      </c>
      <c r="G6981" t="s">
        <v>32</v>
      </c>
      <c r="H6981" t="s">
        <v>33</v>
      </c>
      <c r="I6981" t="s">
        <v>1029</v>
      </c>
      <c r="J6981" t="s">
        <v>56</v>
      </c>
      <c r="AB6981" t="s">
        <v>47</v>
      </c>
      <c r="AC6981" t="s">
        <v>87</v>
      </c>
    </row>
    <row r="6982" spans="1:29" x14ac:dyDescent="0.35">
      <c r="A6982" s="7">
        <v>43283</v>
      </c>
      <c r="B6982" t="s">
        <v>30</v>
      </c>
      <c r="C6982">
        <v>303</v>
      </c>
      <c r="D6982">
        <v>4</v>
      </c>
      <c r="E6982">
        <v>1</v>
      </c>
      <c r="F6982" t="s">
        <v>1139</v>
      </c>
      <c r="G6982" t="s">
        <v>32</v>
      </c>
      <c r="H6982" t="s">
        <v>33</v>
      </c>
      <c r="I6982" t="s">
        <v>1183</v>
      </c>
      <c r="J6982" t="s">
        <v>56</v>
      </c>
      <c r="AB6982" t="s">
        <v>47</v>
      </c>
      <c r="AC6982" t="s">
        <v>87</v>
      </c>
    </row>
    <row r="6983" spans="1:29" x14ac:dyDescent="0.35">
      <c r="A6983" s="7">
        <v>43283</v>
      </c>
      <c r="B6983" t="s">
        <v>30</v>
      </c>
      <c r="C6983">
        <v>303</v>
      </c>
      <c r="D6983">
        <v>7</v>
      </c>
      <c r="E6983">
        <v>1</v>
      </c>
      <c r="F6983" t="s">
        <v>1139</v>
      </c>
      <c r="G6983" t="s">
        <v>32</v>
      </c>
      <c r="H6983" t="s">
        <v>33</v>
      </c>
      <c r="I6983" t="s">
        <v>1183</v>
      </c>
      <c r="J6983" t="s">
        <v>56</v>
      </c>
      <c r="AB6983" t="s">
        <v>47</v>
      </c>
      <c r="AC6983" t="s">
        <v>87</v>
      </c>
    </row>
    <row r="6984" spans="1:29" x14ac:dyDescent="0.35">
      <c r="A6984" s="7">
        <v>43283</v>
      </c>
      <c r="B6984" t="s">
        <v>30</v>
      </c>
      <c r="C6984">
        <v>503</v>
      </c>
      <c r="D6984">
        <v>3</v>
      </c>
      <c r="E6984">
        <v>1</v>
      </c>
      <c r="F6984" t="s">
        <v>1139</v>
      </c>
      <c r="G6984" t="s">
        <v>32</v>
      </c>
      <c r="H6984" t="s">
        <v>33</v>
      </c>
      <c r="I6984" t="s">
        <v>1183</v>
      </c>
      <c r="J6984" t="s">
        <v>56</v>
      </c>
      <c r="AB6984" t="s">
        <v>47</v>
      </c>
      <c r="AC6984" t="s">
        <v>87</v>
      </c>
    </row>
    <row r="6985" spans="1:29" x14ac:dyDescent="0.35">
      <c r="A6985" s="7">
        <v>43283</v>
      </c>
      <c r="B6985" t="s">
        <v>30</v>
      </c>
      <c r="C6985">
        <v>503</v>
      </c>
      <c r="D6985">
        <v>5</v>
      </c>
      <c r="E6985">
        <v>1</v>
      </c>
      <c r="F6985" t="s">
        <v>1139</v>
      </c>
      <c r="G6985" t="s">
        <v>32</v>
      </c>
      <c r="H6985" t="s">
        <v>33</v>
      </c>
      <c r="I6985" t="s">
        <v>1183</v>
      </c>
      <c r="J6985" t="s">
        <v>56</v>
      </c>
      <c r="AB6985" t="s">
        <v>47</v>
      </c>
      <c r="AC6985" t="s">
        <v>87</v>
      </c>
    </row>
    <row r="6986" spans="1:29" x14ac:dyDescent="0.35">
      <c r="A6986" s="7">
        <v>43283</v>
      </c>
      <c r="B6986" t="s">
        <v>30</v>
      </c>
      <c r="C6986">
        <v>503</v>
      </c>
      <c r="D6986">
        <v>7</v>
      </c>
      <c r="E6986">
        <v>1</v>
      </c>
      <c r="F6986" t="s">
        <v>1139</v>
      </c>
      <c r="G6986" t="s">
        <v>32</v>
      </c>
      <c r="H6986" t="s">
        <v>33</v>
      </c>
      <c r="I6986" t="s">
        <v>1183</v>
      </c>
      <c r="J6986" t="s">
        <v>56</v>
      </c>
      <c r="AB6986" t="s">
        <v>47</v>
      </c>
      <c r="AC6986" t="s">
        <v>87</v>
      </c>
    </row>
    <row r="6987" spans="1:29" x14ac:dyDescent="0.35">
      <c r="A6987" s="7">
        <v>43283</v>
      </c>
      <c r="B6987" t="s">
        <v>30</v>
      </c>
      <c r="C6987">
        <v>303</v>
      </c>
      <c r="D6987">
        <v>2</v>
      </c>
      <c r="E6987">
        <v>1</v>
      </c>
      <c r="F6987" t="s">
        <v>1139</v>
      </c>
      <c r="G6987" t="s">
        <v>32</v>
      </c>
      <c r="H6987" t="s">
        <v>33</v>
      </c>
      <c r="I6987" t="s">
        <v>59</v>
      </c>
      <c r="AB6987" t="s">
        <v>47</v>
      </c>
      <c r="AC6987" t="s">
        <v>87</v>
      </c>
    </row>
    <row r="6988" spans="1:29" x14ac:dyDescent="0.35">
      <c r="A6988" s="7">
        <v>43283</v>
      </c>
      <c r="B6988" t="s">
        <v>30</v>
      </c>
      <c r="C6988">
        <v>303</v>
      </c>
      <c r="D6988">
        <v>2</v>
      </c>
      <c r="E6988">
        <v>2</v>
      </c>
      <c r="F6988" t="s">
        <v>1139</v>
      </c>
      <c r="G6988" t="s">
        <v>32</v>
      </c>
      <c r="H6988" t="s">
        <v>33</v>
      </c>
      <c r="I6988" t="s">
        <v>59</v>
      </c>
      <c r="AB6988" t="s">
        <v>47</v>
      </c>
      <c r="AC6988" t="s">
        <v>87</v>
      </c>
    </row>
    <row r="6989" spans="1:29" x14ac:dyDescent="0.35">
      <c r="A6989" s="7">
        <v>43283</v>
      </c>
      <c r="B6989" t="s">
        <v>30</v>
      </c>
      <c r="C6989">
        <v>303</v>
      </c>
      <c r="D6989">
        <v>9</v>
      </c>
      <c r="E6989">
        <v>1</v>
      </c>
      <c r="F6989" t="s">
        <v>1139</v>
      </c>
      <c r="G6989" t="s">
        <v>32</v>
      </c>
      <c r="H6989" t="s">
        <v>33</v>
      </c>
      <c r="I6989" t="s">
        <v>59</v>
      </c>
      <c r="AB6989" t="s">
        <v>47</v>
      </c>
      <c r="AC6989" t="s">
        <v>87</v>
      </c>
    </row>
    <row r="6990" spans="1:29" x14ac:dyDescent="0.35">
      <c r="A6990" s="7">
        <v>43283</v>
      </c>
      <c r="B6990" t="s">
        <v>30</v>
      </c>
      <c r="C6990">
        <v>303</v>
      </c>
      <c r="D6990">
        <v>10</v>
      </c>
      <c r="E6990">
        <v>2</v>
      </c>
      <c r="F6990" t="s">
        <v>1139</v>
      </c>
      <c r="G6990" t="s">
        <v>32</v>
      </c>
      <c r="H6990" t="s">
        <v>33</v>
      </c>
      <c r="I6990" t="s">
        <v>59</v>
      </c>
      <c r="AB6990" t="s">
        <v>47</v>
      </c>
      <c r="AC6990" t="s">
        <v>87</v>
      </c>
    </row>
    <row r="6991" spans="1:29" x14ac:dyDescent="0.35">
      <c r="A6991" s="7">
        <v>43283</v>
      </c>
      <c r="B6991" t="s">
        <v>30</v>
      </c>
      <c r="C6991">
        <v>501</v>
      </c>
      <c r="D6991">
        <v>5</v>
      </c>
      <c r="E6991">
        <v>1</v>
      </c>
      <c r="F6991" t="s">
        <v>1139</v>
      </c>
      <c r="G6991" t="s">
        <v>32</v>
      </c>
      <c r="H6991" t="s">
        <v>33</v>
      </c>
      <c r="I6991" t="s">
        <v>59</v>
      </c>
      <c r="AB6991" t="s">
        <v>47</v>
      </c>
      <c r="AC6991" t="s">
        <v>87</v>
      </c>
    </row>
    <row r="6992" spans="1:29" x14ac:dyDescent="0.35">
      <c r="A6992" s="7">
        <v>43283</v>
      </c>
      <c r="B6992" t="s">
        <v>30</v>
      </c>
      <c r="C6992">
        <v>501</v>
      </c>
      <c r="D6992">
        <v>6</v>
      </c>
      <c r="E6992">
        <v>1</v>
      </c>
      <c r="F6992" t="s">
        <v>1139</v>
      </c>
      <c r="G6992" t="s">
        <v>32</v>
      </c>
      <c r="H6992" t="s">
        <v>33</v>
      </c>
      <c r="I6992" t="s">
        <v>59</v>
      </c>
      <c r="AB6992" t="s">
        <v>47</v>
      </c>
      <c r="AC6992" t="s">
        <v>87</v>
      </c>
    </row>
    <row r="6993" spans="1:30" x14ac:dyDescent="0.35">
      <c r="A6993" s="7">
        <v>43283</v>
      </c>
      <c r="B6993" t="s">
        <v>30</v>
      </c>
      <c r="C6993">
        <v>501</v>
      </c>
      <c r="D6993">
        <v>7</v>
      </c>
      <c r="E6993">
        <v>1</v>
      </c>
      <c r="F6993" t="s">
        <v>1139</v>
      </c>
      <c r="G6993" t="s">
        <v>32</v>
      </c>
      <c r="H6993" t="s">
        <v>33</v>
      </c>
      <c r="I6993" t="s">
        <v>59</v>
      </c>
      <c r="AB6993" t="s">
        <v>47</v>
      </c>
      <c r="AC6993" t="s">
        <v>87</v>
      </c>
    </row>
    <row r="6994" spans="1:30" x14ac:dyDescent="0.35">
      <c r="A6994" s="7">
        <v>43283</v>
      </c>
      <c r="B6994" t="s">
        <v>30</v>
      </c>
      <c r="C6994">
        <v>701</v>
      </c>
      <c r="D6994">
        <v>8</v>
      </c>
      <c r="E6994">
        <v>1</v>
      </c>
      <c r="F6994" t="s">
        <v>1020</v>
      </c>
      <c r="G6994" t="s">
        <v>32</v>
      </c>
      <c r="H6994" t="s">
        <v>33</v>
      </c>
      <c r="I6994" t="s">
        <v>59</v>
      </c>
      <c r="AB6994" t="s">
        <v>86</v>
      </c>
      <c r="AC6994" t="s">
        <v>137</v>
      </c>
    </row>
    <row r="6995" spans="1:30" x14ac:dyDescent="0.35">
      <c r="A6995" s="7">
        <v>43283</v>
      </c>
      <c r="B6995" t="s">
        <v>30</v>
      </c>
      <c r="C6995">
        <v>701</v>
      </c>
      <c r="D6995">
        <v>8</v>
      </c>
      <c r="E6995">
        <v>2</v>
      </c>
      <c r="F6995" t="s">
        <v>1020</v>
      </c>
      <c r="G6995" t="s">
        <v>32</v>
      </c>
      <c r="H6995" t="s">
        <v>33</v>
      </c>
      <c r="I6995" t="s">
        <v>59</v>
      </c>
      <c r="AB6995" t="s">
        <v>86</v>
      </c>
      <c r="AC6995" t="s">
        <v>137</v>
      </c>
    </row>
    <row r="6996" spans="1:30" x14ac:dyDescent="0.35">
      <c r="A6996" s="7">
        <v>43283</v>
      </c>
      <c r="B6996" t="s">
        <v>30</v>
      </c>
      <c r="C6996">
        <v>703</v>
      </c>
      <c r="D6996">
        <v>8</v>
      </c>
      <c r="E6996">
        <v>2</v>
      </c>
      <c r="F6996" t="s">
        <v>1020</v>
      </c>
      <c r="G6996" t="s">
        <v>32</v>
      </c>
      <c r="H6996" t="s">
        <v>33</v>
      </c>
      <c r="I6996" t="s">
        <v>59</v>
      </c>
      <c r="AB6996" t="s">
        <v>86</v>
      </c>
      <c r="AC6996" t="s">
        <v>137</v>
      </c>
    </row>
    <row r="6997" spans="1:30" x14ac:dyDescent="0.35">
      <c r="A6997" s="7">
        <v>43283</v>
      </c>
      <c r="B6997" t="s">
        <v>30</v>
      </c>
      <c r="C6997">
        <v>703</v>
      </c>
      <c r="D6997">
        <v>10</v>
      </c>
      <c r="E6997">
        <v>1</v>
      </c>
      <c r="F6997" t="s">
        <v>1020</v>
      </c>
      <c r="G6997" t="s">
        <v>32</v>
      </c>
      <c r="H6997" t="s">
        <v>33</v>
      </c>
      <c r="I6997" t="s">
        <v>59</v>
      </c>
      <c r="AB6997" t="s">
        <v>86</v>
      </c>
      <c r="AC6997" t="s">
        <v>137</v>
      </c>
    </row>
    <row r="6998" spans="1:30" x14ac:dyDescent="0.35">
      <c r="A6998" s="7">
        <v>43283</v>
      </c>
      <c r="B6998" t="s">
        <v>30</v>
      </c>
      <c r="C6998">
        <v>801</v>
      </c>
      <c r="D6998">
        <v>5</v>
      </c>
      <c r="E6998">
        <v>1</v>
      </c>
      <c r="F6998" t="s">
        <v>1020</v>
      </c>
      <c r="G6998" t="s">
        <v>32</v>
      </c>
      <c r="H6998" t="s">
        <v>33</v>
      </c>
      <c r="I6998" t="s">
        <v>59</v>
      </c>
      <c r="AB6998" t="s">
        <v>86</v>
      </c>
      <c r="AC6998" t="s">
        <v>137</v>
      </c>
    </row>
    <row r="6999" spans="1:30" x14ac:dyDescent="0.35">
      <c r="A6999" s="7">
        <v>43283</v>
      </c>
      <c r="B6999" t="s">
        <v>30</v>
      </c>
      <c r="C6999">
        <v>803</v>
      </c>
      <c r="D6999">
        <v>7</v>
      </c>
      <c r="E6999">
        <v>1</v>
      </c>
      <c r="F6999" t="s">
        <v>1020</v>
      </c>
      <c r="G6999" t="s">
        <v>32</v>
      </c>
      <c r="H6999" t="s">
        <v>33</v>
      </c>
      <c r="I6999" t="s">
        <v>59</v>
      </c>
      <c r="AB6999" t="s">
        <v>86</v>
      </c>
      <c r="AC6999" t="s">
        <v>137</v>
      </c>
    </row>
    <row r="7000" spans="1:30" x14ac:dyDescent="0.35">
      <c r="A7000" s="7">
        <v>43283</v>
      </c>
      <c r="B7000" t="s">
        <v>30</v>
      </c>
      <c r="C7000">
        <v>803</v>
      </c>
      <c r="D7000">
        <v>8</v>
      </c>
      <c r="E7000">
        <v>1</v>
      </c>
      <c r="F7000" t="s">
        <v>1020</v>
      </c>
      <c r="G7000" t="s">
        <v>32</v>
      </c>
      <c r="H7000" t="s">
        <v>33</v>
      </c>
      <c r="I7000" t="s">
        <v>59</v>
      </c>
      <c r="AB7000" t="s">
        <v>86</v>
      </c>
      <c r="AC7000" t="s">
        <v>137</v>
      </c>
    </row>
    <row r="7001" spans="1:30" x14ac:dyDescent="0.35">
      <c r="A7001" s="7">
        <v>43283</v>
      </c>
      <c r="B7001" t="s">
        <v>30</v>
      </c>
      <c r="C7001">
        <v>803</v>
      </c>
      <c r="D7001">
        <v>8</v>
      </c>
      <c r="E7001">
        <v>2</v>
      </c>
      <c r="F7001" t="s">
        <v>1020</v>
      </c>
      <c r="G7001" t="s">
        <v>32</v>
      </c>
      <c r="H7001" t="s">
        <v>33</v>
      </c>
      <c r="I7001" t="s">
        <v>59</v>
      </c>
      <c r="AB7001" t="s">
        <v>86</v>
      </c>
      <c r="AC7001" t="s">
        <v>137</v>
      </c>
    </row>
    <row r="7002" spans="1:30" x14ac:dyDescent="0.35">
      <c r="A7002" s="7">
        <v>43283</v>
      </c>
      <c r="B7002" t="s">
        <v>30</v>
      </c>
      <c r="C7002">
        <v>901</v>
      </c>
      <c r="D7002">
        <v>8</v>
      </c>
      <c r="E7002">
        <v>1</v>
      </c>
      <c r="F7002" t="s">
        <v>1020</v>
      </c>
      <c r="G7002" t="s">
        <v>32</v>
      </c>
      <c r="H7002" t="s">
        <v>33</v>
      </c>
      <c r="I7002" t="s">
        <v>59</v>
      </c>
      <c r="AB7002" t="s">
        <v>86</v>
      </c>
      <c r="AC7002" t="s">
        <v>137</v>
      </c>
    </row>
    <row r="7003" spans="1:30" x14ac:dyDescent="0.35">
      <c r="A7003" s="7">
        <v>43283</v>
      </c>
      <c r="B7003" t="s">
        <v>30</v>
      </c>
      <c r="C7003">
        <v>701</v>
      </c>
      <c r="D7003">
        <v>4</v>
      </c>
      <c r="E7003">
        <v>1</v>
      </c>
      <c r="F7003" t="s">
        <v>1020</v>
      </c>
      <c r="G7003" t="s">
        <v>32</v>
      </c>
      <c r="H7003" t="s">
        <v>33</v>
      </c>
      <c r="I7003" t="s">
        <v>94</v>
      </c>
      <c r="J7003" t="s">
        <v>35</v>
      </c>
      <c r="K7003" t="s">
        <v>36</v>
      </c>
      <c r="L7003" t="s">
        <v>37</v>
      </c>
      <c r="M7003">
        <v>0</v>
      </c>
      <c r="N7003">
        <v>1</v>
      </c>
      <c r="O7003">
        <v>2402</v>
      </c>
      <c r="Q7003">
        <f>31.5-13.5</f>
        <v>18</v>
      </c>
      <c r="R7003" t="s">
        <v>38</v>
      </c>
      <c r="AB7003" t="s">
        <v>86</v>
      </c>
      <c r="AC7003" t="s">
        <v>137</v>
      </c>
    </row>
    <row r="7004" spans="1:30" x14ac:dyDescent="0.35">
      <c r="A7004" s="7">
        <v>43283</v>
      </c>
      <c r="B7004" t="s">
        <v>30</v>
      </c>
      <c r="C7004">
        <v>701</v>
      </c>
      <c r="D7004">
        <v>10</v>
      </c>
      <c r="E7004">
        <v>1</v>
      </c>
      <c r="F7004" t="s">
        <v>1020</v>
      </c>
      <c r="G7004" t="s">
        <v>32</v>
      </c>
      <c r="H7004" t="s">
        <v>33</v>
      </c>
      <c r="I7004" t="s">
        <v>94</v>
      </c>
      <c r="J7004" t="s">
        <v>44</v>
      </c>
      <c r="K7004" t="s">
        <v>36</v>
      </c>
      <c r="L7004" t="s">
        <v>45</v>
      </c>
      <c r="M7004">
        <v>0</v>
      </c>
      <c r="N7004">
        <v>0</v>
      </c>
      <c r="O7004">
        <v>2946</v>
      </c>
      <c r="Q7004">
        <f>38.75-13.5</f>
        <v>25.25</v>
      </c>
      <c r="R7004" t="s">
        <v>46</v>
      </c>
      <c r="S7004" t="s">
        <v>39</v>
      </c>
      <c r="AB7004" t="s">
        <v>86</v>
      </c>
      <c r="AC7004" t="s">
        <v>137</v>
      </c>
    </row>
    <row r="7005" spans="1:30" x14ac:dyDescent="0.35">
      <c r="A7005" s="7">
        <v>43283</v>
      </c>
      <c r="B7005" t="s">
        <v>30</v>
      </c>
      <c r="C7005">
        <v>703</v>
      </c>
      <c r="D7005">
        <v>7</v>
      </c>
      <c r="E7005">
        <v>1</v>
      </c>
      <c r="F7005" t="s">
        <v>1020</v>
      </c>
      <c r="G7005" t="s">
        <v>32</v>
      </c>
      <c r="H7005" t="s">
        <v>33</v>
      </c>
      <c r="I7005" t="s">
        <v>94</v>
      </c>
      <c r="J7005" t="s">
        <v>44</v>
      </c>
      <c r="K7005" t="s">
        <v>36</v>
      </c>
      <c r="L7005" t="s">
        <v>37</v>
      </c>
      <c r="M7005">
        <v>0</v>
      </c>
      <c r="N7005">
        <v>0</v>
      </c>
      <c r="O7005">
        <v>1066</v>
      </c>
      <c r="Q7005">
        <f>36-13.75</f>
        <v>22.25</v>
      </c>
      <c r="R7005" t="s">
        <v>38</v>
      </c>
      <c r="AB7005" t="s">
        <v>86</v>
      </c>
      <c r="AC7005" t="s">
        <v>137</v>
      </c>
      <c r="AD7005" t="s">
        <v>1184</v>
      </c>
    </row>
    <row r="7006" spans="1:30" x14ac:dyDescent="0.35">
      <c r="A7006" s="7">
        <v>43284</v>
      </c>
      <c r="B7006" t="s">
        <v>30</v>
      </c>
      <c r="C7006">
        <v>303</v>
      </c>
      <c r="D7006">
        <v>2</v>
      </c>
      <c r="E7006">
        <v>1</v>
      </c>
      <c r="F7006" t="s">
        <v>1139</v>
      </c>
      <c r="G7006" t="s">
        <v>32</v>
      </c>
      <c r="H7006" t="s">
        <v>33</v>
      </c>
      <c r="I7006" t="s">
        <v>43</v>
      </c>
      <c r="J7006" t="s">
        <v>44</v>
      </c>
      <c r="K7006" t="s">
        <v>88</v>
      </c>
      <c r="L7006" t="s">
        <v>45</v>
      </c>
      <c r="M7006">
        <v>0</v>
      </c>
      <c r="N7006">
        <v>0</v>
      </c>
      <c r="O7006">
        <v>1006</v>
      </c>
      <c r="P7006">
        <v>1005</v>
      </c>
      <c r="Q7006">
        <f>26.5-13</f>
        <v>13.5</v>
      </c>
      <c r="R7006" t="s">
        <v>46</v>
      </c>
      <c r="S7006" t="s">
        <v>39</v>
      </c>
      <c r="AB7006" t="s">
        <v>47</v>
      </c>
      <c r="AC7006" t="s">
        <v>87</v>
      </c>
    </row>
    <row r="7007" spans="1:30" x14ac:dyDescent="0.35">
      <c r="A7007" s="7">
        <v>43284</v>
      </c>
      <c r="B7007" t="s">
        <v>30</v>
      </c>
      <c r="C7007">
        <v>303</v>
      </c>
      <c r="D7007">
        <v>4</v>
      </c>
      <c r="E7007">
        <v>1</v>
      </c>
      <c r="F7007" t="s">
        <v>1139</v>
      </c>
      <c r="G7007" t="s">
        <v>32</v>
      </c>
      <c r="H7007" t="s">
        <v>33</v>
      </c>
      <c r="I7007" t="s">
        <v>43</v>
      </c>
      <c r="J7007" t="s">
        <v>44</v>
      </c>
      <c r="K7007" t="s">
        <v>36</v>
      </c>
      <c r="L7007" t="s">
        <v>45</v>
      </c>
      <c r="M7007">
        <v>0</v>
      </c>
      <c r="N7007">
        <v>0</v>
      </c>
      <c r="O7007">
        <v>2903</v>
      </c>
      <c r="P7007">
        <v>2901</v>
      </c>
      <c r="Q7007">
        <f>34-15.5</f>
        <v>18.5</v>
      </c>
      <c r="AB7007" t="s">
        <v>47</v>
      </c>
      <c r="AC7007" t="s">
        <v>87</v>
      </c>
    </row>
    <row r="7008" spans="1:30" x14ac:dyDescent="0.35">
      <c r="A7008" s="7">
        <v>43284</v>
      </c>
      <c r="B7008" t="s">
        <v>30</v>
      </c>
      <c r="C7008">
        <v>303</v>
      </c>
      <c r="D7008">
        <v>8</v>
      </c>
      <c r="E7008">
        <v>1</v>
      </c>
      <c r="F7008" t="s">
        <v>1139</v>
      </c>
      <c r="G7008" t="s">
        <v>32</v>
      </c>
      <c r="H7008" t="s">
        <v>33</v>
      </c>
      <c r="I7008" t="s">
        <v>43</v>
      </c>
      <c r="J7008" t="s">
        <v>44</v>
      </c>
      <c r="K7008" t="s">
        <v>36</v>
      </c>
      <c r="L7008" t="s">
        <v>45</v>
      </c>
      <c r="M7008">
        <v>0</v>
      </c>
      <c r="N7008">
        <v>0</v>
      </c>
      <c r="O7008">
        <v>2913</v>
      </c>
      <c r="P7008">
        <v>2912</v>
      </c>
      <c r="Q7008">
        <f>34-14</f>
        <v>20</v>
      </c>
      <c r="R7008" t="s">
        <v>1021</v>
      </c>
      <c r="S7008" t="s">
        <v>102</v>
      </c>
      <c r="AB7008" t="s">
        <v>47</v>
      </c>
      <c r="AC7008" t="s">
        <v>87</v>
      </c>
    </row>
    <row r="7009" spans="1:30" x14ac:dyDescent="0.35">
      <c r="A7009" s="7">
        <v>43284</v>
      </c>
      <c r="B7009" t="s">
        <v>30</v>
      </c>
      <c r="C7009">
        <v>303</v>
      </c>
      <c r="D7009">
        <v>10</v>
      </c>
      <c r="E7009">
        <v>1</v>
      </c>
      <c r="F7009" t="s">
        <v>1139</v>
      </c>
      <c r="G7009" t="s">
        <v>32</v>
      </c>
      <c r="H7009" t="s">
        <v>33</v>
      </c>
      <c r="I7009" t="s">
        <v>43</v>
      </c>
      <c r="J7009" t="s">
        <v>92</v>
      </c>
      <c r="AB7009" t="s">
        <v>47</v>
      </c>
      <c r="AC7009" t="s">
        <v>87</v>
      </c>
    </row>
    <row r="7010" spans="1:30" x14ac:dyDescent="0.35">
      <c r="A7010" s="7">
        <v>43284</v>
      </c>
      <c r="B7010" t="s">
        <v>30</v>
      </c>
      <c r="C7010">
        <v>401</v>
      </c>
      <c r="D7010">
        <v>4</v>
      </c>
      <c r="E7010">
        <v>1</v>
      </c>
      <c r="F7010" t="s">
        <v>1139</v>
      </c>
      <c r="G7010" t="s">
        <v>32</v>
      </c>
      <c r="H7010" t="s">
        <v>33</v>
      </c>
      <c r="I7010" t="s">
        <v>43</v>
      </c>
      <c r="J7010" t="s">
        <v>44</v>
      </c>
      <c r="K7010" t="s">
        <v>36</v>
      </c>
      <c r="L7010" t="s">
        <v>37</v>
      </c>
      <c r="M7010">
        <v>0</v>
      </c>
      <c r="N7010">
        <v>0</v>
      </c>
      <c r="O7010">
        <v>1022</v>
      </c>
      <c r="P7010">
        <v>2812</v>
      </c>
      <c r="Q7010">
        <f>36-14</f>
        <v>22</v>
      </c>
      <c r="R7010" t="s">
        <v>38</v>
      </c>
      <c r="AB7010" t="s">
        <v>47</v>
      </c>
      <c r="AC7010" t="s">
        <v>87</v>
      </c>
    </row>
    <row r="7011" spans="1:30" x14ac:dyDescent="0.35">
      <c r="A7011" s="7">
        <v>43284</v>
      </c>
      <c r="B7011" t="s">
        <v>30</v>
      </c>
      <c r="C7011">
        <v>401</v>
      </c>
      <c r="D7011">
        <v>8</v>
      </c>
      <c r="E7011">
        <v>1</v>
      </c>
      <c r="F7011" t="s">
        <v>1139</v>
      </c>
      <c r="G7011" t="s">
        <v>32</v>
      </c>
      <c r="H7011" t="s">
        <v>33</v>
      </c>
      <c r="I7011" t="s">
        <v>43</v>
      </c>
      <c r="J7011" t="s">
        <v>44</v>
      </c>
      <c r="K7011" t="s">
        <v>36</v>
      </c>
      <c r="L7011" t="s">
        <v>37</v>
      </c>
      <c r="M7011">
        <v>0</v>
      </c>
      <c r="N7011">
        <v>0</v>
      </c>
      <c r="O7011">
        <v>2911</v>
      </c>
      <c r="P7011">
        <v>2910</v>
      </c>
      <c r="Q7011">
        <f>32-14</f>
        <v>18</v>
      </c>
      <c r="R7011" t="s">
        <v>64</v>
      </c>
      <c r="AB7011" t="s">
        <v>47</v>
      </c>
      <c r="AC7011" t="s">
        <v>87</v>
      </c>
    </row>
    <row r="7012" spans="1:30" x14ac:dyDescent="0.35">
      <c r="A7012" s="7">
        <v>43284</v>
      </c>
      <c r="B7012" t="s">
        <v>30</v>
      </c>
      <c r="C7012">
        <v>501</v>
      </c>
      <c r="D7012">
        <v>1</v>
      </c>
      <c r="E7012">
        <v>1</v>
      </c>
      <c r="F7012" t="s">
        <v>1139</v>
      </c>
      <c r="G7012" t="s">
        <v>32</v>
      </c>
      <c r="H7012" t="s">
        <v>33</v>
      </c>
      <c r="I7012" t="s">
        <v>43</v>
      </c>
      <c r="J7012" t="s">
        <v>44</v>
      </c>
      <c r="K7012" t="s">
        <v>36</v>
      </c>
      <c r="L7012" t="s">
        <v>45</v>
      </c>
      <c r="M7012">
        <v>0</v>
      </c>
      <c r="N7012">
        <v>0</v>
      </c>
      <c r="O7012">
        <v>2953</v>
      </c>
      <c r="P7012">
        <v>2952</v>
      </c>
      <c r="Q7012">
        <f>39-14.5</f>
        <v>24.5</v>
      </c>
      <c r="R7012" t="s">
        <v>1028</v>
      </c>
      <c r="S7012" t="s">
        <v>102</v>
      </c>
      <c r="AB7012" t="s">
        <v>47</v>
      </c>
      <c r="AC7012" t="s">
        <v>87</v>
      </c>
    </row>
    <row r="7013" spans="1:30" x14ac:dyDescent="0.35">
      <c r="A7013" s="7">
        <v>43284</v>
      </c>
      <c r="B7013" t="s">
        <v>30</v>
      </c>
      <c r="C7013">
        <v>501</v>
      </c>
      <c r="D7013">
        <v>2</v>
      </c>
      <c r="E7013">
        <v>2</v>
      </c>
      <c r="F7013" t="s">
        <v>1139</v>
      </c>
      <c r="G7013" t="s">
        <v>32</v>
      </c>
      <c r="H7013" t="s">
        <v>33</v>
      </c>
      <c r="I7013" t="s">
        <v>43</v>
      </c>
      <c r="J7013" t="s">
        <v>35</v>
      </c>
      <c r="K7013" t="s">
        <v>88</v>
      </c>
      <c r="L7013" t="s">
        <v>37</v>
      </c>
      <c r="M7013">
        <v>0</v>
      </c>
      <c r="N7013">
        <v>1</v>
      </c>
      <c r="O7013">
        <v>1110</v>
      </c>
      <c r="P7013">
        <v>1109</v>
      </c>
      <c r="Q7013">
        <f>28-15</f>
        <v>13</v>
      </c>
      <c r="R7013" t="s">
        <v>64</v>
      </c>
      <c r="AB7013" t="s">
        <v>47</v>
      </c>
      <c r="AC7013" t="s">
        <v>87</v>
      </c>
    </row>
    <row r="7014" spans="1:30" x14ac:dyDescent="0.35">
      <c r="A7014" s="7">
        <v>43284</v>
      </c>
      <c r="B7014" t="s">
        <v>30</v>
      </c>
      <c r="C7014">
        <v>501</v>
      </c>
      <c r="D7014">
        <v>3</v>
      </c>
      <c r="E7014">
        <v>1</v>
      </c>
      <c r="F7014" t="s">
        <v>1139</v>
      </c>
      <c r="G7014" t="s">
        <v>32</v>
      </c>
      <c r="H7014" t="s">
        <v>33</v>
      </c>
      <c r="I7014" t="s">
        <v>43</v>
      </c>
      <c r="J7014" t="s">
        <v>35</v>
      </c>
      <c r="K7014" t="s">
        <v>88</v>
      </c>
      <c r="L7014" t="s">
        <v>45</v>
      </c>
      <c r="M7014">
        <v>0</v>
      </c>
      <c r="N7014">
        <v>1</v>
      </c>
      <c r="O7014">
        <v>1111</v>
      </c>
      <c r="P7014">
        <v>1112</v>
      </c>
      <c r="Q7014">
        <f>25-14</f>
        <v>11</v>
      </c>
      <c r="R7014" t="s">
        <v>46</v>
      </c>
      <c r="S7014" t="s">
        <v>39</v>
      </c>
      <c r="AB7014" t="s">
        <v>47</v>
      </c>
      <c r="AC7014" t="s">
        <v>87</v>
      </c>
      <c r="AD7014" t="s">
        <v>1185</v>
      </c>
    </row>
    <row r="7015" spans="1:30" x14ac:dyDescent="0.35">
      <c r="A7015" s="7">
        <v>43284</v>
      </c>
      <c r="B7015" t="s">
        <v>30</v>
      </c>
      <c r="C7015">
        <v>701</v>
      </c>
      <c r="D7015">
        <v>1</v>
      </c>
      <c r="E7015">
        <v>1</v>
      </c>
      <c r="F7015" t="s">
        <v>1020</v>
      </c>
      <c r="G7015" t="s">
        <v>32</v>
      </c>
      <c r="H7015" t="s">
        <v>33</v>
      </c>
      <c r="I7015" t="s">
        <v>43</v>
      </c>
      <c r="J7015" t="s">
        <v>44</v>
      </c>
      <c r="K7015" t="s">
        <v>36</v>
      </c>
      <c r="L7015" t="s">
        <v>45</v>
      </c>
      <c r="M7015">
        <v>0</v>
      </c>
      <c r="N7015">
        <v>0</v>
      </c>
      <c r="O7015">
        <v>2471</v>
      </c>
      <c r="P7015">
        <v>2470</v>
      </c>
      <c r="Q7015">
        <f>33.5-11</f>
        <v>22.5</v>
      </c>
      <c r="R7015" t="s">
        <v>1021</v>
      </c>
      <c r="S7015" t="s">
        <v>102</v>
      </c>
      <c r="AB7015" t="s">
        <v>47</v>
      </c>
      <c r="AC7015" t="s">
        <v>87</v>
      </c>
    </row>
    <row r="7016" spans="1:30" x14ac:dyDescent="0.35">
      <c r="A7016" s="7">
        <v>43284</v>
      </c>
      <c r="B7016" t="s">
        <v>30</v>
      </c>
      <c r="C7016">
        <v>701</v>
      </c>
      <c r="D7016">
        <v>4</v>
      </c>
      <c r="E7016">
        <v>1</v>
      </c>
      <c r="F7016" t="s">
        <v>1020</v>
      </c>
      <c r="G7016" t="s">
        <v>32</v>
      </c>
      <c r="H7016" t="s">
        <v>33</v>
      </c>
      <c r="I7016" t="s">
        <v>43</v>
      </c>
      <c r="J7016" t="s">
        <v>35</v>
      </c>
      <c r="K7016" t="s">
        <v>88</v>
      </c>
      <c r="L7016" t="s">
        <v>37</v>
      </c>
      <c r="M7016">
        <v>0</v>
      </c>
      <c r="N7016">
        <v>1</v>
      </c>
      <c r="O7016">
        <v>1031</v>
      </c>
      <c r="P7016">
        <v>1030</v>
      </c>
      <c r="Q7016">
        <f>23-10</f>
        <v>13</v>
      </c>
      <c r="R7016" t="s">
        <v>64</v>
      </c>
      <c r="AB7016" t="s">
        <v>47</v>
      </c>
      <c r="AC7016" t="s">
        <v>87</v>
      </c>
    </row>
    <row r="7017" spans="1:30" x14ac:dyDescent="0.35">
      <c r="A7017" s="7">
        <v>43284</v>
      </c>
      <c r="B7017" t="s">
        <v>30</v>
      </c>
      <c r="C7017">
        <v>701</v>
      </c>
      <c r="D7017">
        <v>7</v>
      </c>
      <c r="E7017">
        <v>1</v>
      </c>
      <c r="F7017" t="s">
        <v>1020</v>
      </c>
      <c r="G7017" t="s">
        <v>32</v>
      </c>
      <c r="H7017" t="s">
        <v>33</v>
      </c>
      <c r="I7017" t="s">
        <v>43</v>
      </c>
      <c r="J7017" t="s">
        <v>44</v>
      </c>
      <c r="K7017" t="s">
        <v>36</v>
      </c>
      <c r="L7017" t="s">
        <v>45</v>
      </c>
      <c r="M7017">
        <v>0</v>
      </c>
      <c r="N7017">
        <v>0</v>
      </c>
      <c r="O7017">
        <v>2469</v>
      </c>
      <c r="P7017">
        <v>2468</v>
      </c>
      <c r="Q7017">
        <f>26.5-10</f>
        <v>16.5</v>
      </c>
      <c r="R7017" t="s">
        <v>1021</v>
      </c>
      <c r="S7017" t="s">
        <v>102</v>
      </c>
      <c r="AB7017" t="s">
        <v>47</v>
      </c>
      <c r="AC7017" t="s">
        <v>87</v>
      </c>
    </row>
    <row r="7018" spans="1:30" x14ac:dyDescent="0.35">
      <c r="A7018" s="7">
        <v>43284</v>
      </c>
      <c r="B7018" t="s">
        <v>30</v>
      </c>
      <c r="C7018">
        <v>703</v>
      </c>
      <c r="D7018">
        <v>1</v>
      </c>
      <c r="E7018">
        <v>2</v>
      </c>
      <c r="F7018" t="s">
        <v>1020</v>
      </c>
      <c r="G7018" t="s">
        <v>32</v>
      </c>
      <c r="H7018" t="s">
        <v>33</v>
      </c>
      <c r="I7018" t="s">
        <v>43</v>
      </c>
      <c r="J7018" t="s">
        <v>44</v>
      </c>
      <c r="K7018" t="s">
        <v>113</v>
      </c>
      <c r="L7018" t="s">
        <v>37</v>
      </c>
      <c r="M7018">
        <v>0</v>
      </c>
      <c r="N7018">
        <v>0</v>
      </c>
      <c r="O7018">
        <v>1100</v>
      </c>
      <c r="P7018">
        <v>1099</v>
      </c>
      <c r="Q7018">
        <f>33.5-10</f>
        <v>23.5</v>
      </c>
      <c r="R7018" t="s">
        <v>64</v>
      </c>
      <c r="AB7018" t="s">
        <v>47</v>
      </c>
      <c r="AC7018" t="s">
        <v>87</v>
      </c>
    </row>
    <row r="7019" spans="1:30" x14ac:dyDescent="0.35">
      <c r="A7019" s="7">
        <v>43284</v>
      </c>
      <c r="B7019" t="s">
        <v>30</v>
      </c>
      <c r="C7019">
        <v>703</v>
      </c>
      <c r="D7019">
        <v>2</v>
      </c>
      <c r="E7019">
        <v>1</v>
      </c>
      <c r="F7019" t="s">
        <v>1020</v>
      </c>
      <c r="G7019" t="s">
        <v>32</v>
      </c>
      <c r="H7019" t="s">
        <v>33</v>
      </c>
      <c r="I7019" t="s">
        <v>43</v>
      </c>
      <c r="J7019" t="s">
        <v>35</v>
      </c>
      <c r="K7019" t="s">
        <v>88</v>
      </c>
      <c r="L7019" t="s">
        <v>45</v>
      </c>
      <c r="M7019">
        <v>0</v>
      </c>
      <c r="N7019">
        <v>1</v>
      </c>
      <c r="O7019">
        <v>1096</v>
      </c>
      <c r="P7019">
        <v>1095</v>
      </c>
      <c r="Q7019">
        <f>20-9</f>
        <v>11</v>
      </c>
      <c r="R7019" t="s">
        <v>46</v>
      </c>
      <c r="S7019" t="s">
        <v>39</v>
      </c>
      <c r="AB7019" t="s">
        <v>47</v>
      </c>
      <c r="AC7019" t="s">
        <v>87</v>
      </c>
    </row>
    <row r="7020" spans="1:30" x14ac:dyDescent="0.35">
      <c r="A7020" s="7">
        <v>43284</v>
      </c>
      <c r="B7020" t="s">
        <v>30</v>
      </c>
      <c r="C7020">
        <v>703</v>
      </c>
      <c r="D7020">
        <v>3</v>
      </c>
      <c r="E7020">
        <v>2</v>
      </c>
      <c r="F7020" t="s">
        <v>1020</v>
      </c>
      <c r="G7020" t="s">
        <v>32</v>
      </c>
      <c r="H7020" t="s">
        <v>33</v>
      </c>
      <c r="I7020" t="s">
        <v>43</v>
      </c>
      <c r="J7020" t="s">
        <v>44</v>
      </c>
      <c r="K7020" t="s">
        <v>113</v>
      </c>
      <c r="L7020" t="s">
        <v>37</v>
      </c>
      <c r="M7020">
        <v>0</v>
      </c>
      <c r="N7020">
        <v>0</v>
      </c>
      <c r="O7020">
        <v>1068</v>
      </c>
      <c r="P7020">
        <v>1067</v>
      </c>
      <c r="Q7020">
        <f>25-10.5</f>
        <v>14.5</v>
      </c>
      <c r="R7020" t="s">
        <v>64</v>
      </c>
      <c r="AB7020" t="s">
        <v>47</v>
      </c>
      <c r="AC7020" t="s">
        <v>87</v>
      </c>
    </row>
    <row r="7021" spans="1:30" x14ac:dyDescent="0.35">
      <c r="A7021" s="7">
        <v>43284</v>
      </c>
      <c r="B7021" t="s">
        <v>30</v>
      </c>
      <c r="C7021">
        <v>703</v>
      </c>
      <c r="D7021">
        <v>5</v>
      </c>
      <c r="E7021">
        <v>1</v>
      </c>
      <c r="F7021" t="s">
        <v>1020</v>
      </c>
      <c r="G7021" t="s">
        <v>32</v>
      </c>
      <c r="H7021" t="s">
        <v>33</v>
      </c>
      <c r="I7021" t="s">
        <v>43</v>
      </c>
      <c r="J7021" t="s">
        <v>35</v>
      </c>
      <c r="K7021" t="s">
        <v>113</v>
      </c>
      <c r="L7021" t="s">
        <v>45</v>
      </c>
      <c r="M7021">
        <v>0</v>
      </c>
      <c r="N7021">
        <v>1</v>
      </c>
      <c r="O7021">
        <v>1027</v>
      </c>
      <c r="P7021">
        <v>1026</v>
      </c>
      <c r="Q7021">
        <f>26-11</f>
        <v>15</v>
      </c>
      <c r="R7021" t="s">
        <v>46</v>
      </c>
      <c r="S7021" t="s">
        <v>39</v>
      </c>
      <c r="AB7021" t="s">
        <v>47</v>
      </c>
      <c r="AC7021" t="s">
        <v>87</v>
      </c>
    </row>
    <row r="7022" spans="1:30" x14ac:dyDescent="0.35">
      <c r="A7022" s="7">
        <v>43284</v>
      </c>
      <c r="B7022" t="s">
        <v>30</v>
      </c>
      <c r="C7022">
        <v>703</v>
      </c>
      <c r="D7022">
        <v>6</v>
      </c>
      <c r="E7022">
        <v>1</v>
      </c>
      <c r="F7022" t="s">
        <v>1020</v>
      </c>
      <c r="G7022" t="s">
        <v>32</v>
      </c>
      <c r="H7022" t="s">
        <v>33</v>
      </c>
      <c r="I7022" t="s">
        <v>43</v>
      </c>
      <c r="J7022" t="s">
        <v>35</v>
      </c>
      <c r="K7022" t="s">
        <v>88</v>
      </c>
      <c r="L7022" t="s">
        <v>37</v>
      </c>
      <c r="M7022">
        <v>0</v>
      </c>
      <c r="N7022">
        <v>1</v>
      </c>
      <c r="O7022">
        <v>1029</v>
      </c>
      <c r="P7022">
        <v>1028</v>
      </c>
      <c r="Q7022">
        <f>20-9.5</f>
        <v>10.5</v>
      </c>
      <c r="R7022" t="s">
        <v>64</v>
      </c>
      <c r="AB7022" t="s">
        <v>47</v>
      </c>
      <c r="AC7022" t="s">
        <v>87</v>
      </c>
    </row>
    <row r="7023" spans="1:30" x14ac:dyDescent="0.35">
      <c r="A7023" s="7">
        <v>43284</v>
      </c>
      <c r="B7023" t="s">
        <v>30</v>
      </c>
      <c r="C7023">
        <v>703</v>
      </c>
      <c r="D7023">
        <v>8</v>
      </c>
      <c r="E7023">
        <v>1</v>
      </c>
      <c r="F7023" t="s">
        <v>1020</v>
      </c>
      <c r="G7023" t="s">
        <v>32</v>
      </c>
      <c r="H7023" t="s">
        <v>33</v>
      </c>
      <c r="I7023" t="s">
        <v>43</v>
      </c>
      <c r="J7023" t="s">
        <v>44</v>
      </c>
      <c r="K7023" t="s">
        <v>36</v>
      </c>
      <c r="L7023" t="s">
        <v>45</v>
      </c>
      <c r="M7023">
        <v>0</v>
      </c>
      <c r="N7023">
        <v>0</v>
      </c>
      <c r="O7023">
        <v>1165</v>
      </c>
      <c r="P7023">
        <v>1164</v>
      </c>
      <c r="Q7023">
        <f>28-9.5</f>
        <v>18.5</v>
      </c>
      <c r="R7023" t="s">
        <v>1021</v>
      </c>
      <c r="S7023" t="s">
        <v>102</v>
      </c>
      <c r="AB7023" t="s">
        <v>47</v>
      </c>
      <c r="AC7023" t="s">
        <v>87</v>
      </c>
    </row>
    <row r="7024" spans="1:30" x14ac:dyDescent="0.35">
      <c r="A7024" s="7">
        <v>43284</v>
      </c>
      <c r="B7024" t="s">
        <v>30</v>
      </c>
      <c r="C7024">
        <v>703</v>
      </c>
      <c r="D7024">
        <v>9</v>
      </c>
      <c r="E7024">
        <v>2</v>
      </c>
      <c r="F7024" t="s">
        <v>1020</v>
      </c>
      <c r="G7024" t="s">
        <v>32</v>
      </c>
      <c r="H7024" t="s">
        <v>33</v>
      </c>
      <c r="I7024" t="s">
        <v>43</v>
      </c>
      <c r="J7024" t="s">
        <v>44</v>
      </c>
      <c r="K7024" t="s">
        <v>36</v>
      </c>
      <c r="L7024" t="s">
        <v>37</v>
      </c>
      <c r="M7024">
        <v>0</v>
      </c>
      <c r="N7024">
        <v>0</v>
      </c>
      <c r="O7024">
        <v>2456</v>
      </c>
      <c r="P7024">
        <v>2455</v>
      </c>
      <c r="Q7024">
        <f>35.5-11</f>
        <v>24.5</v>
      </c>
      <c r="R7024" t="s">
        <v>64</v>
      </c>
      <c r="AB7024" t="s">
        <v>47</v>
      </c>
      <c r="AC7024" t="s">
        <v>87</v>
      </c>
    </row>
    <row r="7025" spans="1:30" x14ac:dyDescent="0.35">
      <c r="A7025" s="7">
        <v>43284</v>
      </c>
      <c r="B7025" t="s">
        <v>30</v>
      </c>
      <c r="C7025">
        <v>801</v>
      </c>
      <c r="D7025">
        <v>3</v>
      </c>
      <c r="E7025">
        <v>2</v>
      </c>
      <c r="F7025" t="s">
        <v>1020</v>
      </c>
      <c r="G7025" t="s">
        <v>32</v>
      </c>
      <c r="H7025" t="s">
        <v>33</v>
      </c>
      <c r="I7025" t="s">
        <v>43</v>
      </c>
      <c r="J7025" t="s">
        <v>35</v>
      </c>
      <c r="K7025" t="s">
        <v>113</v>
      </c>
      <c r="L7025" t="s">
        <v>37</v>
      </c>
      <c r="M7025">
        <v>0</v>
      </c>
      <c r="N7025">
        <v>1</v>
      </c>
      <c r="O7025">
        <v>1033</v>
      </c>
      <c r="P7025">
        <v>1032</v>
      </c>
      <c r="Q7025">
        <f>23-10</f>
        <v>13</v>
      </c>
      <c r="R7025" t="s">
        <v>64</v>
      </c>
      <c r="AB7025" t="s">
        <v>47</v>
      </c>
      <c r="AC7025" t="s">
        <v>87</v>
      </c>
    </row>
    <row r="7026" spans="1:30" x14ac:dyDescent="0.35">
      <c r="A7026" s="7">
        <v>43284</v>
      </c>
      <c r="B7026" t="s">
        <v>30</v>
      </c>
      <c r="C7026">
        <v>801</v>
      </c>
      <c r="D7026">
        <v>4</v>
      </c>
      <c r="E7026">
        <v>1</v>
      </c>
      <c r="F7026" t="s">
        <v>1020</v>
      </c>
      <c r="G7026" t="s">
        <v>32</v>
      </c>
      <c r="H7026" t="s">
        <v>33</v>
      </c>
      <c r="I7026" t="s">
        <v>43</v>
      </c>
      <c r="J7026" t="s">
        <v>44</v>
      </c>
      <c r="K7026" t="s">
        <v>36</v>
      </c>
      <c r="L7026" t="s">
        <v>45</v>
      </c>
      <c r="M7026">
        <v>0</v>
      </c>
      <c r="N7026">
        <v>0</v>
      </c>
      <c r="O7026">
        <v>2425</v>
      </c>
      <c r="P7026">
        <v>2424</v>
      </c>
      <c r="Q7026">
        <f>31-9.5</f>
        <v>21.5</v>
      </c>
      <c r="R7026" t="s">
        <v>1021</v>
      </c>
      <c r="S7026" t="s">
        <v>102</v>
      </c>
      <c r="AB7026" t="s">
        <v>47</v>
      </c>
      <c r="AC7026" t="s">
        <v>87</v>
      </c>
    </row>
    <row r="7027" spans="1:30" x14ac:dyDescent="0.35">
      <c r="A7027" s="7">
        <v>43284</v>
      </c>
      <c r="B7027" t="s">
        <v>30</v>
      </c>
      <c r="C7027">
        <v>801</v>
      </c>
      <c r="D7027">
        <v>5</v>
      </c>
      <c r="E7027">
        <v>2</v>
      </c>
      <c r="F7027" t="s">
        <v>1020</v>
      </c>
      <c r="G7027" t="s">
        <v>32</v>
      </c>
      <c r="H7027" t="s">
        <v>33</v>
      </c>
      <c r="I7027" t="s">
        <v>43</v>
      </c>
      <c r="J7027" t="s">
        <v>44</v>
      </c>
      <c r="K7027" t="s">
        <v>36</v>
      </c>
      <c r="L7027" t="s">
        <v>37</v>
      </c>
      <c r="M7027">
        <v>0</v>
      </c>
      <c r="N7027">
        <v>0</v>
      </c>
      <c r="O7027">
        <v>1168</v>
      </c>
      <c r="P7027">
        <v>1167</v>
      </c>
      <c r="Q7027">
        <f>30.5-10</f>
        <v>20.5</v>
      </c>
      <c r="R7027" t="s">
        <v>38</v>
      </c>
      <c r="AB7027" t="s">
        <v>47</v>
      </c>
      <c r="AC7027" t="s">
        <v>87</v>
      </c>
    </row>
    <row r="7028" spans="1:30" x14ac:dyDescent="0.35">
      <c r="A7028" s="7">
        <v>43284</v>
      </c>
      <c r="B7028" t="s">
        <v>30</v>
      </c>
      <c r="C7028">
        <v>801</v>
      </c>
      <c r="D7028">
        <v>8</v>
      </c>
      <c r="E7028">
        <v>2</v>
      </c>
      <c r="F7028" t="s">
        <v>1020</v>
      </c>
      <c r="G7028" t="s">
        <v>32</v>
      </c>
      <c r="H7028" t="s">
        <v>33</v>
      </c>
      <c r="I7028" t="s">
        <v>43</v>
      </c>
      <c r="J7028" t="s">
        <v>44</v>
      </c>
      <c r="K7028" t="s">
        <v>36</v>
      </c>
      <c r="L7028" t="s">
        <v>37</v>
      </c>
      <c r="M7028">
        <v>0</v>
      </c>
      <c r="N7028">
        <v>0</v>
      </c>
      <c r="O7028">
        <v>1072</v>
      </c>
      <c r="P7028">
        <v>1071</v>
      </c>
      <c r="Q7028">
        <f>30-10</f>
        <v>20</v>
      </c>
      <c r="R7028" t="s">
        <v>38</v>
      </c>
      <c r="AB7028" t="s">
        <v>47</v>
      </c>
      <c r="AC7028" t="s">
        <v>87</v>
      </c>
    </row>
    <row r="7029" spans="1:30" x14ac:dyDescent="0.35">
      <c r="A7029" s="7">
        <v>43284</v>
      </c>
      <c r="B7029" t="s">
        <v>30</v>
      </c>
      <c r="C7029">
        <v>803</v>
      </c>
      <c r="D7029">
        <v>6</v>
      </c>
      <c r="E7029">
        <v>2</v>
      </c>
      <c r="F7029" t="s">
        <v>1020</v>
      </c>
      <c r="G7029" t="s">
        <v>32</v>
      </c>
      <c r="H7029" t="s">
        <v>33</v>
      </c>
      <c r="I7029" t="s">
        <v>43</v>
      </c>
      <c r="J7029" t="s">
        <v>44</v>
      </c>
      <c r="K7029" t="s">
        <v>113</v>
      </c>
      <c r="L7029" t="s">
        <v>45</v>
      </c>
      <c r="M7029">
        <v>0</v>
      </c>
      <c r="N7029">
        <v>0</v>
      </c>
      <c r="O7029">
        <v>1070</v>
      </c>
      <c r="P7029">
        <v>1069</v>
      </c>
      <c r="Q7029">
        <f>33-12</f>
        <v>21</v>
      </c>
      <c r="R7029" t="s">
        <v>46</v>
      </c>
      <c r="S7029" t="s">
        <v>39</v>
      </c>
      <c r="AB7029" t="s">
        <v>47</v>
      </c>
      <c r="AC7029" t="s">
        <v>87</v>
      </c>
    </row>
    <row r="7030" spans="1:30" x14ac:dyDescent="0.35">
      <c r="A7030" s="7">
        <v>43284</v>
      </c>
      <c r="B7030" t="s">
        <v>30</v>
      </c>
      <c r="C7030">
        <v>901</v>
      </c>
      <c r="D7030">
        <v>5</v>
      </c>
      <c r="E7030">
        <v>2</v>
      </c>
      <c r="F7030" t="s">
        <v>1020</v>
      </c>
      <c r="G7030" t="s">
        <v>32</v>
      </c>
      <c r="H7030" t="s">
        <v>33</v>
      </c>
      <c r="I7030" t="s">
        <v>43</v>
      </c>
      <c r="J7030" t="s">
        <v>44</v>
      </c>
      <c r="K7030" t="s">
        <v>36</v>
      </c>
      <c r="L7030" t="s">
        <v>37</v>
      </c>
      <c r="M7030">
        <v>0</v>
      </c>
      <c r="N7030">
        <v>0</v>
      </c>
      <c r="O7030">
        <v>1075</v>
      </c>
      <c r="P7030">
        <v>1074</v>
      </c>
      <c r="Q7030">
        <f>28.5-10</f>
        <v>18.5</v>
      </c>
      <c r="R7030" t="s">
        <v>38</v>
      </c>
      <c r="AB7030" t="s">
        <v>47</v>
      </c>
      <c r="AC7030" t="s">
        <v>87</v>
      </c>
    </row>
    <row r="7031" spans="1:30" x14ac:dyDescent="0.35">
      <c r="A7031" s="7">
        <v>43284</v>
      </c>
      <c r="B7031" t="s">
        <v>30</v>
      </c>
      <c r="C7031">
        <v>501</v>
      </c>
      <c r="D7031">
        <v>6</v>
      </c>
      <c r="E7031">
        <v>1</v>
      </c>
      <c r="F7031" t="s">
        <v>1139</v>
      </c>
      <c r="G7031" t="s">
        <v>32</v>
      </c>
      <c r="H7031" t="s">
        <v>33</v>
      </c>
      <c r="I7031" t="s">
        <v>34</v>
      </c>
      <c r="J7031" t="s">
        <v>44</v>
      </c>
      <c r="K7031" t="s">
        <v>36</v>
      </c>
      <c r="L7031" t="s">
        <v>45</v>
      </c>
      <c r="M7031">
        <v>0</v>
      </c>
      <c r="N7031">
        <v>0</v>
      </c>
      <c r="P7031">
        <v>39189</v>
      </c>
      <c r="R7031" t="s">
        <v>46</v>
      </c>
      <c r="S7031" t="s">
        <v>39</v>
      </c>
      <c r="AB7031" t="s">
        <v>47</v>
      </c>
      <c r="AC7031" t="s">
        <v>87</v>
      </c>
    </row>
    <row r="7032" spans="1:30" x14ac:dyDescent="0.35">
      <c r="A7032" s="7">
        <v>43284</v>
      </c>
      <c r="B7032" t="s">
        <v>30</v>
      </c>
      <c r="C7032">
        <v>801</v>
      </c>
      <c r="D7032">
        <v>7</v>
      </c>
      <c r="E7032">
        <v>1</v>
      </c>
      <c r="F7032" t="s">
        <v>1020</v>
      </c>
      <c r="G7032" t="s">
        <v>32</v>
      </c>
      <c r="H7032" t="s">
        <v>33</v>
      </c>
      <c r="I7032" t="s">
        <v>34</v>
      </c>
      <c r="J7032" t="s">
        <v>35</v>
      </c>
      <c r="K7032" t="s">
        <v>36</v>
      </c>
      <c r="L7032" t="s">
        <v>45</v>
      </c>
      <c r="M7032">
        <v>0</v>
      </c>
      <c r="N7032">
        <v>1</v>
      </c>
      <c r="O7032">
        <v>1097</v>
      </c>
      <c r="Q7032">
        <f>214-127</f>
        <v>87</v>
      </c>
      <c r="R7032" t="s">
        <v>46</v>
      </c>
      <c r="S7032" t="s">
        <v>39</v>
      </c>
      <c r="AB7032" t="s">
        <v>47</v>
      </c>
      <c r="AC7032" t="s">
        <v>87</v>
      </c>
    </row>
    <row r="7033" spans="1:30" x14ac:dyDescent="0.35">
      <c r="A7033" s="7">
        <v>43284</v>
      </c>
      <c r="B7033" t="s">
        <v>30</v>
      </c>
      <c r="C7033">
        <v>801</v>
      </c>
      <c r="D7033">
        <v>8</v>
      </c>
      <c r="E7033">
        <v>1</v>
      </c>
      <c r="F7033" t="s">
        <v>1020</v>
      </c>
      <c r="G7033" t="s">
        <v>32</v>
      </c>
      <c r="H7033" t="s">
        <v>33</v>
      </c>
      <c r="I7033" t="s">
        <v>34</v>
      </c>
      <c r="J7033" t="s">
        <v>44</v>
      </c>
      <c r="K7033" t="s">
        <v>36</v>
      </c>
      <c r="L7033" t="s">
        <v>37</v>
      </c>
      <c r="M7033">
        <v>0</v>
      </c>
      <c r="N7033">
        <v>0</v>
      </c>
      <c r="O7033">
        <v>2452</v>
      </c>
      <c r="Q7033">
        <f>210-129</f>
        <v>81</v>
      </c>
      <c r="R7033" t="s">
        <v>64</v>
      </c>
      <c r="AB7033" t="s">
        <v>47</v>
      </c>
      <c r="AC7033" t="s">
        <v>87</v>
      </c>
    </row>
    <row r="7034" spans="1:30" x14ac:dyDescent="0.35">
      <c r="A7034" s="7">
        <v>43284</v>
      </c>
      <c r="B7034" t="s">
        <v>30</v>
      </c>
      <c r="C7034">
        <v>801</v>
      </c>
      <c r="D7034">
        <v>10</v>
      </c>
      <c r="E7034">
        <v>1</v>
      </c>
      <c r="F7034" t="s">
        <v>1020</v>
      </c>
      <c r="G7034" t="s">
        <v>32</v>
      </c>
      <c r="H7034" t="s">
        <v>33</v>
      </c>
      <c r="I7034" t="s">
        <v>34</v>
      </c>
      <c r="J7034" t="s">
        <v>44</v>
      </c>
      <c r="K7034" t="s">
        <v>36</v>
      </c>
      <c r="L7034" t="s">
        <v>45</v>
      </c>
      <c r="M7034">
        <v>0</v>
      </c>
      <c r="N7034">
        <v>0</v>
      </c>
      <c r="O7034">
        <v>1089</v>
      </c>
      <c r="Q7034">
        <f>212-128</f>
        <v>84</v>
      </c>
      <c r="R7034" t="s">
        <v>1021</v>
      </c>
      <c r="S7034" t="s">
        <v>102</v>
      </c>
      <c r="AB7034" t="s">
        <v>47</v>
      </c>
      <c r="AC7034" t="s">
        <v>87</v>
      </c>
    </row>
    <row r="7035" spans="1:30" x14ac:dyDescent="0.35">
      <c r="A7035" s="7">
        <v>43284</v>
      </c>
      <c r="B7035" t="s">
        <v>30</v>
      </c>
      <c r="C7035">
        <v>803</v>
      </c>
      <c r="D7035">
        <v>2</v>
      </c>
      <c r="E7035">
        <v>1</v>
      </c>
      <c r="F7035" t="s">
        <v>1020</v>
      </c>
      <c r="G7035" t="s">
        <v>32</v>
      </c>
      <c r="H7035" t="s">
        <v>33</v>
      </c>
      <c r="I7035" t="s">
        <v>34</v>
      </c>
      <c r="J7035" t="s">
        <v>44</v>
      </c>
      <c r="K7035" t="s">
        <v>88</v>
      </c>
      <c r="L7035" t="s">
        <v>45</v>
      </c>
      <c r="M7035">
        <v>0</v>
      </c>
      <c r="N7035">
        <v>0</v>
      </c>
      <c r="O7035">
        <v>1090</v>
      </c>
      <c r="Q7035">
        <f>202-130</f>
        <v>72</v>
      </c>
      <c r="R7035" t="s">
        <v>46</v>
      </c>
      <c r="S7035" t="s">
        <v>39</v>
      </c>
      <c r="AB7035" t="s">
        <v>47</v>
      </c>
      <c r="AC7035" t="s">
        <v>87</v>
      </c>
    </row>
    <row r="7036" spans="1:30" x14ac:dyDescent="0.35">
      <c r="A7036" s="7">
        <v>43284</v>
      </c>
      <c r="B7036" t="s">
        <v>30</v>
      </c>
      <c r="C7036">
        <v>803</v>
      </c>
      <c r="D7036">
        <v>10</v>
      </c>
      <c r="E7036">
        <v>2</v>
      </c>
      <c r="F7036" t="s">
        <v>1020</v>
      </c>
      <c r="G7036" t="s">
        <v>32</v>
      </c>
      <c r="H7036" t="s">
        <v>33</v>
      </c>
      <c r="I7036" t="s">
        <v>34</v>
      </c>
      <c r="J7036" t="s">
        <v>44</v>
      </c>
      <c r="K7036" t="s">
        <v>36</v>
      </c>
      <c r="L7036" t="s">
        <v>37</v>
      </c>
      <c r="M7036">
        <v>0</v>
      </c>
      <c r="N7036">
        <v>1</v>
      </c>
      <c r="O7036">
        <v>1175</v>
      </c>
      <c r="P7036">
        <v>1035</v>
      </c>
      <c r="Q7036">
        <f>208-129</f>
        <v>79</v>
      </c>
      <c r="R7036" t="s">
        <v>46</v>
      </c>
      <c r="S7036" t="s">
        <v>39</v>
      </c>
      <c r="AB7036" t="s">
        <v>47</v>
      </c>
      <c r="AC7036" t="s">
        <v>87</v>
      </c>
      <c r="AD7036" t="s">
        <v>1186</v>
      </c>
    </row>
    <row r="7037" spans="1:30" x14ac:dyDescent="0.35">
      <c r="A7037" s="7">
        <v>43284</v>
      </c>
      <c r="B7037" t="s">
        <v>30</v>
      </c>
      <c r="C7037">
        <v>303</v>
      </c>
      <c r="D7037">
        <v>7</v>
      </c>
      <c r="E7037">
        <v>1</v>
      </c>
      <c r="F7037" t="s">
        <v>1139</v>
      </c>
      <c r="G7037" t="s">
        <v>32</v>
      </c>
      <c r="H7037" t="s">
        <v>33</v>
      </c>
      <c r="I7037" t="s">
        <v>58</v>
      </c>
      <c r="J7037" t="s">
        <v>44</v>
      </c>
      <c r="K7037" t="s">
        <v>36</v>
      </c>
      <c r="L7037" t="s">
        <v>45</v>
      </c>
      <c r="M7037">
        <v>0</v>
      </c>
      <c r="N7037">
        <v>0</v>
      </c>
      <c r="O7037">
        <v>1114</v>
      </c>
      <c r="Q7037">
        <f>38-13</f>
        <v>25</v>
      </c>
      <c r="R7037" t="s">
        <v>46</v>
      </c>
      <c r="S7037" t="s">
        <v>39</v>
      </c>
      <c r="AB7037" t="s">
        <v>47</v>
      </c>
      <c r="AC7037" t="s">
        <v>87</v>
      </c>
    </row>
    <row r="7038" spans="1:30" x14ac:dyDescent="0.35">
      <c r="A7038" s="7">
        <v>43284</v>
      </c>
      <c r="B7038" t="s">
        <v>30</v>
      </c>
      <c r="C7038">
        <v>401</v>
      </c>
      <c r="D7038">
        <v>2</v>
      </c>
      <c r="E7038">
        <v>1</v>
      </c>
      <c r="F7038" t="s">
        <v>1139</v>
      </c>
      <c r="G7038" t="s">
        <v>32</v>
      </c>
      <c r="H7038" t="s">
        <v>33</v>
      </c>
      <c r="I7038" t="s">
        <v>58</v>
      </c>
      <c r="J7038" t="s">
        <v>35</v>
      </c>
      <c r="K7038" t="s">
        <v>36</v>
      </c>
      <c r="L7038" t="s">
        <v>37</v>
      </c>
      <c r="M7038">
        <v>0</v>
      </c>
      <c r="N7038">
        <v>1</v>
      </c>
      <c r="O7038">
        <v>1113</v>
      </c>
      <c r="Q7038">
        <f>42-15</f>
        <v>27</v>
      </c>
      <c r="R7038" t="s">
        <v>38</v>
      </c>
      <c r="AB7038" t="s">
        <v>47</v>
      </c>
      <c r="AC7038" t="s">
        <v>87</v>
      </c>
    </row>
    <row r="7039" spans="1:30" x14ac:dyDescent="0.35">
      <c r="A7039" s="7">
        <v>43284</v>
      </c>
      <c r="B7039" t="s">
        <v>30</v>
      </c>
      <c r="C7039">
        <v>503</v>
      </c>
      <c r="D7039">
        <v>8</v>
      </c>
      <c r="E7039">
        <v>1</v>
      </c>
      <c r="F7039" t="s">
        <v>1139</v>
      </c>
      <c r="G7039" t="s">
        <v>32</v>
      </c>
      <c r="H7039" t="s">
        <v>33</v>
      </c>
      <c r="I7039" t="s">
        <v>58</v>
      </c>
      <c r="J7039" t="s">
        <v>44</v>
      </c>
      <c r="K7039" t="s">
        <v>36</v>
      </c>
      <c r="L7039" t="s">
        <v>45</v>
      </c>
      <c r="M7039">
        <v>0</v>
      </c>
      <c r="N7039">
        <v>0</v>
      </c>
      <c r="P7039">
        <v>2908</v>
      </c>
      <c r="Q7039">
        <f>42-14</f>
        <v>28</v>
      </c>
      <c r="R7039" t="s">
        <v>1021</v>
      </c>
      <c r="S7039" t="s">
        <v>102</v>
      </c>
      <c r="AB7039" t="s">
        <v>47</v>
      </c>
      <c r="AC7039" t="s">
        <v>87</v>
      </c>
    </row>
    <row r="7040" spans="1:30" x14ac:dyDescent="0.35">
      <c r="A7040" s="7">
        <v>43284</v>
      </c>
      <c r="B7040" t="s">
        <v>30</v>
      </c>
      <c r="C7040">
        <v>401</v>
      </c>
      <c r="D7040">
        <v>10</v>
      </c>
      <c r="E7040">
        <v>2</v>
      </c>
      <c r="F7040" t="s">
        <v>1139</v>
      </c>
      <c r="G7040" t="s">
        <v>32</v>
      </c>
      <c r="H7040" t="s">
        <v>33</v>
      </c>
      <c r="I7040" t="s">
        <v>65</v>
      </c>
      <c r="J7040" t="s">
        <v>35</v>
      </c>
      <c r="K7040" t="s">
        <v>36</v>
      </c>
      <c r="L7040" t="s">
        <v>45</v>
      </c>
      <c r="M7040">
        <v>0</v>
      </c>
      <c r="N7040">
        <v>1</v>
      </c>
      <c r="O7040">
        <v>1115</v>
      </c>
      <c r="Q7040">
        <f>220-85</f>
        <v>135</v>
      </c>
      <c r="R7040" t="s">
        <v>46</v>
      </c>
      <c r="S7040" t="s">
        <v>39</v>
      </c>
      <c r="AB7040" t="s">
        <v>47</v>
      </c>
      <c r="AC7040" t="s">
        <v>87</v>
      </c>
    </row>
    <row r="7041" spans="1:30" x14ac:dyDescent="0.35">
      <c r="A7041" s="7">
        <v>43284</v>
      </c>
      <c r="B7041" t="s">
        <v>30</v>
      </c>
      <c r="C7041">
        <v>503</v>
      </c>
      <c r="D7041">
        <v>2</v>
      </c>
      <c r="E7041">
        <v>1</v>
      </c>
      <c r="F7041" t="s">
        <v>1139</v>
      </c>
      <c r="G7041" t="s">
        <v>32</v>
      </c>
      <c r="H7041" t="s">
        <v>33</v>
      </c>
      <c r="I7041" t="s">
        <v>65</v>
      </c>
      <c r="J7041" t="s">
        <v>35</v>
      </c>
      <c r="K7041" t="s">
        <v>36</v>
      </c>
      <c r="L7041" t="s">
        <v>45</v>
      </c>
      <c r="M7041">
        <v>0</v>
      </c>
      <c r="N7041">
        <v>1</v>
      </c>
      <c r="O7041">
        <v>1105</v>
      </c>
      <c r="Q7041">
        <f>235-80</f>
        <v>155</v>
      </c>
      <c r="R7041" t="s">
        <v>46</v>
      </c>
      <c r="S7041" t="s">
        <v>39</v>
      </c>
      <c r="AB7041" t="s">
        <v>47</v>
      </c>
      <c r="AC7041" t="s">
        <v>87</v>
      </c>
    </row>
    <row r="7042" spans="1:30" x14ac:dyDescent="0.35">
      <c r="A7042" s="7">
        <v>43284</v>
      </c>
      <c r="B7042" t="s">
        <v>30</v>
      </c>
      <c r="C7042">
        <v>503</v>
      </c>
      <c r="D7042">
        <v>2</v>
      </c>
      <c r="E7042">
        <v>2</v>
      </c>
      <c r="F7042" t="s">
        <v>1139</v>
      </c>
      <c r="G7042" t="s">
        <v>32</v>
      </c>
      <c r="H7042" t="s">
        <v>33</v>
      </c>
      <c r="I7042" t="s">
        <v>65</v>
      </c>
      <c r="J7042" t="s">
        <v>35</v>
      </c>
      <c r="K7042" t="s">
        <v>36</v>
      </c>
      <c r="L7042" t="s">
        <v>37</v>
      </c>
      <c r="M7042">
        <v>0</v>
      </c>
      <c r="N7042">
        <v>1</v>
      </c>
      <c r="O7042">
        <v>1107</v>
      </c>
      <c r="Q7042">
        <f>240-80</f>
        <v>160</v>
      </c>
      <c r="R7042" t="s">
        <v>64</v>
      </c>
      <c r="AB7042" t="s">
        <v>47</v>
      </c>
      <c r="AC7042" t="s">
        <v>87</v>
      </c>
    </row>
    <row r="7043" spans="1:30" x14ac:dyDescent="0.35">
      <c r="A7043" s="7">
        <v>43284</v>
      </c>
      <c r="B7043" t="s">
        <v>30</v>
      </c>
      <c r="C7043">
        <v>901</v>
      </c>
      <c r="D7043">
        <v>4</v>
      </c>
      <c r="E7043">
        <v>1</v>
      </c>
      <c r="F7043" t="s">
        <v>1020</v>
      </c>
      <c r="G7043" t="s">
        <v>32</v>
      </c>
      <c r="H7043" t="s">
        <v>33</v>
      </c>
      <c r="I7043" t="s">
        <v>65</v>
      </c>
      <c r="J7043" t="s">
        <v>56</v>
      </c>
      <c r="AB7043" t="s">
        <v>47</v>
      </c>
      <c r="AC7043" t="s">
        <v>87</v>
      </c>
      <c r="AD7043" t="s">
        <v>1187</v>
      </c>
    </row>
    <row r="7044" spans="1:30" x14ac:dyDescent="0.35">
      <c r="A7044" s="7">
        <v>43284</v>
      </c>
      <c r="B7044" t="s">
        <v>30</v>
      </c>
      <c r="C7044">
        <v>401</v>
      </c>
      <c r="D7044">
        <v>10</v>
      </c>
      <c r="E7044">
        <v>1</v>
      </c>
      <c r="F7044" t="s">
        <v>1139</v>
      </c>
      <c r="G7044" t="s">
        <v>32</v>
      </c>
      <c r="H7044" t="s">
        <v>33</v>
      </c>
      <c r="I7044" t="s">
        <v>1029</v>
      </c>
      <c r="J7044" t="s">
        <v>66</v>
      </c>
      <c r="AB7044" t="s">
        <v>47</v>
      </c>
      <c r="AC7044" t="s">
        <v>87</v>
      </c>
    </row>
    <row r="7045" spans="1:30" x14ac:dyDescent="0.35">
      <c r="A7045" s="7">
        <v>43284</v>
      </c>
      <c r="B7045" t="s">
        <v>30</v>
      </c>
      <c r="C7045">
        <v>501</v>
      </c>
      <c r="D7045">
        <v>5</v>
      </c>
      <c r="E7045">
        <v>1</v>
      </c>
      <c r="F7045" t="s">
        <v>1139</v>
      </c>
      <c r="G7045" t="s">
        <v>32</v>
      </c>
      <c r="H7045" t="s">
        <v>33</v>
      </c>
      <c r="I7045" t="s">
        <v>1029</v>
      </c>
      <c r="J7045" t="s">
        <v>56</v>
      </c>
      <c r="AB7045" t="s">
        <v>47</v>
      </c>
      <c r="AC7045" t="s">
        <v>87</v>
      </c>
    </row>
    <row r="7046" spans="1:30" x14ac:dyDescent="0.35">
      <c r="A7046" s="7">
        <v>43284</v>
      </c>
      <c r="B7046" t="s">
        <v>30</v>
      </c>
      <c r="C7046">
        <v>501</v>
      </c>
      <c r="D7046">
        <v>8</v>
      </c>
      <c r="E7046">
        <v>1</v>
      </c>
      <c r="F7046" t="s">
        <v>1139</v>
      </c>
      <c r="G7046" t="s">
        <v>32</v>
      </c>
      <c r="H7046" t="s">
        <v>33</v>
      </c>
      <c r="I7046" t="s">
        <v>1029</v>
      </c>
      <c r="J7046" t="s">
        <v>56</v>
      </c>
      <c r="AB7046" t="s">
        <v>47</v>
      </c>
      <c r="AC7046" t="s">
        <v>87</v>
      </c>
    </row>
    <row r="7047" spans="1:30" x14ac:dyDescent="0.35">
      <c r="A7047" s="7">
        <v>43284</v>
      </c>
      <c r="B7047" t="s">
        <v>30</v>
      </c>
      <c r="C7047">
        <v>703</v>
      </c>
      <c r="D7047">
        <v>4</v>
      </c>
      <c r="E7047">
        <v>1</v>
      </c>
      <c r="F7047" t="s">
        <v>1020</v>
      </c>
      <c r="G7047" t="s">
        <v>32</v>
      </c>
      <c r="H7047" t="s">
        <v>33</v>
      </c>
      <c r="I7047" t="s">
        <v>72</v>
      </c>
      <c r="J7047" t="s">
        <v>56</v>
      </c>
      <c r="AB7047" t="s">
        <v>47</v>
      </c>
      <c r="AC7047" t="s">
        <v>87</v>
      </c>
    </row>
    <row r="7048" spans="1:30" x14ac:dyDescent="0.35">
      <c r="A7048" s="7">
        <v>43284</v>
      </c>
      <c r="B7048" t="s">
        <v>30</v>
      </c>
      <c r="C7048">
        <v>803</v>
      </c>
      <c r="D7048">
        <v>6</v>
      </c>
      <c r="E7048">
        <v>1</v>
      </c>
      <c r="F7048" t="s">
        <v>1020</v>
      </c>
      <c r="G7048" t="s">
        <v>32</v>
      </c>
      <c r="H7048" t="s">
        <v>33</v>
      </c>
      <c r="I7048" t="s">
        <v>72</v>
      </c>
      <c r="J7048" t="s">
        <v>66</v>
      </c>
      <c r="AB7048" t="s">
        <v>47</v>
      </c>
      <c r="AC7048" t="s">
        <v>87</v>
      </c>
    </row>
    <row r="7049" spans="1:30" x14ac:dyDescent="0.35">
      <c r="A7049" s="7">
        <v>43284</v>
      </c>
      <c r="B7049" t="s">
        <v>30</v>
      </c>
      <c r="C7049">
        <v>303</v>
      </c>
      <c r="D7049">
        <v>9</v>
      </c>
      <c r="E7049">
        <v>1</v>
      </c>
      <c r="F7049" t="s">
        <v>1139</v>
      </c>
      <c r="G7049" t="s">
        <v>32</v>
      </c>
      <c r="H7049" t="s">
        <v>33</v>
      </c>
      <c r="I7049" t="s">
        <v>1183</v>
      </c>
      <c r="J7049" t="s">
        <v>56</v>
      </c>
      <c r="AB7049" t="s">
        <v>47</v>
      </c>
      <c r="AC7049" t="s">
        <v>87</v>
      </c>
    </row>
    <row r="7050" spans="1:30" x14ac:dyDescent="0.35">
      <c r="A7050" s="7">
        <v>43284</v>
      </c>
      <c r="B7050" t="s">
        <v>30</v>
      </c>
      <c r="C7050">
        <v>503</v>
      </c>
      <c r="D7050">
        <v>6</v>
      </c>
      <c r="E7050">
        <v>1</v>
      </c>
      <c r="F7050" t="s">
        <v>1139</v>
      </c>
      <c r="G7050" t="s">
        <v>32</v>
      </c>
      <c r="H7050" t="s">
        <v>33</v>
      </c>
      <c r="I7050" t="s">
        <v>1183</v>
      </c>
      <c r="J7050" t="s">
        <v>56</v>
      </c>
      <c r="AB7050" t="s">
        <v>47</v>
      </c>
      <c r="AC7050" t="s">
        <v>87</v>
      </c>
    </row>
    <row r="7051" spans="1:30" x14ac:dyDescent="0.35">
      <c r="A7051" s="7">
        <v>43284</v>
      </c>
      <c r="B7051" t="s">
        <v>30</v>
      </c>
      <c r="C7051">
        <v>503</v>
      </c>
      <c r="D7051">
        <v>7</v>
      </c>
      <c r="E7051">
        <v>1</v>
      </c>
      <c r="F7051" t="s">
        <v>1139</v>
      </c>
      <c r="G7051" t="s">
        <v>32</v>
      </c>
      <c r="H7051" t="s">
        <v>33</v>
      </c>
      <c r="I7051" t="s">
        <v>1183</v>
      </c>
      <c r="J7051" t="s">
        <v>56</v>
      </c>
      <c r="AB7051" t="s">
        <v>47</v>
      </c>
      <c r="AC7051" t="s">
        <v>87</v>
      </c>
    </row>
    <row r="7052" spans="1:30" x14ac:dyDescent="0.35">
      <c r="A7052" s="7">
        <v>43284</v>
      </c>
      <c r="B7052" t="s">
        <v>30</v>
      </c>
      <c r="C7052">
        <v>501</v>
      </c>
      <c r="D7052">
        <v>10</v>
      </c>
      <c r="E7052">
        <v>1</v>
      </c>
      <c r="F7052" t="s">
        <v>1139</v>
      </c>
      <c r="G7052" t="s">
        <v>32</v>
      </c>
      <c r="H7052" t="s">
        <v>33</v>
      </c>
      <c r="I7052" t="s">
        <v>84</v>
      </c>
      <c r="AB7052" t="s">
        <v>47</v>
      </c>
      <c r="AC7052" t="s">
        <v>87</v>
      </c>
    </row>
    <row r="7053" spans="1:30" x14ac:dyDescent="0.35">
      <c r="A7053" s="7">
        <v>43284</v>
      </c>
      <c r="B7053" t="s">
        <v>30</v>
      </c>
      <c r="C7053">
        <v>303</v>
      </c>
      <c r="D7053">
        <v>7</v>
      </c>
      <c r="E7053">
        <v>2</v>
      </c>
      <c r="F7053" t="s">
        <v>1139</v>
      </c>
      <c r="G7053" t="s">
        <v>32</v>
      </c>
      <c r="H7053" t="s">
        <v>33</v>
      </c>
      <c r="I7053" t="s">
        <v>59</v>
      </c>
      <c r="AB7053" t="s">
        <v>47</v>
      </c>
      <c r="AC7053" t="s">
        <v>87</v>
      </c>
    </row>
    <row r="7054" spans="1:30" x14ac:dyDescent="0.35">
      <c r="A7054" s="7">
        <v>43284</v>
      </c>
      <c r="B7054" t="s">
        <v>30</v>
      </c>
      <c r="C7054">
        <v>303</v>
      </c>
      <c r="D7054">
        <v>8</v>
      </c>
      <c r="E7054">
        <v>2</v>
      </c>
      <c r="F7054" t="s">
        <v>1139</v>
      </c>
      <c r="G7054" t="s">
        <v>32</v>
      </c>
      <c r="H7054" t="s">
        <v>33</v>
      </c>
      <c r="I7054" t="s">
        <v>59</v>
      </c>
      <c r="AB7054" t="s">
        <v>47</v>
      </c>
      <c r="AC7054" t="s">
        <v>87</v>
      </c>
    </row>
    <row r="7055" spans="1:30" x14ac:dyDescent="0.35">
      <c r="A7055" s="7">
        <v>43284</v>
      </c>
      <c r="B7055" t="s">
        <v>30</v>
      </c>
      <c r="C7055">
        <v>303</v>
      </c>
      <c r="D7055">
        <v>9</v>
      </c>
      <c r="E7055">
        <v>2</v>
      </c>
      <c r="F7055" t="s">
        <v>1139</v>
      </c>
      <c r="G7055" t="s">
        <v>32</v>
      </c>
      <c r="H7055" t="s">
        <v>33</v>
      </c>
      <c r="I7055" t="s">
        <v>59</v>
      </c>
      <c r="AB7055" t="s">
        <v>47</v>
      </c>
      <c r="AC7055" t="s">
        <v>87</v>
      </c>
    </row>
    <row r="7056" spans="1:30" x14ac:dyDescent="0.35">
      <c r="A7056" s="7">
        <v>43284</v>
      </c>
      <c r="B7056" t="s">
        <v>30</v>
      </c>
      <c r="C7056">
        <v>501</v>
      </c>
      <c r="D7056">
        <v>1</v>
      </c>
      <c r="E7056">
        <v>2</v>
      </c>
      <c r="F7056" t="s">
        <v>1139</v>
      </c>
      <c r="G7056" t="s">
        <v>32</v>
      </c>
      <c r="H7056" t="s">
        <v>33</v>
      </c>
      <c r="I7056" t="s">
        <v>59</v>
      </c>
      <c r="AB7056" t="s">
        <v>47</v>
      </c>
      <c r="AC7056" t="s">
        <v>87</v>
      </c>
    </row>
    <row r="7057" spans="1:30" x14ac:dyDescent="0.35">
      <c r="A7057" s="7">
        <v>43284</v>
      </c>
      <c r="B7057" t="s">
        <v>30</v>
      </c>
      <c r="C7057">
        <v>501</v>
      </c>
      <c r="D7057">
        <v>2</v>
      </c>
      <c r="E7057">
        <v>1</v>
      </c>
      <c r="F7057" t="s">
        <v>1139</v>
      </c>
      <c r="G7057" t="s">
        <v>32</v>
      </c>
      <c r="H7057" t="s">
        <v>33</v>
      </c>
      <c r="I7057" t="s">
        <v>59</v>
      </c>
      <c r="J7057" t="s">
        <v>35</v>
      </c>
      <c r="AB7057" t="s">
        <v>47</v>
      </c>
      <c r="AC7057" t="s">
        <v>87</v>
      </c>
    </row>
    <row r="7058" spans="1:30" x14ac:dyDescent="0.35">
      <c r="A7058" s="7">
        <v>43284</v>
      </c>
      <c r="B7058" t="s">
        <v>30</v>
      </c>
      <c r="C7058">
        <v>501</v>
      </c>
      <c r="D7058">
        <v>4</v>
      </c>
      <c r="E7058">
        <v>1</v>
      </c>
      <c r="F7058" t="s">
        <v>1139</v>
      </c>
      <c r="G7058" t="s">
        <v>32</v>
      </c>
      <c r="H7058" t="s">
        <v>33</v>
      </c>
      <c r="I7058" t="s">
        <v>59</v>
      </c>
      <c r="AB7058" t="s">
        <v>47</v>
      </c>
      <c r="AC7058" t="s">
        <v>87</v>
      </c>
    </row>
    <row r="7059" spans="1:30" x14ac:dyDescent="0.35">
      <c r="A7059" s="7">
        <v>43284</v>
      </c>
      <c r="B7059" t="s">
        <v>30</v>
      </c>
      <c r="C7059">
        <v>501</v>
      </c>
      <c r="D7059">
        <v>4</v>
      </c>
      <c r="E7059">
        <v>2</v>
      </c>
      <c r="F7059" t="s">
        <v>1139</v>
      </c>
      <c r="G7059" t="s">
        <v>32</v>
      </c>
      <c r="H7059" t="s">
        <v>33</v>
      </c>
      <c r="I7059" t="s">
        <v>59</v>
      </c>
      <c r="AB7059" t="s">
        <v>47</v>
      </c>
      <c r="AC7059" t="s">
        <v>87</v>
      </c>
    </row>
    <row r="7060" spans="1:30" x14ac:dyDescent="0.35">
      <c r="A7060" s="7">
        <v>43284</v>
      </c>
      <c r="B7060" t="s">
        <v>30</v>
      </c>
      <c r="C7060">
        <v>701</v>
      </c>
      <c r="D7060">
        <v>3</v>
      </c>
      <c r="E7060">
        <v>1</v>
      </c>
      <c r="F7060" t="s">
        <v>1020</v>
      </c>
      <c r="G7060" t="s">
        <v>32</v>
      </c>
      <c r="H7060" t="s">
        <v>33</v>
      </c>
      <c r="I7060" t="s">
        <v>59</v>
      </c>
      <c r="AB7060" t="s">
        <v>47</v>
      </c>
      <c r="AC7060" t="s">
        <v>87</v>
      </c>
    </row>
    <row r="7061" spans="1:30" x14ac:dyDescent="0.35">
      <c r="A7061" s="7">
        <v>43284</v>
      </c>
      <c r="B7061" t="s">
        <v>30</v>
      </c>
      <c r="C7061">
        <v>701</v>
      </c>
      <c r="D7061">
        <v>8</v>
      </c>
      <c r="E7061">
        <v>1</v>
      </c>
      <c r="F7061" t="s">
        <v>1020</v>
      </c>
      <c r="G7061" t="s">
        <v>32</v>
      </c>
      <c r="H7061" t="s">
        <v>33</v>
      </c>
      <c r="I7061" t="s">
        <v>59</v>
      </c>
      <c r="AB7061" t="s">
        <v>47</v>
      </c>
      <c r="AC7061" t="s">
        <v>87</v>
      </c>
    </row>
    <row r="7062" spans="1:30" x14ac:dyDescent="0.35">
      <c r="A7062" s="7">
        <v>43284</v>
      </c>
      <c r="B7062" t="s">
        <v>30</v>
      </c>
      <c r="C7062">
        <v>703</v>
      </c>
      <c r="D7062">
        <v>1</v>
      </c>
      <c r="E7062">
        <v>1</v>
      </c>
      <c r="F7062" t="s">
        <v>1020</v>
      </c>
      <c r="G7062" t="s">
        <v>32</v>
      </c>
      <c r="H7062" t="s">
        <v>33</v>
      </c>
      <c r="I7062" t="s">
        <v>59</v>
      </c>
      <c r="AB7062" t="s">
        <v>47</v>
      </c>
      <c r="AC7062" t="s">
        <v>87</v>
      </c>
    </row>
    <row r="7063" spans="1:30" x14ac:dyDescent="0.35">
      <c r="A7063" s="7">
        <v>43284</v>
      </c>
      <c r="B7063" t="s">
        <v>30</v>
      </c>
      <c r="C7063">
        <v>703</v>
      </c>
      <c r="D7063">
        <v>2</v>
      </c>
      <c r="E7063">
        <v>2</v>
      </c>
      <c r="F7063" t="s">
        <v>1020</v>
      </c>
      <c r="G7063" t="s">
        <v>32</v>
      </c>
      <c r="H7063" t="s">
        <v>33</v>
      </c>
      <c r="I7063" t="s">
        <v>59</v>
      </c>
      <c r="AB7063" t="s">
        <v>47</v>
      </c>
      <c r="AC7063" t="s">
        <v>87</v>
      </c>
      <c r="AD7063" s="8"/>
    </row>
    <row r="7064" spans="1:30" x14ac:dyDescent="0.35">
      <c r="A7064" s="7">
        <v>43284</v>
      </c>
      <c r="B7064" t="s">
        <v>30</v>
      </c>
      <c r="C7064">
        <v>703</v>
      </c>
      <c r="D7064">
        <v>3</v>
      </c>
      <c r="E7064">
        <v>1</v>
      </c>
      <c r="F7064" t="s">
        <v>1020</v>
      </c>
      <c r="G7064" t="s">
        <v>32</v>
      </c>
      <c r="H7064" t="s">
        <v>33</v>
      </c>
      <c r="I7064" t="s">
        <v>59</v>
      </c>
      <c r="AB7064" t="s">
        <v>47</v>
      </c>
      <c r="AC7064" t="s">
        <v>87</v>
      </c>
    </row>
    <row r="7065" spans="1:30" x14ac:dyDescent="0.35">
      <c r="A7065" s="7">
        <v>43284</v>
      </c>
      <c r="B7065" t="s">
        <v>30</v>
      </c>
      <c r="C7065">
        <v>703</v>
      </c>
      <c r="D7065">
        <v>5</v>
      </c>
      <c r="E7065">
        <v>2</v>
      </c>
      <c r="F7065" t="s">
        <v>1020</v>
      </c>
      <c r="G7065" t="s">
        <v>32</v>
      </c>
      <c r="H7065" t="s">
        <v>33</v>
      </c>
      <c r="I7065" t="s">
        <v>59</v>
      </c>
      <c r="AB7065" t="s">
        <v>47</v>
      </c>
      <c r="AC7065" t="s">
        <v>87</v>
      </c>
    </row>
    <row r="7066" spans="1:30" x14ac:dyDescent="0.35">
      <c r="A7066" s="7">
        <v>43284</v>
      </c>
      <c r="B7066" t="s">
        <v>30</v>
      </c>
      <c r="C7066">
        <v>703</v>
      </c>
      <c r="D7066">
        <v>7</v>
      </c>
      <c r="E7066">
        <v>1</v>
      </c>
      <c r="F7066" t="s">
        <v>1020</v>
      </c>
      <c r="G7066" t="s">
        <v>32</v>
      </c>
      <c r="H7066" t="s">
        <v>33</v>
      </c>
      <c r="I7066" t="s">
        <v>59</v>
      </c>
      <c r="AB7066" t="s">
        <v>47</v>
      </c>
      <c r="AC7066" t="s">
        <v>87</v>
      </c>
    </row>
    <row r="7067" spans="1:30" x14ac:dyDescent="0.35">
      <c r="A7067" s="7">
        <v>43284</v>
      </c>
      <c r="B7067" t="s">
        <v>30</v>
      </c>
      <c r="C7067">
        <v>703</v>
      </c>
      <c r="D7067">
        <v>7</v>
      </c>
      <c r="E7067">
        <v>2</v>
      </c>
      <c r="F7067" t="s">
        <v>1020</v>
      </c>
      <c r="G7067" t="s">
        <v>32</v>
      </c>
      <c r="H7067" t="s">
        <v>33</v>
      </c>
      <c r="I7067" t="s">
        <v>59</v>
      </c>
      <c r="AB7067" t="s">
        <v>47</v>
      </c>
      <c r="AC7067" t="s">
        <v>87</v>
      </c>
    </row>
    <row r="7068" spans="1:30" x14ac:dyDescent="0.35">
      <c r="A7068" s="7">
        <v>43284</v>
      </c>
      <c r="B7068" t="s">
        <v>30</v>
      </c>
      <c r="C7068">
        <v>703</v>
      </c>
      <c r="D7068">
        <v>9</v>
      </c>
      <c r="E7068">
        <v>1</v>
      </c>
      <c r="F7068" t="s">
        <v>1020</v>
      </c>
      <c r="G7068" t="s">
        <v>32</v>
      </c>
      <c r="H7068" t="s">
        <v>33</v>
      </c>
      <c r="I7068" t="s">
        <v>59</v>
      </c>
      <c r="AB7068" t="s">
        <v>47</v>
      </c>
      <c r="AC7068" t="s">
        <v>87</v>
      </c>
    </row>
    <row r="7069" spans="1:30" x14ac:dyDescent="0.35">
      <c r="A7069" s="7">
        <v>43284</v>
      </c>
      <c r="B7069" t="s">
        <v>30</v>
      </c>
      <c r="C7069">
        <v>703</v>
      </c>
      <c r="D7069">
        <v>10</v>
      </c>
      <c r="E7069">
        <v>1</v>
      </c>
      <c r="F7069" t="s">
        <v>1020</v>
      </c>
      <c r="G7069" t="s">
        <v>32</v>
      </c>
      <c r="H7069" t="s">
        <v>33</v>
      </c>
      <c r="I7069" t="s">
        <v>59</v>
      </c>
      <c r="AB7069" t="s">
        <v>47</v>
      </c>
      <c r="AC7069" t="s">
        <v>87</v>
      </c>
    </row>
    <row r="7070" spans="1:30" x14ac:dyDescent="0.35">
      <c r="A7070" s="7">
        <v>43284</v>
      </c>
      <c r="B7070" t="s">
        <v>30</v>
      </c>
      <c r="C7070">
        <v>801</v>
      </c>
      <c r="D7070">
        <v>3</v>
      </c>
      <c r="E7070">
        <v>1</v>
      </c>
      <c r="F7070" t="s">
        <v>1020</v>
      </c>
      <c r="G7070" t="s">
        <v>32</v>
      </c>
      <c r="H7070" t="s">
        <v>33</v>
      </c>
      <c r="I7070" t="s">
        <v>59</v>
      </c>
      <c r="AB7070" t="s">
        <v>47</v>
      </c>
      <c r="AC7070" t="s">
        <v>87</v>
      </c>
    </row>
    <row r="7071" spans="1:30" x14ac:dyDescent="0.35">
      <c r="A7071" s="7">
        <v>43284</v>
      </c>
      <c r="B7071" t="s">
        <v>30</v>
      </c>
      <c r="C7071">
        <v>801</v>
      </c>
      <c r="D7071">
        <v>5</v>
      </c>
      <c r="E7071">
        <v>1</v>
      </c>
      <c r="F7071" t="s">
        <v>1020</v>
      </c>
      <c r="G7071" t="s">
        <v>32</v>
      </c>
      <c r="H7071" t="s">
        <v>33</v>
      </c>
      <c r="I7071" t="s">
        <v>59</v>
      </c>
      <c r="AB7071" t="s">
        <v>47</v>
      </c>
      <c r="AC7071" t="s">
        <v>87</v>
      </c>
    </row>
    <row r="7072" spans="1:30" x14ac:dyDescent="0.35">
      <c r="A7072" s="7">
        <v>43284</v>
      </c>
      <c r="B7072" t="s">
        <v>30</v>
      </c>
      <c r="C7072">
        <v>801</v>
      </c>
      <c r="D7072">
        <v>6</v>
      </c>
      <c r="E7072">
        <v>1</v>
      </c>
      <c r="F7072" t="s">
        <v>1020</v>
      </c>
      <c r="G7072" t="s">
        <v>32</v>
      </c>
      <c r="H7072" t="s">
        <v>33</v>
      </c>
      <c r="I7072" t="s">
        <v>59</v>
      </c>
      <c r="AB7072" t="s">
        <v>47</v>
      </c>
      <c r="AC7072" t="s">
        <v>87</v>
      </c>
    </row>
    <row r="7073" spans="1:30" x14ac:dyDescent="0.35">
      <c r="A7073" s="7">
        <v>43284</v>
      </c>
      <c r="B7073" t="s">
        <v>30</v>
      </c>
      <c r="C7073">
        <v>803</v>
      </c>
      <c r="D7073">
        <v>8</v>
      </c>
      <c r="E7073">
        <v>1</v>
      </c>
      <c r="F7073" t="s">
        <v>1020</v>
      </c>
      <c r="G7073" t="s">
        <v>32</v>
      </c>
      <c r="H7073" t="s">
        <v>33</v>
      </c>
      <c r="I7073" t="s">
        <v>59</v>
      </c>
      <c r="AB7073" t="s">
        <v>47</v>
      </c>
      <c r="AC7073" t="s">
        <v>87</v>
      </c>
    </row>
    <row r="7074" spans="1:30" x14ac:dyDescent="0.35">
      <c r="A7074" s="7">
        <v>43284</v>
      </c>
      <c r="B7074" t="s">
        <v>30</v>
      </c>
      <c r="C7074">
        <v>803</v>
      </c>
      <c r="D7074">
        <v>10</v>
      </c>
      <c r="E7074">
        <v>1</v>
      </c>
      <c r="F7074" t="s">
        <v>1020</v>
      </c>
      <c r="G7074" t="s">
        <v>32</v>
      </c>
      <c r="H7074" t="s">
        <v>33</v>
      </c>
      <c r="I7074" t="s">
        <v>59</v>
      </c>
      <c r="AB7074" t="s">
        <v>47</v>
      </c>
      <c r="AC7074" t="s">
        <v>87</v>
      </c>
    </row>
    <row r="7075" spans="1:30" x14ac:dyDescent="0.35">
      <c r="A7075" s="7">
        <v>43284</v>
      </c>
      <c r="B7075" t="s">
        <v>30</v>
      </c>
      <c r="C7075">
        <v>901</v>
      </c>
      <c r="D7075">
        <v>1</v>
      </c>
      <c r="E7075">
        <v>1</v>
      </c>
      <c r="F7075" t="s">
        <v>1020</v>
      </c>
      <c r="G7075" t="s">
        <v>32</v>
      </c>
      <c r="H7075" t="s">
        <v>33</v>
      </c>
      <c r="I7075" t="s">
        <v>59</v>
      </c>
      <c r="AB7075" t="s">
        <v>47</v>
      </c>
      <c r="AC7075" t="s">
        <v>87</v>
      </c>
    </row>
    <row r="7076" spans="1:30" x14ac:dyDescent="0.35">
      <c r="A7076" s="7">
        <v>43284</v>
      </c>
      <c r="B7076" t="s">
        <v>30</v>
      </c>
      <c r="C7076">
        <v>901</v>
      </c>
      <c r="D7076">
        <v>5</v>
      </c>
      <c r="E7076">
        <v>1</v>
      </c>
      <c r="F7076" t="s">
        <v>1020</v>
      </c>
      <c r="G7076" t="s">
        <v>32</v>
      </c>
      <c r="H7076" t="s">
        <v>33</v>
      </c>
      <c r="I7076" t="s">
        <v>59</v>
      </c>
      <c r="AB7076" t="s">
        <v>47</v>
      </c>
      <c r="AC7076" t="s">
        <v>87</v>
      </c>
    </row>
    <row r="7077" spans="1:30" x14ac:dyDescent="0.35">
      <c r="A7077" s="7">
        <v>43284</v>
      </c>
      <c r="B7077" t="s">
        <v>30</v>
      </c>
      <c r="C7077">
        <v>503</v>
      </c>
      <c r="D7077">
        <v>10</v>
      </c>
      <c r="E7077">
        <v>9</v>
      </c>
      <c r="F7077" t="s">
        <v>1139</v>
      </c>
      <c r="G7077" t="s">
        <v>32</v>
      </c>
      <c r="H7077" t="s">
        <v>33</v>
      </c>
      <c r="I7077" t="s">
        <v>94</v>
      </c>
      <c r="J7077" t="s">
        <v>35</v>
      </c>
      <c r="K7077" t="s">
        <v>36</v>
      </c>
      <c r="L7077" t="s">
        <v>45</v>
      </c>
      <c r="M7077">
        <v>0</v>
      </c>
      <c r="N7077">
        <v>1</v>
      </c>
      <c r="O7077">
        <v>1023</v>
      </c>
      <c r="Q7077">
        <f>39-14</f>
        <v>25</v>
      </c>
      <c r="R7077" t="s">
        <v>46</v>
      </c>
      <c r="S7077" t="s">
        <v>39</v>
      </c>
      <c r="AB7077" t="s">
        <v>47</v>
      </c>
      <c r="AC7077" t="s">
        <v>87</v>
      </c>
      <c r="AD7077" t="s">
        <v>1188</v>
      </c>
    </row>
    <row r="7078" spans="1:30" x14ac:dyDescent="0.35">
      <c r="A7078" s="7">
        <v>43285</v>
      </c>
      <c r="B7078" t="s">
        <v>30</v>
      </c>
      <c r="C7078">
        <v>303</v>
      </c>
      <c r="D7078">
        <v>1</v>
      </c>
      <c r="E7078">
        <v>1</v>
      </c>
      <c r="F7078" t="s">
        <v>1139</v>
      </c>
      <c r="G7078" t="s">
        <v>32</v>
      </c>
      <c r="H7078" t="s">
        <v>33</v>
      </c>
      <c r="I7078" t="s">
        <v>43</v>
      </c>
      <c r="J7078" t="s">
        <v>35</v>
      </c>
      <c r="K7078" t="s">
        <v>36</v>
      </c>
      <c r="L7078" t="s">
        <v>45</v>
      </c>
      <c r="M7078">
        <v>0</v>
      </c>
      <c r="N7078">
        <v>1</v>
      </c>
      <c r="O7078">
        <v>1185</v>
      </c>
      <c r="P7078">
        <v>1184</v>
      </c>
      <c r="Q7078">
        <f>35-15</f>
        <v>20</v>
      </c>
      <c r="R7078" t="s">
        <v>46</v>
      </c>
      <c r="S7078" t="s">
        <v>39</v>
      </c>
      <c r="AB7078" t="s">
        <v>47</v>
      </c>
      <c r="AC7078" t="s">
        <v>87</v>
      </c>
    </row>
    <row r="7079" spans="1:30" x14ac:dyDescent="0.35">
      <c r="A7079" s="7">
        <v>43285</v>
      </c>
      <c r="B7079" t="s">
        <v>30</v>
      </c>
      <c r="C7079">
        <v>303</v>
      </c>
      <c r="D7079">
        <v>1</v>
      </c>
      <c r="E7079">
        <v>2</v>
      </c>
      <c r="F7079" t="s">
        <v>1139</v>
      </c>
      <c r="G7079" t="s">
        <v>32</v>
      </c>
      <c r="H7079" t="s">
        <v>33</v>
      </c>
      <c r="I7079" t="s">
        <v>43</v>
      </c>
      <c r="J7079" t="s">
        <v>44</v>
      </c>
      <c r="K7079" t="s">
        <v>36</v>
      </c>
      <c r="L7079" t="s">
        <v>45</v>
      </c>
      <c r="M7079">
        <v>0</v>
      </c>
      <c r="N7079">
        <v>0</v>
      </c>
      <c r="O7079">
        <v>1006</v>
      </c>
      <c r="P7079">
        <v>1005</v>
      </c>
      <c r="Q7079">
        <f>28-15</f>
        <v>13</v>
      </c>
      <c r="R7079" t="s">
        <v>46</v>
      </c>
      <c r="S7079" t="s">
        <v>39</v>
      </c>
      <c r="AB7079" t="s">
        <v>47</v>
      </c>
      <c r="AC7079" t="s">
        <v>87</v>
      </c>
    </row>
    <row r="7080" spans="1:30" x14ac:dyDescent="0.35">
      <c r="A7080" s="7">
        <v>43285</v>
      </c>
      <c r="B7080" t="s">
        <v>30</v>
      </c>
      <c r="C7080">
        <v>303</v>
      </c>
      <c r="D7080">
        <v>2</v>
      </c>
      <c r="E7080">
        <v>2</v>
      </c>
      <c r="F7080" t="s">
        <v>1139</v>
      </c>
      <c r="G7080" t="s">
        <v>32</v>
      </c>
      <c r="H7080" t="s">
        <v>33</v>
      </c>
      <c r="I7080" t="s">
        <v>43</v>
      </c>
      <c r="J7080" t="s">
        <v>44</v>
      </c>
      <c r="K7080" t="s">
        <v>36</v>
      </c>
      <c r="L7080" t="s">
        <v>45</v>
      </c>
      <c r="M7080">
        <v>0</v>
      </c>
      <c r="N7080">
        <v>0</v>
      </c>
      <c r="O7080">
        <v>2903</v>
      </c>
      <c r="P7080">
        <v>2901</v>
      </c>
      <c r="Q7080">
        <f>30-13</f>
        <v>17</v>
      </c>
      <c r="R7080" t="s">
        <v>46</v>
      </c>
      <c r="S7080" t="s">
        <v>39</v>
      </c>
      <c r="AB7080" t="s">
        <v>47</v>
      </c>
      <c r="AC7080" t="s">
        <v>87</v>
      </c>
    </row>
    <row r="7081" spans="1:30" x14ac:dyDescent="0.35">
      <c r="A7081" s="7">
        <v>43285</v>
      </c>
      <c r="B7081" t="s">
        <v>30</v>
      </c>
      <c r="C7081">
        <v>303</v>
      </c>
      <c r="D7081">
        <v>4</v>
      </c>
      <c r="E7081">
        <v>1</v>
      </c>
      <c r="F7081" t="s">
        <v>1139</v>
      </c>
      <c r="G7081" t="s">
        <v>32</v>
      </c>
      <c r="H7081" t="s">
        <v>33</v>
      </c>
      <c r="I7081" t="s">
        <v>43</v>
      </c>
      <c r="J7081" t="s">
        <v>44</v>
      </c>
      <c r="K7081" t="s">
        <v>113</v>
      </c>
      <c r="L7081" t="s">
        <v>45</v>
      </c>
      <c r="M7081">
        <v>0</v>
      </c>
      <c r="N7081">
        <v>0</v>
      </c>
      <c r="O7081">
        <v>1116</v>
      </c>
      <c r="P7081">
        <v>1183</v>
      </c>
      <c r="Q7081">
        <f>32-14</f>
        <v>18</v>
      </c>
      <c r="R7081" t="s">
        <v>46</v>
      </c>
      <c r="S7081" t="s">
        <v>39</v>
      </c>
      <c r="AB7081" t="s">
        <v>47</v>
      </c>
      <c r="AC7081" t="s">
        <v>87</v>
      </c>
    </row>
    <row r="7082" spans="1:30" x14ac:dyDescent="0.35">
      <c r="A7082" s="7">
        <v>43285</v>
      </c>
      <c r="B7082" t="s">
        <v>30</v>
      </c>
      <c r="C7082">
        <v>303</v>
      </c>
      <c r="D7082">
        <v>7</v>
      </c>
      <c r="E7082">
        <v>1</v>
      </c>
      <c r="F7082" t="s">
        <v>1139</v>
      </c>
      <c r="G7082" t="s">
        <v>32</v>
      </c>
      <c r="H7082" t="s">
        <v>33</v>
      </c>
      <c r="I7082" t="s">
        <v>43</v>
      </c>
      <c r="J7082" t="s">
        <v>35</v>
      </c>
      <c r="K7082" t="s">
        <v>36</v>
      </c>
      <c r="L7082" t="s">
        <v>37</v>
      </c>
      <c r="M7082">
        <v>0</v>
      </c>
      <c r="N7082">
        <v>1</v>
      </c>
      <c r="O7082">
        <v>1182</v>
      </c>
      <c r="P7082">
        <v>1181</v>
      </c>
      <c r="Q7082">
        <f>29-14</f>
        <v>15</v>
      </c>
      <c r="R7082" t="s">
        <v>64</v>
      </c>
      <c r="AB7082" t="s">
        <v>47</v>
      </c>
      <c r="AC7082" t="s">
        <v>87</v>
      </c>
    </row>
    <row r="7083" spans="1:30" x14ac:dyDescent="0.35">
      <c r="A7083" s="7">
        <v>43285</v>
      </c>
      <c r="B7083" t="s">
        <v>30</v>
      </c>
      <c r="C7083">
        <v>303</v>
      </c>
      <c r="D7083">
        <v>9</v>
      </c>
      <c r="E7083">
        <v>1</v>
      </c>
      <c r="F7083" t="s">
        <v>1139</v>
      </c>
      <c r="G7083" t="s">
        <v>32</v>
      </c>
      <c r="H7083" t="s">
        <v>33</v>
      </c>
      <c r="I7083" t="s">
        <v>43</v>
      </c>
      <c r="J7083" t="s">
        <v>44</v>
      </c>
      <c r="K7083" t="s">
        <v>36</v>
      </c>
      <c r="L7083" t="s">
        <v>45</v>
      </c>
      <c r="M7083">
        <v>0</v>
      </c>
      <c r="N7083">
        <v>0</v>
      </c>
      <c r="O7083">
        <v>2913</v>
      </c>
      <c r="P7083">
        <v>2912</v>
      </c>
      <c r="Q7083">
        <f>33-14</f>
        <v>19</v>
      </c>
      <c r="R7083" t="s">
        <v>1021</v>
      </c>
      <c r="S7083" t="s">
        <v>102</v>
      </c>
      <c r="AB7083" t="s">
        <v>47</v>
      </c>
      <c r="AC7083" t="s">
        <v>87</v>
      </c>
    </row>
    <row r="7084" spans="1:30" x14ac:dyDescent="0.35">
      <c r="A7084" s="7">
        <v>43285</v>
      </c>
      <c r="B7084" t="s">
        <v>30</v>
      </c>
      <c r="C7084">
        <v>401</v>
      </c>
      <c r="D7084">
        <v>4</v>
      </c>
      <c r="E7084">
        <v>1</v>
      </c>
      <c r="F7084" t="s">
        <v>1139</v>
      </c>
      <c r="G7084" t="s">
        <v>32</v>
      </c>
      <c r="H7084" t="s">
        <v>33</v>
      </c>
      <c r="I7084" t="s">
        <v>43</v>
      </c>
      <c r="J7084" t="s">
        <v>35</v>
      </c>
      <c r="K7084" t="s">
        <v>36</v>
      </c>
      <c r="L7084" t="s">
        <v>45</v>
      </c>
      <c r="M7084">
        <v>0</v>
      </c>
      <c r="N7084">
        <v>1</v>
      </c>
      <c r="O7084">
        <v>1188</v>
      </c>
      <c r="P7084">
        <v>1187</v>
      </c>
      <c r="Q7084">
        <f>34-14</f>
        <v>20</v>
      </c>
      <c r="R7084" t="s">
        <v>1021</v>
      </c>
      <c r="S7084" t="s">
        <v>102</v>
      </c>
      <c r="AB7084" t="s">
        <v>47</v>
      </c>
      <c r="AC7084" t="s">
        <v>87</v>
      </c>
    </row>
    <row r="7085" spans="1:30" x14ac:dyDescent="0.35">
      <c r="A7085" s="7">
        <v>43285</v>
      </c>
      <c r="B7085" t="s">
        <v>30</v>
      </c>
      <c r="C7085">
        <v>401</v>
      </c>
      <c r="D7085">
        <v>6</v>
      </c>
      <c r="E7085">
        <v>1</v>
      </c>
      <c r="F7085" t="s">
        <v>1139</v>
      </c>
      <c r="G7085" t="s">
        <v>32</v>
      </c>
      <c r="H7085" t="s">
        <v>33</v>
      </c>
      <c r="I7085" t="s">
        <v>43</v>
      </c>
      <c r="J7085" t="s">
        <v>44</v>
      </c>
      <c r="K7085" t="s">
        <v>36</v>
      </c>
      <c r="L7085" t="s">
        <v>37</v>
      </c>
      <c r="M7085">
        <v>0</v>
      </c>
      <c r="N7085">
        <v>0</v>
      </c>
      <c r="O7085">
        <v>1022</v>
      </c>
      <c r="P7085">
        <v>2812</v>
      </c>
      <c r="Q7085">
        <f>35-14.5</f>
        <v>20.5</v>
      </c>
      <c r="R7085" t="s">
        <v>38</v>
      </c>
      <c r="AB7085" t="s">
        <v>47</v>
      </c>
      <c r="AC7085" t="s">
        <v>87</v>
      </c>
    </row>
    <row r="7086" spans="1:30" x14ac:dyDescent="0.35">
      <c r="A7086" s="7">
        <v>43285</v>
      </c>
      <c r="B7086" t="s">
        <v>30</v>
      </c>
      <c r="C7086">
        <v>401</v>
      </c>
      <c r="D7086">
        <v>7</v>
      </c>
      <c r="E7086">
        <v>1</v>
      </c>
      <c r="F7086" t="s">
        <v>1139</v>
      </c>
      <c r="G7086" t="s">
        <v>32</v>
      </c>
      <c r="H7086" t="s">
        <v>33</v>
      </c>
      <c r="I7086" t="s">
        <v>43</v>
      </c>
      <c r="J7086" t="s">
        <v>44</v>
      </c>
      <c r="K7086" t="s">
        <v>36</v>
      </c>
      <c r="L7086" t="s">
        <v>37</v>
      </c>
      <c r="M7086">
        <v>0</v>
      </c>
      <c r="N7086">
        <v>0</v>
      </c>
      <c r="O7086">
        <v>2911</v>
      </c>
      <c r="P7086">
        <v>2910</v>
      </c>
      <c r="Q7086">
        <f>32-14</f>
        <v>18</v>
      </c>
      <c r="R7086" t="s">
        <v>64</v>
      </c>
      <c r="AB7086" t="s">
        <v>47</v>
      </c>
      <c r="AC7086" t="s">
        <v>87</v>
      </c>
    </row>
    <row r="7087" spans="1:30" x14ac:dyDescent="0.35">
      <c r="A7087" s="7">
        <v>43285</v>
      </c>
      <c r="B7087" t="s">
        <v>30</v>
      </c>
      <c r="C7087">
        <v>401</v>
      </c>
      <c r="D7087">
        <v>10</v>
      </c>
      <c r="E7087">
        <v>1</v>
      </c>
      <c r="F7087" t="s">
        <v>1139</v>
      </c>
      <c r="G7087" t="s">
        <v>32</v>
      </c>
      <c r="H7087" t="s">
        <v>33</v>
      </c>
      <c r="I7087" t="s">
        <v>43</v>
      </c>
      <c r="J7087" t="s">
        <v>44</v>
      </c>
      <c r="K7087" t="s">
        <v>88</v>
      </c>
      <c r="L7087" t="s">
        <v>45</v>
      </c>
      <c r="M7087">
        <v>0</v>
      </c>
      <c r="N7087">
        <v>0</v>
      </c>
      <c r="O7087">
        <v>1108</v>
      </c>
      <c r="P7087">
        <v>1106</v>
      </c>
      <c r="Q7087">
        <f>26-14</f>
        <v>12</v>
      </c>
      <c r="R7087" t="s">
        <v>46</v>
      </c>
      <c r="S7087" t="s">
        <v>39</v>
      </c>
      <c r="AB7087" t="s">
        <v>47</v>
      </c>
      <c r="AC7087" t="s">
        <v>87</v>
      </c>
    </row>
    <row r="7088" spans="1:30" x14ac:dyDescent="0.35">
      <c r="A7088" s="7">
        <v>43285</v>
      </c>
      <c r="B7088" t="s">
        <v>30</v>
      </c>
      <c r="C7088">
        <v>501</v>
      </c>
      <c r="D7088">
        <v>2</v>
      </c>
      <c r="E7088">
        <v>1</v>
      </c>
      <c r="F7088" t="s">
        <v>1139</v>
      </c>
      <c r="G7088" t="s">
        <v>32</v>
      </c>
      <c r="H7088" t="s">
        <v>33</v>
      </c>
      <c r="I7088" t="s">
        <v>43</v>
      </c>
      <c r="J7088" t="s">
        <v>44</v>
      </c>
      <c r="K7088" t="s">
        <v>88</v>
      </c>
      <c r="L7088" t="s">
        <v>37</v>
      </c>
      <c r="M7088">
        <v>0</v>
      </c>
      <c r="N7088">
        <v>0</v>
      </c>
      <c r="O7088">
        <v>1110</v>
      </c>
      <c r="P7088">
        <v>1109</v>
      </c>
      <c r="Q7088">
        <f>26.5-13</f>
        <v>13.5</v>
      </c>
      <c r="R7088" t="s">
        <v>64</v>
      </c>
      <c r="AB7088" t="s">
        <v>47</v>
      </c>
      <c r="AC7088" t="s">
        <v>87</v>
      </c>
    </row>
    <row r="7089" spans="1:30" x14ac:dyDescent="0.35">
      <c r="A7089" s="7">
        <v>43285</v>
      </c>
      <c r="B7089" t="s">
        <v>30</v>
      </c>
      <c r="C7089">
        <v>501</v>
      </c>
      <c r="D7089">
        <v>5</v>
      </c>
      <c r="E7089">
        <v>1</v>
      </c>
      <c r="F7089" t="s">
        <v>1139</v>
      </c>
      <c r="G7089" t="s">
        <v>32</v>
      </c>
      <c r="H7089" t="s">
        <v>33</v>
      </c>
      <c r="I7089" t="s">
        <v>43</v>
      </c>
      <c r="J7089" t="s">
        <v>44</v>
      </c>
      <c r="K7089" t="s">
        <v>36</v>
      </c>
      <c r="L7089" t="s">
        <v>45</v>
      </c>
      <c r="M7089">
        <v>0</v>
      </c>
      <c r="N7089">
        <v>0</v>
      </c>
      <c r="O7089">
        <v>2953</v>
      </c>
      <c r="P7089">
        <v>2952</v>
      </c>
      <c r="Q7089">
        <f>40-15</f>
        <v>25</v>
      </c>
      <c r="R7089" t="s">
        <v>1028</v>
      </c>
      <c r="S7089" t="s">
        <v>102</v>
      </c>
      <c r="AB7089" t="s">
        <v>47</v>
      </c>
      <c r="AC7089" t="s">
        <v>87</v>
      </c>
      <c r="AD7089" t="s">
        <v>1189</v>
      </c>
    </row>
    <row r="7090" spans="1:30" x14ac:dyDescent="0.35">
      <c r="A7090" s="7">
        <v>43285</v>
      </c>
      <c r="B7090" t="s">
        <v>30</v>
      </c>
      <c r="C7090">
        <v>501</v>
      </c>
      <c r="D7090">
        <v>6</v>
      </c>
      <c r="E7090">
        <v>1</v>
      </c>
      <c r="F7090" t="s">
        <v>1139</v>
      </c>
      <c r="G7090" t="s">
        <v>32</v>
      </c>
      <c r="H7090" t="s">
        <v>33</v>
      </c>
      <c r="I7090" t="s">
        <v>43</v>
      </c>
      <c r="J7090" t="s">
        <v>44</v>
      </c>
      <c r="K7090" t="s">
        <v>88</v>
      </c>
      <c r="L7090" t="s">
        <v>45</v>
      </c>
      <c r="M7090">
        <v>0</v>
      </c>
      <c r="N7090">
        <v>0</v>
      </c>
      <c r="O7090">
        <v>1002</v>
      </c>
      <c r="P7090">
        <v>1001</v>
      </c>
      <c r="Q7090">
        <f>29-17</f>
        <v>12</v>
      </c>
      <c r="R7090" t="s">
        <v>46</v>
      </c>
      <c r="S7090" t="s">
        <v>39</v>
      </c>
      <c r="AB7090" t="s">
        <v>47</v>
      </c>
      <c r="AC7090" t="s">
        <v>87</v>
      </c>
    </row>
    <row r="7091" spans="1:30" x14ac:dyDescent="0.35">
      <c r="A7091" s="7">
        <v>43285</v>
      </c>
      <c r="B7091" t="s">
        <v>30</v>
      </c>
      <c r="C7091">
        <v>501</v>
      </c>
      <c r="D7091">
        <v>8</v>
      </c>
      <c r="E7091">
        <v>1</v>
      </c>
      <c r="F7091" t="s">
        <v>1139</v>
      </c>
      <c r="G7091" t="s">
        <v>32</v>
      </c>
      <c r="H7091" t="s">
        <v>33</v>
      </c>
      <c r="I7091" t="s">
        <v>43</v>
      </c>
      <c r="J7091" t="s">
        <v>44</v>
      </c>
      <c r="K7091" t="s">
        <v>88</v>
      </c>
      <c r="L7091" t="s">
        <v>45</v>
      </c>
      <c r="M7091">
        <v>0</v>
      </c>
      <c r="N7091">
        <v>0</v>
      </c>
      <c r="O7091">
        <v>1180</v>
      </c>
      <c r="P7091">
        <v>1174</v>
      </c>
      <c r="Q7091">
        <f>27-14.5</f>
        <v>12.5</v>
      </c>
      <c r="R7091" t="s">
        <v>46</v>
      </c>
      <c r="S7091" t="s">
        <v>39</v>
      </c>
      <c r="AB7091" t="s">
        <v>47</v>
      </c>
      <c r="AC7091" t="s">
        <v>87</v>
      </c>
    </row>
    <row r="7092" spans="1:30" x14ac:dyDescent="0.35">
      <c r="A7092" s="7">
        <v>43285</v>
      </c>
      <c r="B7092" t="s">
        <v>30</v>
      </c>
      <c r="C7092">
        <v>701</v>
      </c>
      <c r="D7092">
        <v>4</v>
      </c>
      <c r="E7092">
        <v>1</v>
      </c>
      <c r="F7092" t="s">
        <v>1020</v>
      </c>
      <c r="G7092" t="s">
        <v>32</v>
      </c>
      <c r="H7092" t="s">
        <v>33</v>
      </c>
      <c r="I7092" t="s">
        <v>43</v>
      </c>
      <c r="J7092" t="s">
        <v>35</v>
      </c>
      <c r="K7092" t="s">
        <v>88</v>
      </c>
      <c r="L7092" t="s">
        <v>45</v>
      </c>
      <c r="M7092">
        <v>0</v>
      </c>
      <c r="N7092">
        <v>1</v>
      </c>
      <c r="O7092">
        <v>1043</v>
      </c>
      <c r="P7092">
        <v>1042</v>
      </c>
      <c r="Q7092">
        <f>24.5-10.5</f>
        <v>14</v>
      </c>
      <c r="R7092" t="s">
        <v>46</v>
      </c>
      <c r="S7092" t="s">
        <v>39</v>
      </c>
      <c r="AB7092" t="s">
        <v>47</v>
      </c>
      <c r="AC7092" t="s">
        <v>87</v>
      </c>
    </row>
    <row r="7093" spans="1:30" x14ac:dyDescent="0.35">
      <c r="A7093" s="7">
        <v>43285</v>
      </c>
      <c r="B7093" t="s">
        <v>30</v>
      </c>
      <c r="C7093">
        <v>701</v>
      </c>
      <c r="D7093">
        <v>5</v>
      </c>
      <c r="E7093">
        <v>1</v>
      </c>
      <c r="F7093" t="s">
        <v>1020</v>
      </c>
      <c r="G7093" t="s">
        <v>32</v>
      </c>
      <c r="H7093" t="s">
        <v>33</v>
      </c>
      <c r="I7093" t="s">
        <v>43</v>
      </c>
      <c r="J7093" t="s">
        <v>44</v>
      </c>
      <c r="K7093" t="s">
        <v>36</v>
      </c>
      <c r="L7093" t="s">
        <v>45</v>
      </c>
      <c r="M7093">
        <v>0</v>
      </c>
      <c r="N7093">
        <v>0</v>
      </c>
      <c r="O7093">
        <v>2471</v>
      </c>
      <c r="P7093">
        <v>2470</v>
      </c>
      <c r="Q7093">
        <f>32-10</f>
        <v>22</v>
      </c>
      <c r="R7093" t="s">
        <v>1021</v>
      </c>
      <c r="S7093" t="s">
        <v>102</v>
      </c>
      <c r="AB7093" t="s">
        <v>47</v>
      </c>
      <c r="AC7093" t="s">
        <v>87</v>
      </c>
    </row>
    <row r="7094" spans="1:30" x14ac:dyDescent="0.35">
      <c r="A7094" s="7">
        <v>43285</v>
      </c>
      <c r="B7094" t="s">
        <v>30</v>
      </c>
      <c r="C7094">
        <v>701</v>
      </c>
      <c r="D7094">
        <v>7</v>
      </c>
      <c r="E7094">
        <v>1</v>
      </c>
      <c r="F7094" t="s">
        <v>1020</v>
      </c>
      <c r="G7094" t="s">
        <v>32</v>
      </c>
      <c r="H7094" t="s">
        <v>33</v>
      </c>
      <c r="I7094" t="s">
        <v>43</v>
      </c>
      <c r="J7094" t="s">
        <v>35</v>
      </c>
      <c r="K7094" t="s">
        <v>113</v>
      </c>
      <c r="L7094" t="s">
        <v>45</v>
      </c>
      <c r="M7094">
        <v>0</v>
      </c>
      <c r="N7094">
        <v>1</v>
      </c>
      <c r="O7094">
        <v>1045</v>
      </c>
      <c r="P7094">
        <v>1044</v>
      </c>
      <c r="Q7094">
        <f>23.5-10</f>
        <v>13.5</v>
      </c>
      <c r="R7094" t="s">
        <v>46</v>
      </c>
      <c r="S7094" t="s">
        <v>39</v>
      </c>
      <c r="AB7094" t="s">
        <v>47</v>
      </c>
      <c r="AC7094" t="s">
        <v>87</v>
      </c>
    </row>
    <row r="7095" spans="1:30" x14ac:dyDescent="0.35">
      <c r="A7095" s="7">
        <v>43285</v>
      </c>
      <c r="B7095" t="s">
        <v>30</v>
      </c>
      <c r="C7095">
        <v>701</v>
      </c>
      <c r="D7095">
        <v>9</v>
      </c>
      <c r="E7095">
        <v>1</v>
      </c>
      <c r="F7095" t="s">
        <v>1020</v>
      </c>
      <c r="G7095" t="s">
        <v>32</v>
      </c>
      <c r="H7095" t="s">
        <v>33</v>
      </c>
      <c r="I7095" t="s">
        <v>43</v>
      </c>
      <c r="J7095" t="s">
        <v>44</v>
      </c>
      <c r="K7095" t="s">
        <v>36</v>
      </c>
      <c r="L7095" t="s">
        <v>45</v>
      </c>
      <c r="M7095">
        <v>0</v>
      </c>
      <c r="N7095">
        <v>0</v>
      </c>
      <c r="O7095">
        <v>2469</v>
      </c>
      <c r="P7095">
        <v>2468</v>
      </c>
      <c r="Q7095">
        <f>25.5-10.25</f>
        <v>15.25</v>
      </c>
      <c r="R7095" t="s">
        <v>1021</v>
      </c>
      <c r="S7095" t="s">
        <v>102</v>
      </c>
      <c r="AB7095" t="s">
        <v>47</v>
      </c>
      <c r="AC7095" t="s">
        <v>87</v>
      </c>
    </row>
    <row r="7096" spans="1:30" x14ac:dyDescent="0.35">
      <c r="A7096" s="7">
        <v>43285</v>
      </c>
      <c r="B7096" t="s">
        <v>30</v>
      </c>
      <c r="C7096">
        <v>703</v>
      </c>
      <c r="D7096">
        <v>1</v>
      </c>
      <c r="E7096">
        <v>1</v>
      </c>
      <c r="F7096" t="s">
        <v>1020</v>
      </c>
      <c r="G7096" t="s">
        <v>32</v>
      </c>
      <c r="H7096" t="s">
        <v>33</v>
      </c>
      <c r="I7096" t="s">
        <v>43</v>
      </c>
      <c r="J7096" t="s">
        <v>44</v>
      </c>
      <c r="K7096" t="s">
        <v>113</v>
      </c>
      <c r="L7096" t="s">
        <v>37</v>
      </c>
      <c r="M7096">
        <v>0</v>
      </c>
      <c r="N7096">
        <v>0</v>
      </c>
      <c r="O7096">
        <v>1068</v>
      </c>
      <c r="P7096">
        <v>1067</v>
      </c>
      <c r="Q7096">
        <f>23.5-9.5</f>
        <v>14</v>
      </c>
      <c r="R7096" t="s">
        <v>64</v>
      </c>
      <c r="AB7096" t="s">
        <v>47</v>
      </c>
      <c r="AC7096" t="s">
        <v>87</v>
      </c>
    </row>
    <row r="7097" spans="1:30" x14ac:dyDescent="0.35">
      <c r="A7097" s="7">
        <v>43285</v>
      </c>
      <c r="B7097" t="s">
        <v>30</v>
      </c>
      <c r="C7097">
        <v>703</v>
      </c>
      <c r="D7097">
        <v>2</v>
      </c>
      <c r="E7097">
        <v>1</v>
      </c>
      <c r="F7097" t="s">
        <v>1020</v>
      </c>
      <c r="G7097" t="s">
        <v>32</v>
      </c>
      <c r="H7097" t="s">
        <v>33</v>
      </c>
      <c r="I7097" t="s">
        <v>43</v>
      </c>
      <c r="J7097" t="s">
        <v>35</v>
      </c>
      <c r="K7097" t="s">
        <v>88</v>
      </c>
      <c r="L7097" t="s">
        <v>37</v>
      </c>
      <c r="M7097">
        <v>0</v>
      </c>
      <c r="N7097">
        <v>1</v>
      </c>
      <c r="O7097">
        <v>1037</v>
      </c>
      <c r="P7097">
        <v>1036</v>
      </c>
      <c r="Q7097">
        <f>19.5-9.5</f>
        <v>10</v>
      </c>
      <c r="R7097" t="s">
        <v>64</v>
      </c>
      <c r="AB7097" t="s">
        <v>47</v>
      </c>
      <c r="AC7097" t="s">
        <v>87</v>
      </c>
    </row>
    <row r="7098" spans="1:30" x14ac:dyDescent="0.35">
      <c r="A7098" s="7">
        <v>43285</v>
      </c>
      <c r="B7098" t="s">
        <v>30</v>
      </c>
      <c r="C7098">
        <v>703</v>
      </c>
      <c r="D7098">
        <v>2</v>
      </c>
      <c r="E7098">
        <v>2</v>
      </c>
      <c r="F7098" t="s">
        <v>1020</v>
      </c>
      <c r="G7098" t="s">
        <v>32</v>
      </c>
      <c r="H7098" t="s">
        <v>33</v>
      </c>
      <c r="I7098" t="s">
        <v>43</v>
      </c>
      <c r="J7098" t="s">
        <v>44</v>
      </c>
      <c r="K7098" t="s">
        <v>36</v>
      </c>
      <c r="L7098" t="s">
        <v>45</v>
      </c>
      <c r="M7098">
        <v>0</v>
      </c>
      <c r="N7098">
        <v>0</v>
      </c>
      <c r="O7098">
        <v>39771</v>
      </c>
      <c r="P7098">
        <v>39770</v>
      </c>
      <c r="Q7098">
        <f>30-10.5</f>
        <v>19.5</v>
      </c>
      <c r="R7098" t="s">
        <v>1021</v>
      </c>
      <c r="S7098" t="s">
        <v>102</v>
      </c>
      <c r="AB7098" t="s">
        <v>47</v>
      </c>
      <c r="AC7098" t="s">
        <v>87</v>
      </c>
    </row>
    <row r="7099" spans="1:30" x14ac:dyDescent="0.35">
      <c r="A7099" s="7">
        <v>43285</v>
      </c>
      <c r="B7099" t="s">
        <v>30</v>
      </c>
      <c r="C7099">
        <v>703</v>
      </c>
      <c r="D7099">
        <v>3</v>
      </c>
      <c r="E7099">
        <v>1</v>
      </c>
      <c r="F7099" t="s">
        <v>1020</v>
      </c>
      <c r="G7099" t="s">
        <v>32</v>
      </c>
      <c r="H7099" t="s">
        <v>33</v>
      </c>
      <c r="I7099" t="s">
        <v>43</v>
      </c>
      <c r="J7099" t="s">
        <v>44</v>
      </c>
      <c r="K7099" t="s">
        <v>113</v>
      </c>
      <c r="L7099" t="s">
        <v>45</v>
      </c>
      <c r="M7099">
        <v>0</v>
      </c>
      <c r="N7099">
        <v>0</v>
      </c>
      <c r="O7099">
        <v>1027</v>
      </c>
      <c r="P7099">
        <v>1026</v>
      </c>
      <c r="Q7099">
        <f>24.5-9.75</f>
        <v>14.75</v>
      </c>
      <c r="R7099" t="s">
        <v>46</v>
      </c>
      <c r="S7099" t="s">
        <v>39</v>
      </c>
      <c r="AB7099" t="s">
        <v>47</v>
      </c>
      <c r="AC7099" t="s">
        <v>87</v>
      </c>
    </row>
    <row r="7100" spans="1:30" x14ac:dyDescent="0.35">
      <c r="A7100" s="7">
        <v>43285</v>
      </c>
      <c r="B7100" t="s">
        <v>30</v>
      </c>
      <c r="C7100">
        <v>703</v>
      </c>
      <c r="D7100">
        <v>4</v>
      </c>
      <c r="E7100">
        <v>1</v>
      </c>
      <c r="F7100" t="s">
        <v>1020</v>
      </c>
      <c r="G7100" t="s">
        <v>32</v>
      </c>
      <c r="H7100" t="s">
        <v>33</v>
      </c>
      <c r="I7100" t="s">
        <v>43</v>
      </c>
      <c r="J7100" t="s">
        <v>44</v>
      </c>
      <c r="K7100" t="s">
        <v>88</v>
      </c>
      <c r="L7100" t="s">
        <v>45</v>
      </c>
      <c r="M7100">
        <v>0</v>
      </c>
      <c r="N7100">
        <v>0</v>
      </c>
      <c r="O7100">
        <v>1096</v>
      </c>
      <c r="P7100">
        <v>1095</v>
      </c>
      <c r="Q7100">
        <f>20.25-9.5</f>
        <v>10.75</v>
      </c>
      <c r="R7100" t="s">
        <v>46</v>
      </c>
      <c r="S7100" t="s">
        <v>39</v>
      </c>
      <c r="AB7100" t="s">
        <v>47</v>
      </c>
      <c r="AC7100" t="s">
        <v>87</v>
      </c>
    </row>
    <row r="7101" spans="1:30" x14ac:dyDescent="0.35">
      <c r="A7101" s="7">
        <v>43285</v>
      </c>
      <c r="B7101" t="s">
        <v>30</v>
      </c>
      <c r="C7101">
        <v>703</v>
      </c>
      <c r="D7101">
        <v>5</v>
      </c>
      <c r="E7101">
        <v>1</v>
      </c>
      <c r="F7101" t="s">
        <v>1020</v>
      </c>
      <c r="G7101" t="s">
        <v>32</v>
      </c>
      <c r="H7101" t="s">
        <v>33</v>
      </c>
      <c r="I7101" t="s">
        <v>43</v>
      </c>
      <c r="J7101" t="s">
        <v>44</v>
      </c>
      <c r="K7101" t="s">
        <v>113</v>
      </c>
      <c r="L7101" t="s">
        <v>37</v>
      </c>
      <c r="M7101">
        <v>0</v>
      </c>
      <c r="N7101">
        <v>0</v>
      </c>
      <c r="O7101">
        <v>1100</v>
      </c>
      <c r="P7101">
        <v>1099</v>
      </c>
      <c r="Q7101">
        <f>23.5-10</f>
        <v>13.5</v>
      </c>
      <c r="R7101" t="s">
        <v>64</v>
      </c>
      <c r="AB7101" t="s">
        <v>47</v>
      </c>
      <c r="AC7101" t="s">
        <v>87</v>
      </c>
    </row>
    <row r="7102" spans="1:30" x14ac:dyDescent="0.35">
      <c r="A7102" s="7">
        <v>43285</v>
      </c>
      <c r="B7102" t="s">
        <v>30</v>
      </c>
      <c r="C7102">
        <v>703</v>
      </c>
      <c r="D7102">
        <v>6</v>
      </c>
      <c r="E7102">
        <v>1</v>
      </c>
      <c r="F7102" t="s">
        <v>1020</v>
      </c>
      <c r="G7102" t="s">
        <v>32</v>
      </c>
      <c r="H7102" t="s">
        <v>33</v>
      </c>
      <c r="I7102" t="s">
        <v>43</v>
      </c>
      <c r="J7102" t="s">
        <v>35</v>
      </c>
      <c r="K7102" t="s">
        <v>113</v>
      </c>
      <c r="L7102" t="s">
        <v>37</v>
      </c>
      <c r="M7102">
        <v>0</v>
      </c>
      <c r="N7102">
        <v>1</v>
      </c>
      <c r="O7102">
        <v>1039</v>
      </c>
      <c r="P7102">
        <v>1038</v>
      </c>
      <c r="Q7102">
        <f>24-10.5</f>
        <v>13.5</v>
      </c>
      <c r="R7102" t="s">
        <v>64</v>
      </c>
      <c r="AB7102" t="s">
        <v>47</v>
      </c>
      <c r="AC7102" t="s">
        <v>87</v>
      </c>
      <c r="AD7102" t="s">
        <v>1190</v>
      </c>
    </row>
    <row r="7103" spans="1:30" x14ac:dyDescent="0.35">
      <c r="A7103" s="7">
        <v>43285</v>
      </c>
      <c r="B7103" t="s">
        <v>30</v>
      </c>
      <c r="C7103">
        <v>703</v>
      </c>
      <c r="D7103">
        <v>6</v>
      </c>
      <c r="E7103">
        <v>2</v>
      </c>
      <c r="F7103" t="s">
        <v>1020</v>
      </c>
      <c r="G7103" t="s">
        <v>32</v>
      </c>
      <c r="H7103" t="s">
        <v>33</v>
      </c>
      <c r="I7103" t="s">
        <v>43</v>
      </c>
      <c r="J7103" t="s">
        <v>44</v>
      </c>
      <c r="K7103" t="s">
        <v>88</v>
      </c>
      <c r="L7103" t="s">
        <v>37</v>
      </c>
      <c r="M7103">
        <v>0</v>
      </c>
      <c r="N7103">
        <v>0</v>
      </c>
      <c r="O7103">
        <v>1029</v>
      </c>
      <c r="P7103">
        <v>1028</v>
      </c>
      <c r="Q7103">
        <f>20.5-10.25</f>
        <v>10.25</v>
      </c>
      <c r="R7103" t="s">
        <v>64</v>
      </c>
      <c r="AB7103" t="s">
        <v>47</v>
      </c>
      <c r="AC7103" t="s">
        <v>87</v>
      </c>
    </row>
    <row r="7104" spans="1:30" x14ac:dyDescent="0.35">
      <c r="A7104" s="7">
        <v>43285</v>
      </c>
      <c r="B7104" t="s">
        <v>30</v>
      </c>
      <c r="C7104">
        <v>703</v>
      </c>
      <c r="D7104">
        <v>9</v>
      </c>
      <c r="E7104">
        <v>1</v>
      </c>
      <c r="F7104" t="s">
        <v>1020</v>
      </c>
      <c r="G7104" t="s">
        <v>32</v>
      </c>
      <c r="H7104" t="s">
        <v>33</v>
      </c>
      <c r="I7104" t="s">
        <v>43</v>
      </c>
      <c r="J7104" t="s">
        <v>44</v>
      </c>
      <c r="K7104" t="s">
        <v>36</v>
      </c>
      <c r="L7104" t="s">
        <v>45</v>
      </c>
      <c r="M7104">
        <v>0</v>
      </c>
      <c r="N7104">
        <v>0</v>
      </c>
      <c r="O7104">
        <v>1165</v>
      </c>
      <c r="P7104">
        <v>1164</v>
      </c>
      <c r="Q7104">
        <f>31-9.75</f>
        <v>21.25</v>
      </c>
      <c r="R7104" t="s">
        <v>1021</v>
      </c>
      <c r="S7104" t="s">
        <v>102</v>
      </c>
      <c r="AB7104" t="s">
        <v>47</v>
      </c>
      <c r="AC7104" t="s">
        <v>87</v>
      </c>
    </row>
    <row r="7105" spans="1:30" x14ac:dyDescent="0.35">
      <c r="A7105" s="7">
        <v>43285</v>
      </c>
      <c r="B7105" t="s">
        <v>30</v>
      </c>
      <c r="C7105">
        <v>703</v>
      </c>
      <c r="D7105">
        <v>9</v>
      </c>
      <c r="E7105">
        <v>2</v>
      </c>
      <c r="F7105" t="s">
        <v>1020</v>
      </c>
      <c r="G7105" t="s">
        <v>32</v>
      </c>
      <c r="H7105" t="s">
        <v>33</v>
      </c>
      <c r="I7105" t="s">
        <v>43</v>
      </c>
      <c r="J7105" t="s">
        <v>35</v>
      </c>
      <c r="K7105" t="s">
        <v>113</v>
      </c>
      <c r="L7105" t="s">
        <v>37</v>
      </c>
      <c r="M7105">
        <v>0</v>
      </c>
      <c r="N7105">
        <v>1</v>
      </c>
      <c r="O7105">
        <v>1041</v>
      </c>
      <c r="P7105">
        <v>1040</v>
      </c>
      <c r="Q7105">
        <f>24-10</f>
        <v>14</v>
      </c>
      <c r="R7105" t="s">
        <v>64</v>
      </c>
      <c r="AB7105" t="s">
        <v>47</v>
      </c>
      <c r="AC7105" t="s">
        <v>87</v>
      </c>
    </row>
    <row r="7106" spans="1:30" x14ac:dyDescent="0.35">
      <c r="A7106" s="7">
        <v>43285</v>
      </c>
      <c r="B7106" t="s">
        <v>30</v>
      </c>
      <c r="C7106">
        <v>703</v>
      </c>
      <c r="D7106">
        <v>10</v>
      </c>
      <c r="E7106">
        <v>1</v>
      </c>
      <c r="F7106" t="s">
        <v>1020</v>
      </c>
      <c r="G7106" t="s">
        <v>32</v>
      </c>
      <c r="H7106" t="s">
        <v>33</v>
      </c>
      <c r="I7106" t="s">
        <v>43</v>
      </c>
      <c r="J7106" t="s">
        <v>44</v>
      </c>
      <c r="K7106" t="s">
        <v>36</v>
      </c>
      <c r="L7106" t="s">
        <v>37</v>
      </c>
      <c r="M7106">
        <v>0</v>
      </c>
      <c r="N7106">
        <v>0</v>
      </c>
      <c r="O7106">
        <v>2456</v>
      </c>
      <c r="P7106">
        <v>2455</v>
      </c>
      <c r="Q7106">
        <f>34-10.5</f>
        <v>23.5</v>
      </c>
      <c r="R7106" t="s">
        <v>38</v>
      </c>
      <c r="AB7106" t="s">
        <v>47</v>
      </c>
      <c r="AC7106" t="s">
        <v>87</v>
      </c>
    </row>
    <row r="7107" spans="1:30" x14ac:dyDescent="0.35">
      <c r="A7107" s="7">
        <v>43285</v>
      </c>
      <c r="B7107" t="s">
        <v>30</v>
      </c>
      <c r="C7107">
        <v>801</v>
      </c>
      <c r="D7107">
        <v>3</v>
      </c>
      <c r="E7107">
        <v>1</v>
      </c>
      <c r="F7107" t="s">
        <v>1020</v>
      </c>
      <c r="G7107" t="s">
        <v>32</v>
      </c>
      <c r="H7107" t="s">
        <v>33</v>
      </c>
      <c r="I7107" t="s">
        <v>43</v>
      </c>
      <c r="J7107" t="s">
        <v>44</v>
      </c>
      <c r="K7107" t="s">
        <v>36</v>
      </c>
      <c r="L7107" t="s">
        <v>45</v>
      </c>
      <c r="M7107">
        <v>0</v>
      </c>
      <c r="N7107">
        <v>0</v>
      </c>
      <c r="O7107">
        <v>2425</v>
      </c>
      <c r="P7107">
        <v>2424</v>
      </c>
      <c r="Q7107">
        <f>31.5-10</f>
        <v>21.5</v>
      </c>
      <c r="R7107" t="s">
        <v>1021</v>
      </c>
      <c r="S7107" t="s">
        <v>102</v>
      </c>
      <c r="AB7107" t="s">
        <v>47</v>
      </c>
      <c r="AC7107" t="s">
        <v>87</v>
      </c>
    </row>
    <row r="7108" spans="1:30" x14ac:dyDescent="0.35">
      <c r="A7108" s="7">
        <v>43285</v>
      </c>
      <c r="B7108" t="s">
        <v>30</v>
      </c>
      <c r="C7108">
        <v>801</v>
      </c>
      <c r="D7108">
        <v>3</v>
      </c>
      <c r="E7108">
        <v>2</v>
      </c>
      <c r="F7108" t="s">
        <v>1020</v>
      </c>
      <c r="G7108" t="s">
        <v>32</v>
      </c>
      <c r="H7108" t="s">
        <v>33</v>
      </c>
      <c r="I7108" t="s">
        <v>43</v>
      </c>
      <c r="J7108" t="s">
        <v>35</v>
      </c>
      <c r="K7108" t="s">
        <v>36</v>
      </c>
      <c r="L7108" t="s">
        <v>37</v>
      </c>
      <c r="M7108">
        <v>0</v>
      </c>
      <c r="N7108">
        <v>1</v>
      </c>
      <c r="O7108">
        <v>1047</v>
      </c>
      <c r="P7108">
        <v>1048</v>
      </c>
      <c r="Q7108">
        <f>29-9.5</f>
        <v>19.5</v>
      </c>
      <c r="R7108" t="s">
        <v>38</v>
      </c>
      <c r="AB7108" t="s">
        <v>47</v>
      </c>
      <c r="AC7108" t="s">
        <v>87</v>
      </c>
    </row>
    <row r="7109" spans="1:30" x14ac:dyDescent="0.35">
      <c r="A7109" s="7">
        <v>43285</v>
      </c>
      <c r="B7109" t="s">
        <v>30</v>
      </c>
      <c r="C7109">
        <v>801</v>
      </c>
      <c r="D7109">
        <v>4</v>
      </c>
      <c r="E7109">
        <v>1</v>
      </c>
      <c r="F7109" t="s">
        <v>1020</v>
      </c>
      <c r="G7109" t="s">
        <v>32</v>
      </c>
      <c r="H7109" t="s">
        <v>33</v>
      </c>
      <c r="I7109" t="s">
        <v>43</v>
      </c>
      <c r="J7109" t="s">
        <v>35</v>
      </c>
      <c r="K7109" t="s">
        <v>36</v>
      </c>
      <c r="L7109" t="s">
        <v>45</v>
      </c>
      <c r="M7109">
        <v>0</v>
      </c>
      <c r="N7109">
        <v>1</v>
      </c>
      <c r="O7109">
        <v>1050</v>
      </c>
      <c r="P7109">
        <v>1049</v>
      </c>
      <c r="Q7109">
        <f>30.5-10.5</f>
        <v>20</v>
      </c>
      <c r="R7109" t="s">
        <v>1021</v>
      </c>
      <c r="S7109" t="s">
        <v>102</v>
      </c>
      <c r="AB7109" t="s">
        <v>47</v>
      </c>
      <c r="AC7109" t="s">
        <v>87</v>
      </c>
    </row>
    <row r="7110" spans="1:30" x14ac:dyDescent="0.35">
      <c r="A7110" s="7">
        <v>43285</v>
      </c>
      <c r="B7110" t="s">
        <v>30</v>
      </c>
      <c r="C7110">
        <v>801</v>
      </c>
      <c r="D7110">
        <v>6</v>
      </c>
      <c r="E7110">
        <v>1</v>
      </c>
      <c r="F7110" t="s">
        <v>1020</v>
      </c>
      <c r="G7110" t="s">
        <v>32</v>
      </c>
      <c r="H7110" t="s">
        <v>33</v>
      </c>
      <c r="I7110" t="s">
        <v>43</v>
      </c>
      <c r="J7110" t="s">
        <v>44</v>
      </c>
      <c r="K7110" t="s">
        <v>88</v>
      </c>
      <c r="L7110" t="s">
        <v>37</v>
      </c>
      <c r="M7110">
        <v>0</v>
      </c>
      <c r="N7110">
        <v>0</v>
      </c>
      <c r="O7110">
        <v>1033</v>
      </c>
      <c r="P7110">
        <v>1032</v>
      </c>
      <c r="Q7110">
        <f>23.5-10.5</f>
        <v>13</v>
      </c>
      <c r="R7110" t="s">
        <v>64</v>
      </c>
      <c r="AB7110" t="s">
        <v>47</v>
      </c>
      <c r="AC7110" t="s">
        <v>87</v>
      </c>
    </row>
    <row r="7111" spans="1:30" x14ac:dyDescent="0.35">
      <c r="A7111" s="7">
        <v>43285</v>
      </c>
      <c r="B7111" t="s">
        <v>30</v>
      </c>
      <c r="C7111">
        <v>801</v>
      </c>
      <c r="D7111">
        <v>8</v>
      </c>
      <c r="E7111">
        <v>1</v>
      </c>
      <c r="F7111" t="s">
        <v>1020</v>
      </c>
      <c r="G7111" t="s">
        <v>32</v>
      </c>
      <c r="H7111" t="s">
        <v>33</v>
      </c>
      <c r="I7111" t="s">
        <v>43</v>
      </c>
      <c r="J7111" t="s">
        <v>44</v>
      </c>
      <c r="K7111" t="s">
        <v>36</v>
      </c>
      <c r="L7111" t="s">
        <v>37</v>
      </c>
      <c r="M7111">
        <v>0</v>
      </c>
      <c r="N7111">
        <v>0</v>
      </c>
      <c r="O7111">
        <v>1072</v>
      </c>
      <c r="P7111">
        <v>1071</v>
      </c>
      <c r="Q7111">
        <f>28.25-10</f>
        <v>18.25</v>
      </c>
      <c r="R7111" t="s">
        <v>38</v>
      </c>
      <c r="AB7111" t="s">
        <v>47</v>
      </c>
      <c r="AC7111" t="s">
        <v>87</v>
      </c>
    </row>
    <row r="7112" spans="1:30" x14ac:dyDescent="0.35">
      <c r="A7112" s="7">
        <v>43285</v>
      </c>
      <c r="B7112" t="s">
        <v>30</v>
      </c>
      <c r="C7112">
        <v>801</v>
      </c>
      <c r="D7112">
        <v>10</v>
      </c>
      <c r="E7112">
        <v>1</v>
      </c>
      <c r="F7112" t="s">
        <v>1020</v>
      </c>
      <c r="G7112" t="s">
        <v>32</v>
      </c>
      <c r="H7112" t="s">
        <v>33</v>
      </c>
      <c r="I7112" t="s">
        <v>43</v>
      </c>
      <c r="J7112" t="s">
        <v>44</v>
      </c>
      <c r="K7112" t="s">
        <v>36</v>
      </c>
      <c r="L7112" t="s">
        <v>37</v>
      </c>
      <c r="M7112">
        <v>0</v>
      </c>
      <c r="N7112">
        <v>0</v>
      </c>
      <c r="O7112">
        <v>1168</v>
      </c>
      <c r="P7112">
        <v>1167</v>
      </c>
      <c r="Q7112">
        <f>29.5-9.75</f>
        <v>19.75</v>
      </c>
      <c r="R7112" t="s">
        <v>38</v>
      </c>
      <c r="AB7112" t="s">
        <v>47</v>
      </c>
      <c r="AC7112" t="s">
        <v>87</v>
      </c>
      <c r="AD7112" t="s">
        <v>1191</v>
      </c>
    </row>
    <row r="7113" spans="1:30" x14ac:dyDescent="0.35">
      <c r="A7113" s="7">
        <v>43285</v>
      </c>
      <c r="B7113" t="s">
        <v>30</v>
      </c>
      <c r="C7113">
        <v>803</v>
      </c>
      <c r="D7113">
        <v>6</v>
      </c>
      <c r="E7113">
        <v>1</v>
      </c>
      <c r="F7113" t="s">
        <v>1020</v>
      </c>
      <c r="G7113" t="s">
        <v>32</v>
      </c>
      <c r="H7113" t="s">
        <v>33</v>
      </c>
      <c r="I7113" t="s">
        <v>43</v>
      </c>
      <c r="J7113" t="s">
        <v>44</v>
      </c>
      <c r="K7113" t="s">
        <v>36</v>
      </c>
      <c r="L7113" t="s">
        <v>45</v>
      </c>
      <c r="M7113">
        <v>0</v>
      </c>
      <c r="N7113">
        <v>0</v>
      </c>
      <c r="O7113">
        <v>1070</v>
      </c>
      <c r="P7113">
        <v>1069</v>
      </c>
      <c r="Q7113">
        <f>30.5-10.75</f>
        <v>19.75</v>
      </c>
      <c r="R7113" t="s">
        <v>46</v>
      </c>
      <c r="S7113" t="s">
        <v>39</v>
      </c>
      <c r="AB7113" t="s">
        <v>47</v>
      </c>
      <c r="AC7113" t="s">
        <v>87</v>
      </c>
    </row>
    <row r="7114" spans="1:30" x14ac:dyDescent="0.35">
      <c r="A7114" s="7">
        <v>43285</v>
      </c>
      <c r="B7114" t="s">
        <v>30</v>
      </c>
      <c r="C7114">
        <v>901</v>
      </c>
      <c r="D7114">
        <v>4</v>
      </c>
      <c r="E7114">
        <v>1</v>
      </c>
      <c r="F7114" t="s">
        <v>1020</v>
      </c>
      <c r="G7114" t="s">
        <v>32</v>
      </c>
      <c r="H7114" t="s">
        <v>33</v>
      </c>
      <c r="I7114" t="s">
        <v>43</v>
      </c>
      <c r="J7114" t="s">
        <v>44</v>
      </c>
      <c r="K7114" t="s">
        <v>36</v>
      </c>
      <c r="L7114" t="s">
        <v>45</v>
      </c>
      <c r="M7114">
        <v>0</v>
      </c>
      <c r="N7114">
        <v>0</v>
      </c>
      <c r="O7114">
        <v>1094</v>
      </c>
      <c r="P7114">
        <v>1093</v>
      </c>
      <c r="Q7114">
        <f>28.5-10</f>
        <v>18.5</v>
      </c>
      <c r="R7114" t="s">
        <v>46</v>
      </c>
      <c r="S7114" t="s">
        <v>39</v>
      </c>
      <c r="AB7114" t="s">
        <v>47</v>
      </c>
      <c r="AC7114" t="s">
        <v>87</v>
      </c>
    </row>
    <row r="7115" spans="1:30" x14ac:dyDescent="0.35">
      <c r="A7115" s="7">
        <v>43285</v>
      </c>
      <c r="B7115" t="s">
        <v>30</v>
      </c>
      <c r="C7115">
        <v>901</v>
      </c>
      <c r="D7115">
        <v>5</v>
      </c>
      <c r="E7115">
        <v>1</v>
      </c>
      <c r="F7115" t="s">
        <v>1020</v>
      </c>
      <c r="G7115" t="s">
        <v>32</v>
      </c>
      <c r="H7115" t="s">
        <v>33</v>
      </c>
      <c r="I7115" t="s">
        <v>43</v>
      </c>
      <c r="J7115" t="s">
        <v>35</v>
      </c>
      <c r="K7115" t="s">
        <v>36</v>
      </c>
      <c r="L7115" t="s">
        <v>37</v>
      </c>
      <c r="M7115">
        <v>0</v>
      </c>
      <c r="N7115">
        <v>1</v>
      </c>
      <c r="O7115">
        <v>1323</v>
      </c>
      <c r="P7115">
        <v>1322</v>
      </c>
      <c r="Q7115">
        <f>34-12.75</f>
        <v>21.25</v>
      </c>
      <c r="R7115" t="s">
        <v>38</v>
      </c>
      <c r="AB7115" t="s">
        <v>47</v>
      </c>
      <c r="AC7115" t="s">
        <v>87</v>
      </c>
      <c r="AD7115" t="s">
        <v>1192</v>
      </c>
    </row>
    <row r="7116" spans="1:30" x14ac:dyDescent="0.35">
      <c r="A7116" s="7">
        <v>43285</v>
      </c>
      <c r="B7116" t="s">
        <v>30</v>
      </c>
      <c r="C7116">
        <v>501</v>
      </c>
      <c r="D7116">
        <v>1</v>
      </c>
      <c r="E7116">
        <v>1</v>
      </c>
      <c r="F7116" t="s">
        <v>1139</v>
      </c>
      <c r="G7116" t="s">
        <v>32</v>
      </c>
      <c r="H7116" t="s">
        <v>33</v>
      </c>
      <c r="I7116" t="s">
        <v>34</v>
      </c>
      <c r="J7116" t="s">
        <v>35</v>
      </c>
      <c r="K7116" t="s">
        <v>88</v>
      </c>
      <c r="L7116" t="s">
        <v>45</v>
      </c>
      <c r="M7116">
        <v>0</v>
      </c>
      <c r="N7116">
        <v>1</v>
      </c>
      <c r="O7116">
        <v>1178</v>
      </c>
      <c r="Q7116">
        <f>140-85</f>
        <v>55</v>
      </c>
      <c r="R7116" t="s">
        <v>46</v>
      </c>
      <c r="S7116" t="s">
        <v>39</v>
      </c>
      <c r="AB7116" t="s">
        <v>47</v>
      </c>
      <c r="AC7116" t="s">
        <v>87</v>
      </c>
    </row>
    <row r="7117" spans="1:30" x14ac:dyDescent="0.35">
      <c r="A7117" s="7">
        <v>43285</v>
      </c>
      <c r="B7117" t="s">
        <v>30</v>
      </c>
      <c r="C7117">
        <v>801</v>
      </c>
      <c r="D7117">
        <v>1</v>
      </c>
      <c r="E7117">
        <v>2</v>
      </c>
      <c r="F7117" t="s">
        <v>1020</v>
      </c>
      <c r="G7117" t="s">
        <v>32</v>
      </c>
      <c r="H7117" t="s">
        <v>33</v>
      </c>
      <c r="I7117" t="s">
        <v>34</v>
      </c>
      <c r="J7117" t="s">
        <v>44</v>
      </c>
      <c r="K7117" t="s">
        <v>36</v>
      </c>
      <c r="L7117" t="s">
        <v>45</v>
      </c>
      <c r="M7117">
        <v>0</v>
      </c>
      <c r="N7117">
        <v>0</v>
      </c>
      <c r="O7117">
        <v>1046</v>
      </c>
      <c r="Q7117">
        <f>118-50</f>
        <v>68</v>
      </c>
      <c r="R7117" t="s">
        <v>46</v>
      </c>
      <c r="S7117" t="s">
        <v>39</v>
      </c>
      <c r="AB7117" t="s">
        <v>47</v>
      </c>
      <c r="AC7117" t="s">
        <v>87</v>
      </c>
      <c r="AD7117" t="s">
        <v>1193</v>
      </c>
    </row>
    <row r="7118" spans="1:30" x14ac:dyDescent="0.35">
      <c r="A7118" s="7">
        <v>43285</v>
      </c>
      <c r="B7118" t="s">
        <v>30</v>
      </c>
      <c r="C7118">
        <v>801</v>
      </c>
      <c r="D7118">
        <v>2</v>
      </c>
      <c r="E7118">
        <v>1</v>
      </c>
      <c r="F7118" t="s">
        <v>1020</v>
      </c>
      <c r="G7118" t="s">
        <v>32</v>
      </c>
      <c r="H7118" t="s">
        <v>33</v>
      </c>
      <c r="I7118" t="s">
        <v>34</v>
      </c>
      <c r="J7118" t="s">
        <v>44</v>
      </c>
      <c r="K7118" t="s">
        <v>36</v>
      </c>
      <c r="L7118" t="s">
        <v>37</v>
      </c>
      <c r="M7118">
        <v>0</v>
      </c>
      <c r="N7118">
        <v>0</v>
      </c>
      <c r="O7118">
        <v>1065</v>
      </c>
      <c r="P7118">
        <v>1088</v>
      </c>
      <c r="Q7118">
        <f>226-125</f>
        <v>101</v>
      </c>
      <c r="R7118" t="s">
        <v>38</v>
      </c>
      <c r="AB7118" t="s">
        <v>47</v>
      </c>
      <c r="AC7118" t="s">
        <v>87</v>
      </c>
    </row>
    <row r="7119" spans="1:30" x14ac:dyDescent="0.35">
      <c r="A7119" s="7">
        <v>43285</v>
      </c>
      <c r="B7119" t="s">
        <v>30</v>
      </c>
      <c r="C7119">
        <v>801</v>
      </c>
      <c r="D7119">
        <v>7</v>
      </c>
      <c r="E7119">
        <v>1</v>
      </c>
      <c r="F7119" t="s">
        <v>1020</v>
      </c>
      <c r="G7119" t="s">
        <v>32</v>
      </c>
      <c r="H7119" t="s">
        <v>33</v>
      </c>
      <c r="I7119" t="s">
        <v>34</v>
      </c>
      <c r="J7119" t="s">
        <v>44</v>
      </c>
      <c r="K7119" t="s">
        <v>36</v>
      </c>
      <c r="L7119" t="s">
        <v>45</v>
      </c>
      <c r="M7119">
        <v>0</v>
      </c>
      <c r="N7119">
        <v>0</v>
      </c>
      <c r="O7119">
        <v>1097</v>
      </c>
      <c r="Q7119">
        <f>216-128</f>
        <v>88</v>
      </c>
      <c r="R7119" t="s">
        <v>46</v>
      </c>
      <c r="S7119" t="s">
        <v>39</v>
      </c>
      <c r="AB7119" t="s">
        <v>47</v>
      </c>
      <c r="AC7119" t="s">
        <v>87</v>
      </c>
    </row>
    <row r="7120" spans="1:30" x14ac:dyDescent="0.35">
      <c r="A7120" s="7">
        <v>43285</v>
      </c>
      <c r="B7120" t="s">
        <v>30</v>
      </c>
      <c r="C7120">
        <v>801</v>
      </c>
      <c r="D7120">
        <v>8</v>
      </c>
      <c r="E7120">
        <v>2</v>
      </c>
      <c r="F7120" t="s">
        <v>1020</v>
      </c>
      <c r="G7120" t="s">
        <v>32</v>
      </c>
      <c r="H7120" t="s">
        <v>33</v>
      </c>
      <c r="I7120" t="s">
        <v>34</v>
      </c>
      <c r="J7120" t="s">
        <v>44</v>
      </c>
      <c r="K7120" t="s">
        <v>36</v>
      </c>
      <c r="L7120" t="s">
        <v>45</v>
      </c>
      <c r="M7120">
        <v>0</v>
      </c>
      <c r="N7120">
        <v>0</v>
      </c>
      <c r="O7120">
        <v>1089</v>
      </c>
      <c r="Q7120">
        <f>210-128</f>
        <v>82</v>
      </c>
      <c r="R7120" t="s">
        <v>1021</v>
      </c>
      <c r="S7120" t="s">
        <v>102</v>
      </c>
      <c r="AB7120" t="s">
        <v>47</v>
      </c>
      <c r="AC7120" t="s">
        <v>87</v>
      </c>
    </row>
    <row r="7121" spans="1:30" x14ac:dyDescent="0.35">
      <c r="A7121" s="7">
        <v>43285</v>
      </c>
      <c r="B7121" t="s">
        <v>30</v>
      </c>
      <c r="C7121">
        <v>801</v>
      </c>
      <c r="D7121">
        <v>10</v>
      </c>
      <c r="E7121">
        <v>2</v>
      </c>
      <c r="F7121" t="s">
        <v>1020</v>
      </c>
      <c r="G7121" t="s">
        <v>32</v>
      </c>
      <c r="H7121" t="s">
        <v>33</v>
      </c>
      <c r="I7121" t="s">
        <v>34</v>
      </c>
      <c r="J7121" t="s">
        <v>44</v>
      </c>
      <c r="K7121" t="s">
        <v>36</v>
      </c>
      <c r="L7121" t="s">
        <v>37</v>
      </c>
      <c r="M7121">
        <v>0</v>
      </c>
      <c r="N7121">
        <v>0</v>
      </c>
      <c r="O7121">
        <v>2452</v>
      </c>
      <c r="Q7121">
        <f>212-130</f>
        <v>82</v>
      </c>
      <c r="R7121" t="s">
        <v>64</v>
      </c>
      <c r="AB7121" t="s">
        <v>47</v>
      </c>
      <c r="AC7121" t="s">
        <v>87</v>
      </c>
    </row>
    <row r="7122" spans="1:30" x14ac:dyDescent="0.35">
      <c r="A7122" s="7">
        <v>43285</v>
      </c>
      <c r="B7122" t="s">
        <v>30</v>
      </c>
      <c r="C7122">
        <v>803</v>
      </c>
      <c r="D7122">
        <v>5</v>
      </c>
      <c r="E7122">
        <v>1</v>
      </c>
      <c r="F7122" t="s">
        <v>1020</v>
      </c>
      <c r="G7122" t="s">
        <v>32</v>
      </c>
      <c r="H7122" t="s">
        <v>33</v>
      </c>
      <c r="I7122" t="s">
        <v>34</v>
      </c>
      <c r="J7122" t="s">
        <v>56</v>
      </c>
      <c r="AB7122" t="s">
        <v>47</v>
      </c>
      <c r="AC7122" t="s">
        <v>87</v>
      </c>
    </row>
    <row r="7123" spans="1:30" x14ac:dyDescent="0.35">
      <c r="A7123" s="7">
        <v>43285</v>
      </c>
      <c r="B7123" t="s">
        <v>30</v>
      </c>
      <c r="C7123">
        <v>803</v>
      </c>
      <c r="D7123">
        <v>8</v>
      </c>
      <c r="E7123">
        <v>1</v>
      </c>
      <c r="F7123" t="s">
        <v>1020</v>
      </c>
      <c r="G7123" t="s">
        <v>32</v>
      </c>
      <c r="H7123" t="s">
        <v>33</v>
      </c>
      <c r="I7123" t="s">
        <v>34</v>
      </c>
      <c r="J7123" t="s">
        <v>56</v>
      </c>
      <c r="AB7123" t="s">
        <v>47</v>
      </c>
      <c r="AC7123" t="s">
        <v>87</v>
      </c>
    </row>
    <row r="7124" spans="1:30" x14ac:dyDescent="0.35">
      <c r="A7124" s="7">
        <v>43285</v>
      </c>
      <c r="B7124" t="s">
        <v>30</v>
      </c>
      <c r="C7124">
        <v>803</v>
      </c>
      <c r="D7124">
        <v>8</v>
      </c>
      <c r="E7124">
        <v>2</v>
      </c>
      <c r="F7124" t="s">
        <v>1020</v>
      </c>
      <c r="G7124" t="s">
        <v>32</v>
      </c>
      <c r="H7124" t="s">
        <v>33</v>
      </c>
      <c r="I7124" t="s">
        <v>34</v>
      </c>
      <c r="J7124" t="s">
        <v>56</v>
      </c>
      <c r="AB7124" t="s">
        <v>47</v>
      </c>
      <c r="AC7124" t="s">
        <v>87</v>
      </c>
    </row>
    <row r="7125" spans="1:30" x14ac:dyDescent="0.35">
      <c r="A7125" s="7">
        <v>43285</v>
      </c>
      <c r="B7125" t="s">
        <v>30</v>
      </c>
      <c r="C7125">
        <v>803</v>
      </c>
      <c r="D7125">
        <v>9</v>
      </c>
      <c r="E7125">
        <v>1</v>
      </c>
      <c r="F7125" t="s">
        <v>1020</v>
      </c>
      <c r="G7125" t="s">
        <v>32</v>
      </c>
      <c r="H7125" t="s">
        <v>33</v>
      </c>
      <c r="I7125" t="s">
        <v>34</v>
      </c>
      <c r="J7125" t="s">
        <v>35</v>
      </c>
      <c r="K7125" t="s">
        <v>36</v>
      </c>
      <c r="L7125" t="s">
        <v>37</v>
      </c>
      <c r="M7125">
        <v>0</v>
      </c>
      <c r="N7125">
        <v>1</v>
      </c>
      <c r="O7125">
        <v>1324</v>
      </c>
      <c r="R7125" t="s">
        <v>64</v>
      </c>
      <c r="AB7125" t="s">
        <v>47</v>
      </c>
      <c r="AC7125" t="s">
        <v>87</v>
      </c>
      <c r="AD7125" t="s">
        <v>1194</v>
      </c>
    </row>
    <row r="7126" spans="1:30" x14ac:dyDescent="0.35">
      <c r="A7126" s="7">
        <v>43285</v>
      </c>
      <c r="B7126" t="s">
        <v>30</v>
      </c>
      <c r="C7126">
        <v>803</v>
      </c>
      <c r="D7126">
        <v>10</v>
      </c>
      <c r="E7126">
        <v>2</v>
      </c>
      <c r="F7126" t="s">
        <v>1020</v>
      </c>
      <c r="G7126" t="s">
        <v>32</v>
      </c>
      <c r="H7126" t="s">
        <v>33</v>
      </c>
      <c r="I7126" t="s">
        <v>34</v>
      </c>
      <c r="J7126" t="s">
        <v>35</v>
      </c>
      <c r="K7126" t="s">
        <v>36</v>
      </c>
      <c r="L7126" t="s">
        <v>45</v>
      </c>
      <c r="M7126">
        <v>0</v>
      </c>
      <c r="N7126">
        <v>1</v>
      </c>
      <c r="O7126">
        <v>1325</v>
      </c>
      <c r="Q7126">
        <f>205-128</f>
        <v>77</v>
      </c>
      <c r="R7126" t="s">
        <v>46</v>
      </c>
      <c r="S7126" t="s">
        <v>39</v>
      </c>
      <c r="AB7126" t="s">
        <v>47</v>
      </c>
      <c r="AC7126" t="s">
        <v>87</v>
      </c>
    </row>
    <row r="7127" spans="1:30" x14ac:dyDescent="0.35">
      <c r="A7127" s="7">
        <v>43285</v>
      </c>
      <c r="B7127" t="s">
        <v>30</v>
      </c>
      <c r="C7127">
        <v>401</v>
      </c>
      <c r="D7127">
        <v>2</v>
      </c>
      <c r="E7127">
        <v>1</v>
      </c>
      <c r="F7127" t="s">
        <v>1139</v>
      </c>
      <c r="G7127" t="s">
        <v>32</v>
      </c>
      <c r="H7127" t="s">
        <v>33</v>
      </c>
      <c r="I7127" t="s">
        <v>128</v>
      </c>
      <c r="J7127" t="s">
        <v>35</v>
      </c>
      <c r="K7127" t="s">
        <v>36</v>
      </c>
      <c r="L7127" t="s">
        <v>45</v>
      </c>
      <c r="M7127">
        <v>0</v>
      </c>
      <c r="N7127">
        <v>1</v>
      </c>
      <c r="O7127">
        <v>1186</v>
      </c>
      <c r="Q7127">
        <f>160-80</f>
        <v>80</v>
      </c>
      <c r="R7127" t="s">
        <v>46</v>
      </c>
      <c r="S7127" t="s">
        <v>39</v>
      </c>
      <c r="AB7127" t="s">
        <v>47</v>
      </c>
      <c r="AC7127" t="s">
        <v>87</v>
      </c>
    </row>
    <row r="7128" spans="1:30" x14ac:dyDescent="0.35">
      <c r="A7128" s="7">
        <v>43285</v>
      </c>
      <c r="B7128" t="s">
        <v>30</v>
      </c>
      <c r="C7128">
        <v>303</v>
      </c>
      <c r="D7128">
        <v>8</v>
      </c>
      <c r="E7128">
        <v>1</v>
      </c>
      <c r="F7128" t="s">
        <v>1139</v>
      </c>
      <c r="G7128" t="s">
        <v>32</v>
      </c>
      <c r="H7128" t="s">
        <v>33</v>
      </c>
      <c r="I7128" t="s">
        <v>58</v>
      </c>
      <c r="J7128" t="s">
        <v>44</v>
      </c>
      <c r="K7128" t="s">
        <v>36</v>
      </c>
      <c r="L7128" t="s">
        <v>45</v>
      </c>
      <c r="M7128">
        <v>0</v>
      </c>
      <c r="N7128">
        <v>0</v>
      </c>
      <c r="O7128">
        <v>1114</v>
      </c>
      <c r="Q7128">
        <f>40-15</f>
        <v>25</v>
      </c>
      <c r="R7128" t="s">
        <v>46</v>
      </c>
      <c r="S7128" t="s">
        <v>39</v>
      </c>
      <c r="AB7128" t="s">
        <v>47</v>
      </c>
      <c r="AC7128" t="s">
        <v>87</v>
      </c>
    </row>
    <row r="7129" spans="1:30" x14ac:dyDescent="0.35">
      <c r="A7129" s="7">
        <v>43285</v>
      </c>
      <c r="B7129" t="s">
        <v>30</v>
      </c>
      <c r="C7129">
        <v>401</v>
      </c>
      <c r="D7129">
        <v>9</v>
      </c>
      <c r="E7129">
        <v>1</v>
      </c>
      <c r="F7129" t="s">
        <v>1139</v>
      </c>
      <c r="G7129" t="s">
        <v>32</v>
      </c>
      <c r="H7129" t="s">
        <v>33</v>
      </c>
      <c r="I7129" t="s">
        <v>58</v>
      </c>
      <c r="J7129" t="s">
        <v>44</v>
      </c>
      <c r="K7129" t="s">
        <v>36</v>
      </c>
      <c r="L7129" t="s">
        <v>45</v>
      </c>
      <c r="M7129">
        <v>0</v>
      </c>
      <c r="N7129">
        <v>0</v>
      </c>
      <c r="O7129">
        <v>2811</v>
      </c>
      <c r="R7129" t="s">
        <v>1021</v>
      </c>
      <c r="S7129" t="s">
        <v>102</v>
      </c>
      <c r="AB7129" t="s">
        <v>47</v>
      </c>
      <c r="AC7129" t="s">
        <v>87</v>
      </c>
    </row>
    <row r="7130" spans="1:30" x14ac:dyDescent="0.35">
      <c r="A7130" s="7">
        <v>43285</v>
      </c>
      <c r="B7130" t="s">
        <v>30</v>
      </c>
      <c r="C7130">
        <v>503</v>
      </c>
      <c r="D7130">
        <v>5</v>
      </c>
      <c r="E7130">
        <v>1</v>
      </c>
      <c r="F7130" t="s">
        <v>1139</v>
      </c>
      <c r="G7130" t="s">
        <v>32</v>
      </c>
      <c r="H7130" t="s">
        <v>33</v>
      </c>
      <c r="I7130" t="s">
        <v>58</v>
      </c>
      <c r="J7130" t="s">
        <v>44</v>
      </c>
      <c r="K7130" t="s">
        <v>36</v>
      </c>
      <c r="L7130" t="s">
        <v>45</v>
      </c>
      <c r="M7130">
        <v>0</v>
      </c>
      <c r="N7130">
        <v>0</v>
      </c>
      <c r="O7130">
        <v>2908</v>
      </c>
      <c r="Q7130">
        <f>43.5-14</f>
        <v>29.5</v>
      </c>
      <c r="R7130" t="s">
        <v>1021</v>
      </c>
      <c r="S7130" t="s">
        <v>102</v>
      </c>
      <c r="AB7130" t="s">
        <v>47</v>
      </c>
      <c r="AC7130" t="s">
        <v>87</v>
      </c>
    </row>
    <row r="7131" spans="1:30" x14ac:dyDescent="0.35">
      <c r="A7131" s="7">
        <v>43285</v>
      </c>
      <c r="B7131" t="s">
        <v>30</v>
      </c>
      <c r="C7131">
        <v>503</v>
      </c>
      <c r="D7131">
        <v>3</v>
      </c>
      <c r="E7131">
        <v>1</v>
      </c>
      <c r="F7131" t="s">
        <v>1139</v>
      </c>
      <c r="G7131" t="s">
        <v>32</v>
      </c>
      <c r="H7131" t="s">
        <v>33</v>
      </c>
      <c r="I7131" t="s">
        <v>65</v>
      </c>
      <c r="J7131" t="s">
        <v>44</v>
      </c>
      <c r="K7131" t="s">
        <v>36</v>
      </c>
      <c r="L7131" t="s">
        <v>45</v>
      </c>
      <c r="M7131">
        <v>0</v>
      </c>
      <c r="N7131">
        <v>0</v>
      </c>
      <c r="O7131">
        <v>1107</v>
      </c>
      <c r="Q7131">
        <f>250-85</f>
        <v>165</v>
      </c>
      <c r="R7131" t="s">
        <v>46</v>
      </c>
      <c r="S7131" t="s">
        <v>39</v>
      </c>
      <c r="AB7131" t="s">
        <v>47</v>
      </c>
      <c r="AC7131" t="s">
        <v>87</v>
      </c>
    </row>
    <row r="7132" spans="1:30" x14ac:dyDescent="0.35">
      <c r="A7132" s="7">
        <v>43285</v>
      </c>
      <c r="B7132" t="s">
        <v>30</v>
      </c>
      <c r="C7132">
        <v>503</v>
      </c>
      <c r="D7132">
        <v>8</v>
      </c>
      <c r="E7132">
        <v>1</v>
      </c>
      <c r="F7132" t="s">
        <v>1139</v>
      </c>
      <c r="G7132" t="s">
        <v>32</v>
      </c>
      <c r="H7132" t="s">
        <v>33</v>
      </c>
      <c r="I7132" t="s">
        <v>65</v>
      </c>
      <c r="J7132" t="s">
        <v>35</v>
      </c>
      <c r="K7132" t="s">
        <v>36</v>
      </c>
      <c r="L7132" t="s">
        <v>45</v>
      </c>
      <c r="M7132">
        <v>0</v>
      </c>
      <c r="N7132">
        <v>1</v>
      </c>
      <c r="O7132">
        <v>1200</v>
      </c>
      <c r="Q7132">
        <f>205-80</f>
        <v>125</v>
      </c>
      <c r="R7132" t="s">
        <v>46</v>
      </c>
      <c r="S7132" t="s">
        <v>39</v>
      </c>
      <c r="AB7132" t="s">
        <v>47</v>
      </c>
      <c r="AC7132" t="s">
        <v>87</v>
      </c>
    </row>
    <row r="7133" spans="1:30" x14ac:dyDescent="0.35">
      <c r="A7133" s="7">
        <v>43285</v>
      </c>
      <c r="B7133" t="s">
        <v>30</v>
      </c>
      <c r="C7133">
        <v>901</v>
      </c>
      <c r="D7133">
        <v>1</v>
      </c>
      <c r="E7133">
        <v>1</v>
      </c>
      <c r="F7133" t="s">
        <v>1020</v>
      </c>
      <c r="G7133" t="s">
        <v>32</v>
      </c>
      <c r="H7133" t="s">
        <v>33</v>
      </c>
      <c r="I7133" t="s">
        <v>65</v>
      </c>
      <c r="J7133" t="s">
        <v>56</v>
      </c>
      <c r="AB7133" t="s">
        <v>47</v>
      </c>
      <c r="AC7133" t="s">
        <v>87</v>
      </c>
      <c r="AD7133" t="s">
        <v>1195</v>
      </c>
    </row>
    <row r="7134" spans="1:30" x14ac:dyDescent="0.35">
      <c r="A7134" s="7">
        <v>43285</v>
      </c>
      <c r="B7134" t="s">
        <v>30</v>
      </c>
      <c r="C7134">
        <v>303</v>
      </c>
      <c r="D7134">
        <v>6</v>
      </c>
      <c r="E7134">
        <v>1</v>
      </c>
      <c r="F7134" t="s">
        <v>1139</v>
      </c>
      <c r="G7134" t="s">
        <v>32</v>
      </c>
      <c r="H7134" t="s">
        <v>33</v>
      </c>
      <c r="I7134" t="s">
        <v>72</v>
      </c>
      <c r="J7134" t="s">
        <v>56</v>
      </c>
      <c r="AB7134" t="s">
        <v>47</v>
      </c>
      <c r="AC7134" t="s">
        <v>87</v>
      </c>
    </row>
    <row r="7135" spans="1:30" x14ac:dyDescent="0.35">
      <c r="A7135" s="7">
        <v>43285</v>
      </c>
      <c r="B7135" t="s">
        <v>30</v>
      </c>
      <c r="C7135">
        <v>703</v>
      </c>
      <c r="D7135">
        <v>3</v>
      </c>
      <c r="E7135">
        <v>2</v>
      </c>
      <c r="F7135" t="s">
        <v>1020</v>
      </c>
      <c r="G7135" t="s">
        <v>32</v>
      </c>
      <c r="H7135" t="s">
        <v>33</v>
      </c>
      <c r="I7135" t="s">
        <v>72</v>
      </c>
      <c r="J7135" t="s">
        <v>56</v>
      </c>
      <c r="AB7135" t="s">
        <v>47</v>
      </c>
      <c r="AC7135" t="s">
        <v>87</v>
      </c>
    </row>
    <row r="7136" spans="1:30" x14ac:dyDescent="0.35">
      <c r="A7136" s="7">
        <v>43285</v>
      </c>
      <c r="B7136" t="s">
        <v>30</v>
      </c>
      <c r="C7136">
        <v>501</v>
      </c>
      <c r="D7136">
        <v>3</v>
      </c>
      <c r="E7136">
        <v>1</v>
      </c>
      <c r="F7136" t="s">
        <v>1139</v>
      </c>
      <c r="G7136" t="s">
        <v>32</v>
      </c>
      <c r="H7136" t="s">
        <v>33</v>
      </c>
      <c r="I7136" t="s">
        <v>1183</v>
      </c>
      <c r="J7136" t="s">
        <v>56</v>
      </c>
      <c r="AB7136" t="s">
        <v>47</v>
      </c>
      <c r="AC7136" t="s">
        <v>87</v>
      </c>
    </row>
    <row r="7137" spans="1:29" x14ac:dyDescent="0.35">
      <c r="A7137" s="7">
        <v>43285</v>
      </c>
      <c r="B7137" t="s">
        <v>30</v>
      </c>
      <c r="C7137">
        <v>501</v>
      </c>
      <c r="D7137">
        <v>7</v>
      </c>
      <c r="E7137">
        <v>1</v>
      </c>
      <c r="F7137" t="s">
        <v>1139</v>
      </c>
      <c r="G7137" t="s">
        <v>32</v>
      </c>
      <c r="H7137" t="s">
        <v>33</v>
      </c>
      <c r="I7137" t="s">
        <v>1183</v>
      </c>
      <c r="J7137" t="s">
        <v>56</v>
      </c>
      <c r="AB7137" t="s">
        <v>47</v>
      </c>
      <c r="AC7137" t="s">
        <v>87</v>
      </c>
    </row>
    <row r="7138" spans="1:29" x14ac:dyDescent="0.35">
      <c r="A7138" s="7">
        <v>43285</v>
      </c>
      <c r="B7138" t="s">
        <v>30</v>
      </c>
      <c r="C7138">
        <v>501</v>
      </c>
      <c r="D7138">
        <v>9</v>
      </c>
      <c r="E7138">
        <v>1</v>
      </c>
      <c r="F7138" t="s">
        <v>1139</v>
      </c>
      <c r="G7138" t="s">
        <v>32</v>
      </c>
      <c r="H7138" t="s">
        <v>33</v>
      </c>
      <c r="I7138" t="s">
        <v>1183</v>
      </c>
      <c r="J7138" t="s">
        <v>56</v>
      </c>
      <c r="AB7138" t="s">
        <v>47</v>
      </c>
      <c r="AC7138" t="s">
        <v>87</v>
      </c>
    </row>
    <row r="7139" spans="1:29" x14ac:dyDescent="0.35">
      <c r="A7139" s="7">
        <v>43285</v>
      </c>
      <c r="B7139" t="s">
        <v>30</v>
      </c>
      <c r="C7139">
        <v>501</v>
      </c>
      <c r="D7139">
        <v>10</v>
      </c>
      <c r="E7139">
        <v>1</v>
      </c>
      <c r="F7139" t="s">
        <v>1139</v>
      </c>
      <c r="G7139" t="s">
        <v>32</v>
      </c>
      <c r="H7139" t="s">
        <v>33</v>
      </c>
      <c r="I7139" t="s">
        <v>1183</v>
      </c>
      <c r="J7139" t="s">
        <v>56</v>
      </c>
      <c r="AB7139" t="s">
        <v>47</v>
      </c>
      <c r="AC7139" t="s">
        <v>87</v>
      </c>
    </row>
    <row r="7140" spans="1:29" x14ac:dyDescent="0.35">
      <c r="A7140" s="7">
        <v>43285</v>
      </c>
      <c r="B7140" t="s">
        <v>30</v>
      </c>
      <c r="C7140">
        <v>503</v>
      </c>
      <c r="D7140">
        <v>7</v>
      </c>
      <c r="E7140">
        <v>1</v>
      </c>
      <c r="F7140" t="s">
        <v>1139</v>
      </c>
      <c r="G7140" t="s">
        <v>32</v>
      </c>
      <c r="H7140" t="s">
        <v>33</v>
      </c>
      <c r="I7140" t="s">
        <v>1183</v>
      </c>
      <c r="J7140" t="s">
        <v>56</v>
      </c>
      <c r="AB7140" t="s">
        <v>47</v>
      </c>
      <c r="AC7140" t="s">
        <v>87</v>
      </c>
    </row>
    <row r="7141" spans="1:29" x14ac:dyDescent="0.35">
      <c r="A7141" s="7">
        <v>43285</v>
      </c>
      <c r="B7141" t="s">
        <v>30</v>
      </c>
      <c r="C7141">
        <v>503</v>
      </c>
      <c r="D7141">
        <v>7</v>
      </c>
      <c r="E7141">
        <v>2</v>
      </c>
      <c r="F7141" t="s">
        <v>1139</v>
      </c>
      <c r="G7141" t="s">
        <v>32</v>
      </c>
      <c r="H7141" t="s">
        <v>33</v>
      </c>
      <c r="I7141" t="s">
        <v>1183</v>
      </c>
      <c r="J7141" t="s">
        <v>56</v>
      </c>
      <c r="AB7141" t="s">
        <v>47</v>
      </c>
      <c r="AC7141" t="s">
        <v>87</v>
      </c>
    </row>
    <row r="7142" spans="1:29" x14ac:dyDescent="0.35">
      <c r="A7142" s="7">
        <v>43285</v>
      </c>
      <c r="B7142" t="s">
        <v>30</v>
      </c>
      <c r="C7142">
        <v>303</v>
      </c>
      <c r="D7142">
        <v>2</v>
      </c>
      <c r="E7142">
        <v>1</v>
      </c>
      <c r="F7142" t="s">
        <v>1139</v>
      </c>
      <c r="G7142" t="s">
        <v>32</v>
      </c>
      <c r="H7142" t="s">
        <v>33</v>
      </c>
      <c r="I7142" t="s">
        <v>59</v>
      </c>
      <c r="AB7142" t="s">
        <v>47</v>
      </c>
      <c r="AC7142" t="s">
        <v>87</v>
      </c>
    </row>
    <row r="7143" spans="1:29" x14ac:dyDescent="0.35">
      <c r="A7143" s="7">
        <v>43285</v>
      </c>
      <c r="B7143" t="s">
        <v>30</v>
      </c>
      <c r="C7143">
        <v>303</v>
      </c>
      <c r="D7143">
        <v>3</v>
      </c>
      <c r="E7143">
        <v>1</v>
      </c>
      <c r="F7143" t="s">
        <v>1139</v>
      </c>
      <c r="G7143" t="s">
        <v>32</v>
      </c>
      <c r="H7143" t="s">
        <v>33</v>
      </c>
      <c r="I7143" t="s">
        <v>59</v>
      </c>
      <c r="AB7143" t="s">
        <v>47</v>
      </c>
      <c r="AC7143" t="s">
        <v>87</v>
      </c>
    </row>
    <row r="7144" spans="1:29" x14ac:dyDescent="0.35">
      <c r="A7144" s="7">
        <v>43285</v>
      </c>
      <c r="B7144" t="s">
        <v>30</v>
      </c>
      <c r="C7144">
        <v>303</v>
      </c>
      <c r="D7144">
        <v>3</v>
      </c>
      <c r="E7144">
        <v>2</v>
      </c>
      <c r="F7144" t="s">
        <v>1139</v>
      </c>
      <c r="G7144" t="s">
        <v>32</v>
      </c>
      <c r="H7144" t="s">
        <v>33</v>
      </c>
      <c r="I7144" t="s">
        <v>59</v>
      </c>
      <c r="AB7144" t="s">
        <v>47</v>
      </c>
      <c r="AC7144" t="s">
        <v>87</v>
      </c>
    </row>
    <row r="7145" spans="1:29" x14ac:dyDescent="0.35">
      <c r="A7145" s="7">
        <v>43285</v>
      </c>
      <c r="B7145" t="s">
        <v>30</v>
      </c>
      <c r="C7145">
        <v>303</v>
      </c>
      <c r="D7145">
        <v>4</v>
      </c>
      <c r="E7145">
        <v>2</v>
      </c>
      <c r="F7145" t="s">
        <v>1139</v>
      </c>
      <c r="G7145" t="s">
        <v>32</v>
      </c>
      <c r="H7145" t="s">
        <v>33</v>
      </c>
      <c r="I7145" t="s">
        <v>59</v>
      </c>
      <c r="L7145" t="s">
        <v>45</v>
      </c>
      <c r="AB7145" t="s">
        <v>47</v>
      </c>
      <c r="AC7145" t="s">
        <v>87</v>
      </c>
    </row>
    <row r="7146" spans="1:29" x14ac:dyDescent="0.35">
      <c r="A7146" s="7">
        <v>43285</v>
      </c>
      <c r="B7146" t="s">
        <v>30</v>
      </c>
      <c r="C7146">
        <v>303</v>
      </c>
      <c r="D7146">
        <v>10</v>
      </c>
      <c r="E7146">
        <v>1</v>
      </c>
      <c r="F7146" t="s">
        <v>1139</v>
      </c>
      <c r="G7146" t="s">
        <v>32</v>
      </c>
      <c r="H7146" t="s">
        <v>33</v>
      </c>
      <c r="I7146" t="s">
        <v>59</v>
      </c>
      <c r="AB7146" t="s">
        <v>47</v>
      </c>
      <c r="AC7146" t="s">
        <v>87</v>
      </c>
    </row>
    <row r="7147" spans="1:29" x14ac:dyDescent="0.35">
      <c r="A7147" s="7">
        <v>43285</v>
      </c>
      <c r="B7147" t="s">
        <v>30</v>
      </c>
      <c r="C7147">
        <v>303</v>
      </c>
      <c r="D7147">
        <v>10</v>
      </c>
      <c r="E7147">
        <v>2</v>
      </c>
      <c r="F7147" t="s">
        <v>1139</v>
      </c>
      <c r="G7147" t="s">
        <v>32</v>
      </c>
      <c r="H7147" t="s">
        <v>33</v>
      </c>
      <c r="I7147" t="s">
        <v>59</v>
      </c>
      <c r="AB7147" t="s">
        <v>47</v>
      </c>
      <c r="AC7147" t="s">
        <v>87</v>
      </c>
    </row>
    <row r="7148" spans="1:29" x14ac:dyDescent="0.35">
      <c r="A7148" s="7">
        <v>43285</v>
      </c>
      <c r="B7148" t="s">
        <v>30</v>
      </c>
      <c r="C7148">
        <v>401</v>
      </c>
      <c r="D7148">
        <v>10</v>
      </c>
      <c r="E7148">
        <v>2</v>
      </c>
      <c r="F7148" t="s">
        <v>1139</v>
      </c>
      <c r="G7148" t="s">
        <v>32</v>
      </c>
      <c r="H7148" t="s">
        <v>33</v>
      </c>
      <c r="I7148" t="s">
        <v>59</v>
      </c>
      <c r="AB7148" t="s">
        <v>47</v>
      </c>
      <c r="AC7148" t="s">
        <v>87</v>
      </c>
    </row>
    <row r="7149" spans="1:29" x14ac:dyDescent="0.35">
      <c r="A7149" s="7">
        <v>43285</v>
      </c>
      <c r="B7149" t="s">
        <v>30</v>
      </c>
      <c r="C7149">
        <v>701</v>
      </c>
      <c r="D7149">
        <v>1</v>
      </c>
      <c r="E7149">
        <v>1</v>
      </c>
      <c r="F7149" t="s">
        <v>1020</v>
      </c>
      <c r="G7149" t="s">
        <v>32</v>
      </c>
      <c r="H7149" t="s">
        <v>33</v>
      </c>
      <c r="I7149" t="s">
        <v>59</v>
      </c>
      <c r="AB7149" t="s">
        <v>47</v>
      </c>
      <c r="AC7149" t="s">
        <v>87</v>
      </c>
    </row>
    <row r="7150" spans="1:29" x14ac:dyDescent="0.35">
      <c r="A7150" s="7">
        <v>43285</v>
      </c>
      <c r="B7150" t="s">
        <v>30</v>
      </c>
      <c r="C7150">
        <v>703</v>
      </c>
      <c r="D7150">
        <v>5</v>
      </c>
      <c r="E7150">
        <v>2</v>
      </c>
      <c r="F7150" t="s">
        <v>1020</v>
      </c>
      <c r="G7150" t="s">
        <v>32</v>
      </c>
      <c r="H7150" t="s">
        <v>33</v>
      </c>
      <c r="I7150" t="s">
        <v>59</v>
      </c>
      <c r="AB7150" t="s">
        <v>47</v>
      </c>
      <c r="AC7150" t="s">
        <v>87</v>
      </c>
    </row>
    <row r="7151" spans="1:29" x14ac:dyDescent="0.35">
      <c r="A7151" s="7">
        <v>43285</v>
      </c>
      <c r="B7151" t="s">
        <v>30</v>
      </c>
      <c r="C7151">
        <v>703</v>
      </c>
      <c r="D7151">
        <v>8</v>
      </c>
      <c r="E7151">
        <v>1</v>
      </c>
      <c r="F7151" t="s">
        <v>1020</v>
      </c>
      <c r="G7151" t="s">
        <v>32</v>
      </c>
      <c r="H7151" t="s">
        <v>33</v>
      </c>
      <c r="I7151" t="s">
        <v>59</v>
      </c>
      <c r="AB7151" t="s">
        <v>47</v>
      </c>
      <c r="AC7151" t="s">
        <v>87</v>
      </c>
    </row>
    <row r="7152" spans="1:29" x14ac:dyDescent="0.35">
      <c r="A7152" s="7">
        <v>43285</v>
      </c>
      <c r="B7152" t="s">
        <v>30</v>
      </c>
      <c r="C7152">
        <v>703</v>
      </c>
      <c r="D7152">
        <v>8</v>
      </c>
      <c r="E7152">
        <v>2</v>
      </c>
      <c r="F7152" t="s">
        <v>1020</v>
      </c>
      <c r="G7152" t="s">
        <v>32</v>
      </c>
      <c r="H7152" t="s">
        <v>33</v>
      </c>
      <c r="I7152" t="s">
        <v>59</v>
      </c>
      <c r="AB7152" t="s">
        <v>47</v>
      </c>
      <c r="AC7152" t="s">
        <v>87</v>
      </c>
    </row>
    <row r="7153" spans="1:30" x14ac:dyDescent="0.35">
      <c r="A7153" s="7">
        <v>43285</v>
      </c>
      <c r="B7153" t="s">
        <v>30</v>
      </c>
      <c r="C7153">
        <v>801</v>
      </c>
      <c r="D7153">
        <v>1</v>
      </c>
      <c r="E7153">
        <v>1</v>
      </c>
      <c r="F7153" t="s">
        <v>1020</v>
      </c>
      <c r="G7153" t="s">
        <v>32</v>
      </c>
      <c r="H7153" t="s">
        <v>33</v>
      </c>
      <c r="I7153" t="s">
        <v>59</v>
      </c>
      <c r="AB7153" t="s">
        <v>47</v>
      </c>
      <c r="AC7153" t="s">
        <v>87</v>
      </c>
    </row>
    <row r="7154" spans="1:30" x14ac:dyDescent="0.35">
      <c r="A7154" s="7">
        <v>43285</v>
      </c>
      <c r="B7154" t="s">
        <v>30</v>
      </c>
      <c r="C7154">
        <v>801</v>
      </c>
      <c r="D7154">
        <v>5</v>
      </c>
      <c r="E7154">
        <v>1</v>
      </c>
      <c r="F7154" t="s">
        <v>1020</v>
      </c>
      <c r="G7154" t="s">
        <v>32</v>
      </c>
      <c r="H7154" t="s">
        <v>33</v>
      </c>
      <c r="I7154" t="s">
        <v>59</v>
      </c>
      <c r="AB7154" t="s">
        <v>47</v>
      </c>
      <c r="AC7154" t="s">
        <v>87</v>
      </c>
    </row>
    <row r="7155" spans="1:30" x14ac:dyDescent="0.35">
      <c r="A7155" s="7">
        <v>43285</v>
      </c>
      <c r="B7155" t="s">
        <v>30</v>
      </c>
      <c r="C7155">
        <v>801</v>
      </c>
      <c r="D7155">
        <v>5</v>
      </c>
      <c r="E7155">
        <v>2</v>
      </c>
      <c r="F7155" t="s">
        <v>1020</v>
      </c>
      <c r="G7155" t="s">
        <v>32</v>
      </c>
      <c r="H7155" t="s">
        <v>33</v>
      </c>
      <c r="I7155" t="s">
        <v>59</v>
      </c>
      <c r="AB7155" t="s">
        <v>47</v>
      </c>
      <c r="AC7155" t="s">
        <v>87</v>
      </c>
    </row>
    <row r="7156" spans="1:30" x14ac:dyDescent="0.35">
      <c r="A7156" s="7">
        <v>43285</v>
      </c>
      <c r="B7156" t="s">
        <v>30</v>
      </c>
      <c r="C7156">
        <v>801</v>
      </c>
      <c r="D7156">
        <v>7</v>
      </c>
      <c r="E7156">
        <v>2</v>
      </c>
      <c r="F7156" t="s">
        <v>1020</v>
      </c>
      <c r="G7156" t="s">
        <v>32</v>
      </c>
      <c r="H7156" t="s">
        <v>33</v>
      </c>
      <c r="I7156" t="s">
        <v>59</v>
      </c>
      <c r="AB7156" t="s">
        <v>47</v>
      </c>
      <c r="AC7156" t="s">
        <v>87</v>
      </c>
    </row>
    <row r="7157" spans="1:30" x14ac:dyDescent="0.35">
      <c r="A7157" s="7">
        <v>43285</v>
      </c>
      <c r="B7157" t="s">
        <v>30</v>
      </c>
      <c r="C7157">
        <v>803</v>
      </c>
      <c r="D7157">
        <v>3</v>
      </c>
      <c r="E7157">
        <v>2</v>
      </c>
      <c r="F7157" t="s">
        <v>1020</v>
      </c>
      <c r="G7157" t="s">
        <v>32</v>
      </c>
      <c r="H7157" t="s">
        <v>33</v>
      </c>
      <c r="I7157" t="s">
        <v>59</v>
      </c>
      <c r="AB7157" t="s">
        <v>47</v>
      </c>
      <c r="AC7157" t="s">
        <v>87</v>
      </c>
    </row>
    <row r="7158" spans="1:30" x14ac:dyDescent="0.35">
      <c r="A7158" s="7">
        <v>43285</v>
      </c>
      <c r="B7158" t="s">
        <v>30</v>
      </c>
      <c r="C7158">
        <v>803</v>
      </c>
      <c r="D7158">
        <v>9</v>
      </c>
      <c r="E7158">
        <v>2</v>
      </c>
      <c r="F7158" t="s">
        <v>1020</v>
      </c>
      <c r="G7158" t="s">
        <v>32</v>
      </c>
      <c r="H7158" t="s">
        <v>33</v>
      </c>
      <c r="I7158" t="s">
        <v>59</v>
      </c>
      <c r="AB7158" t="s">
        <v>47</v>
      </c>
      <c r="AC7158" t="s">
        <v>87</v>
      </c>
    </row>
    <row r="7159" spans="1:30" x14ac:dyDescent="0.35">
      <c r="A7159" s="7">
        <v>43285</v>
      </c>
      <c r="B7159" t="s">
        <v>30</v>
      </c>
      <c r="C7159">
        <v>901</v>
      </c>
      <c r="D7159">
        <v>6</v>
      </c>
      <c r="E7159">
        <v>1</v>
      </c>
      <c r="F7159" t="s">
        <v>1020</v>
      </c>
      <c r="G7159" t="s">
        <v>32</v>
      </c>
      <c r="H7159" t="s">
        <v>33</v>
      </c>
      <c r="I7159" t="s">
        <v>59</v>
      </c>
      <c r="AB7159" t="s">
        <v>47</v>
      </c>
      <c r="AC7159" t="s">
        <v>87</v>
      </c>
    </row>
    <row r="7160" spans="1:30" x14ac:dyDescent="0.35">
      <c r="A7160" s="7">
        <v>43285</v>
      </c>
      <c r="B7160" t="s">
        <v>30</v>
      </c>
      <c r="C7160">
        <v>901</v>
      </c>
      <c r="D7160">
        <v>7</v>
      </c>
      <c r="E7160">
        <v>1</v>
      </c>
      <c r="F7160" t="s">
        <v>1020</v>
      </c>
      <c r="G7160" t="s">
        <v>32</v>
      </c>
      <c r="H7160" t="s">
        <v>33</v>
      </c>
      <c r="I7160" t="s">
        <v>59</v>
      </c>
      <c r="AB7160" t="s">
        <v>47</v>
      </c>
      <c r="AC7160" t="s">
        <v>87</v>
      </c>
    </row>
    <row r="7161" spans="1:30" x14ac:dyDescent="0.35">
      <c r="A7161" s="7">
        <v>43285</v>
      </c>
      <c r="B7161" t="s">
        <v>30</v>
      </c>
      <c r="C7161">
        <v>701</v>
      </c>
      <c r="D7161">
        <v>10</v>
      </c>
      <c r="E7161">
        <v>1</v>
      </c>
      <c r="F7161" t="s">
        <v>1020</v>
      </c>
      <c r="G7161" t="s">
        <v>32</v>
      </c>
      <c r="H7161" t="s">
        <v>33</v>
      </c>
      <c r="I7161" t="s">
        <v>1075</v>
      </c>
      <c r="AB7161" t="s">
        <v>47</v>
      </c>
      <c r="AC7161" t="s">
        <v>87</v>
      </c>
    </row>
    <row r="7162" spans="1:30" x14ac:dyDescent="0.35">
      <c r="A7162" s="7">
        <v>43285</v>
      </c>
      <c r="B7162" t="s">
        <v>30</v>
      </c>
      <c r="C7162">
        <v>803</v>
      </c>
      <c r="D7162">
        <v>10</v>
      </c>
      <c r="E7162">
        <v>1</v>
      </c>
      <c r="F7162" t="s">
        <v>1020</v>
      </c>
      <c r="G7162" t="s">
        <v>32</v>
      </c>
      <c r="H7162" t="s">
        <v>33</v>
      </c>
      <c r="I7162" t="s">
        <v>1075</v>
      </c>
      <c r="AB7162" t="s">
        <v>47</v>
      </c>
      <c r="AC7162" t="s">
        <v>87</v>
      </c>
    </row>
    <row r="7163" spans="1:30" x14ac:dyDescent="0.35">
      <c r="A7163" s="7">
        <v>43285</v>
      </c>
      <c r="B7163" t="s">
        <v>30</v>
      </c>
      <c r="C7163">
        <v>503</v>
      </c>
      <c r="D7163">
        <v>6</v>
      </c>
      <c r="E7163">
        <v>1</v>
      </c>
      <c r="F7163" t="s">
        <v>1139</v>
      </c>
      <c r="G7163" t="s">
        <v>32</v>
      </c>
      <c r="H7163" t="s">
        <v>33</v>
      </c>
      <c r="I7163" t="s">
        <v>94</v>
      </c>
      <c r="J7163" t="s">
        <v>44</v>
      </c>
      <c r="K7163" t="s">
        <v>36</v>
      </c>
      <c r="L7163" t="s">
        <v>45</v>
      </c>
      <c r="M7163">
        <v>0</v>
      </c>
      <c r="N7163">
        <v>0</v>
      </c>
      <c r="O7163">
        <v>1023</v>
      </c>
      <c r="Q7163">
        <f>40-16</f>
        <v>24</v>
      </c>
      <c r="R7163" t="s">
        <v>46</v>
      </c>
      <c r="S7163" t="s">
        <v>39</v>
      </c>
      <c r="AB7163" t="s">
        <v>47</v>
      </c>
      <c r="AC7163" t="s">
        <v>87</v>
      </c>
      <c r="AD7163" t="s">
        <v>1196</v>
      </c>
    </row>
    <row r="7164" spans="1:30" x14ac:dyDescent="0.35">
      <c r="A7164" s="7">
        <v>43285</v>
      </c>
      <c r="B7164" t="s">
        <v>30</v>
      </c>
      <c r="C7164">
        <v>803</v>
      </c>
      <c r="D7164">
        <v>3</v>
      </c>
      <c r="E7164">
        <v>1</v>
      </c>
      <c r="F7164" t="s">
        <v>1020</v>
      </c>
      <c r="G7164" t="s">
        <v>32</v>
      </c>
      <c r="H7164" t="s">
        <v>33</v>
      </c>
      <c r="I7164" t="s">
        <v>94</v>
      </c>
      <c r="J7164" t="s">
        <v>44</v>
      </c>
      <c r="K7164" t="s">
        <v>36</v>
      </c>
      <c r="L7164" t="s">
        <v>37</v>
      </c>
      <c r="M7164">
        <v>0</v>
      </c>
      <c r="N7164">
        <v>0</v>
      </c>
      <c r="O7164">
        <v>39784</v>
      </c>
      <c r="Q7164">
        <f>34-10</f>
        <v>24</v>
      </c>
      <c r="R7164" t="s">
        <v>38</v>
      </c>
      <c r="AB7164" t="s">
        <v>47</v>
      </c>
      <c r="AC7164" t="s">
        <v>87</v>
      </c>
      <c r="AD7164" t="s">
        <v>1197</v>
      </c>
    </row>
    <row r="7165" spans="1:30" x14ac:dyDescent="0.35">
      <c r="A7165" s="7">
        <v>43290</v>
      </c>
      <c r="B7165" t="s">
        <v>30</v>
      </c>
      <c r="C7165">
        <v>111</v>
      </c>
      <c r="D7165">
        <v>1</v>
      </c>
      <c r="E7165">
        <v>1</v>
      </c>
      <c r="F7165" t="s">
        <v>1020</v>
      </c>
      <c r="G7165" t="s">
        <v>32</v>
      </c>
      <c r="H7165" t="s">
        <v>33</v>
      </c>
      <c r="I7165" t="s">
        <v>43</v>
      </c>
      <c r="J7165" t="s">
        <v>35</v>
      </c>
      <c r="K7165" t="s">
        <v>113</v>
      </c>
      <c r="L7165" t="s">
        <v>45</v>
      </c>
      <c r="M7165">
        <v>0</v>
      </c>
      <c r="N7165">
        <v>1</v>
      </c>
      <c r="O7165">
        <v>1321</v>
      </c>
      <c r="P7165">
        <v>1320</v>
      </c>
      <c r="Q7165">
        <f>26-12</f>
        <v>14</v>
      </c>
      <c r="R7165" t="s">
        <v>46</v>
      </c>
      <c r="S7165" t="s">
        <v>39</v>
      </c>
      <c r="AB7165" t="s">
        <v>47</v>
      </c>
      <c r="AC7165" t="s">
        <v>87</v>
      </c>
      <c r="AD7165" t="s">
        <v>1165</v>
      </c>
    </row>
    <row r="7166" spans="1:30" x14ac:dyDescent="0.35">
      <c r="A7166" s="7">
        <v>43290</v>
      </c>
      <c r="B7166" t="s">
        <v>30</v>
      </c>
      <c r="C7166">
        <v>111</v>
      </c>
      <c r="D7166">
        <v>2</v>
      </c>
      <c r="E7166">
        <v>1</v>
      </c>
      <c r="F7166" t="s">
        <v>1020</v>
      </c>
      <c r="G7166" t="s">
        <v>32</v>
      </c>
      <c r="H7166" t="s">
        <v>33</v>
      </c>
      <c r="I7166" t="s">
        <v>43</v>
      </c>
      <c r="J7166" t="s">
        <v>35</v>
      </c>
      <c r="K7166" t="s">
        <v>36</v>
      </c>
      <c r="L7166" t="s">
        <v>37</v>
      </c>
      <c r="M7166">
        <v>0</v>
      </c>
      <c r="N7166">
        <v>1</v>
      </c>
      <c r="O7166">
        <v>1319</v>
      </c>
      <c r="P7166">
        <v>1318</v>
      </c>
      <c r="Q7166">
        <f>29.5-10.25</f>
        <v>19.25</v>
      </c>
      <c r="R7166" t="s">
        <v>38</v>
      </c>
      <c r="AB7166" t="s">
        <v>47</v>
      </c>
      <c r="AC7166" t="s">
        <v>87</v>
      </c>
    </row>
    <row r="7167" spans="1:30" x14ac:dyDescent="0.35">
      <c r="A7167" s="7">
        <v>43290</v>
      </c>
      <c r="B7167" t="s">
        <v>30</v>
      </c>
      <c r="C7167">
        <v>111</v>
      </c>
      <c r="D7167">
        <v>3</v>
      </c>
      <c r="E7167">
        <v>1</v>
      </c>
      <c r="F7167" t="s">
        <v>1020</v>
      </c>
      <c r="G7167" t="s">
        <v>32</v>
      </c>
      <c r="H7167" t="s">
        <v>33</v>
      </c>
      <c r="I7167" t="s">
        <v>43</v>
      </c>
      <c r="J7167" t="s">
        <v>44</v>
      </c>
      <c r="K7167" t="s">
        <v>36</v>
      </c>
      <c r="L7167" t="s">
        <v>45</v>
      </c>
      <c r="M7167">
        <v>0</v>
      </c>
      <c r="N7167">
        <v>0</v>
      </c>
      <c r="O7167">
        <v>2408</v>
      </c>
      <c r="P7167">
        <v>2407</v>
      </c>
      <c r="Q7167">
        <f>30.5-11.5</f>
        <v>19</v>
      </c>
      <c r="R7167" t="s">
        <v>1021</v>
      </c>
      <c r="S7167" t="s">
        <v>102</v>
      </c>
      <c r="AB7167" t="s">
        <v>47</v>
      </c>
      <c r="AC7167" t="s">
        <v>87</v>
      </c>
    </row>
    <row r="7168" spans="1:30" x14ac:dyDescent="0.35">
      <c r="A7168" s="7">
        <v>43290</v>
      </c>
      <c r="B7168" t="s">
        <v>30</v>
      </c>
      <c r="C7168">
        <v>111</v>
      </c>
      <c r="D7168">
        <v>4</v>
      </c>
      <c r="E7168">
        <v>1</v>
      </c>
      <c r="F7168" t="s">
        <v>1020</v>
      </c>
      <c r="G7168" t="s">
        <v>32</v>
      </c>
      <c r="H7168" t="s">
        <v>33</v>
      </c>
      <c r="I7168" t="s">
        <v>43</v>
      </c>
      <c r="J7168" t="s">
        <v>44</v>
      </c>
      <c r="K7168" t="s">
        <v>36</v>
      </c>
      <c r="L7168" t="s">
        <v>45</v>
      </c>
      <c r="M7168">
        <v>0</v>
      </c>
      <c r="N7168">
        <v>0</v>
      </c>
      <c r="O7168">
        <v>2463</v>
      </c>
      <c r="P7168">
        <v>2462</v>
      </c>
      <c r="Q7168">
        <f>28-9.5</f>
        <v>18.5</v>
      </c>
      <c r="R7168" t="s">
        <v>1021</v>
      </c>
      <c r="S7168" t="s">
        <v>102</v>
      </c>
      <c r="AB7168" t="s">
        <v>47</v>
      </c>
      <c r="AC7168" t="s">
        <v>87</v>
      </c>
    </row>
    <row r="7169" spans="1:30" x14ac:dyDescent="0.35">
      <c r="A7169" s="7">
        <v>43290</v>
      </c>
      <c r="B7169" t="s">
        <v>30</v>
      </c>
      <c r="C7169">
        <v>111</v>
      </c>
      <c r="D7169">
        <v>5</v>
      </c>
      <c r="E7169">
        <v>2</v>
      </c>
      <c r="F7169" t="s">
        <v>1020</v>
      </c>
      <c r="G7169" t="s">
        <v>32</v>
      </c>
      <c r="H7169" t="s">
        <v>33</v>
      </c>
      <c r="I7169" t="s">
        <v>43</v>
      </c>
      <c r="J7169" t="s">
        <v>35</v>
      </c>
      <c r="K7169" t="s">
        <v>88</v>
      </c>
      <c r="L7169" t="s">
        <v>37</v>
      </c>
      <c r="M7169">
        <v>0</v>
      </c>
      <c r="N7169">
        <v>1</v>
      </c>
      <c r="O7169">
        <v>1316</v>
      </c>
      <c r="P7169">
        <v>1315</v>
      </c>
      <c r="Q7169">
        <f>20.5-10</f>
        <v>10.5</v>
      </c>
      <c r="R7169" t="s">
        <v>64</v>
      </c>
      <c r="AB7169" t="s">
        <v>47</v>
      </c>
      <c r="AC7169" t="s">
        <v>87</v>
      </c>
    </row>
    <row r="7170" spans="1:30" x14ac:dyDescent="0.35">
      <c r="A7170" s="7">
        <v>43290</v>
      </c>
      <c r="B7170" t="s">
        <v>30</v>
      </c>
      <c r="C7170">
        <v>111</v>
      </c>
      <c r="D7170">
        <v>6</v>
      </c>
      <c r="E7170">
        <v>1</v>
      </c>
      <c r="F7170" t="s">
        <v>1020</v>
      </c>
      <c r="G7170" t="s">
        <v>32</v>
      </c>
      <c r="H7170" t="s">
        <v>33</v>
      </c>
      <c r="I7170" t="s">
        <v>43</v>
      </c>
      <c r="J7170" t="s">
        <v>35</v>
      </c>
      <c r="K7170" t="s">
        <v>88</v>
      </c>
      <c r="L7170" t="s">
        <v>37</v>
      </c>
      <c r="M7170">
        <v>0</v>
      </c>
      <c r="N7170">
        <v>1</v>
      </c>
      <c r="O7170">
        <v>1314</v>
      </c>
      <c r="P7170">
        <v>1313</v>
      </c>
      <c r="Q7170">
        <f>23-11</f>
        <v>12</v>
      </c>
      <c r="R7170" t="s">
        <v>64</v>
      </c>
      <c r="AB7170" t="s">
        <v>47</v>
      </c>
      <c r="AC7170" t="s">
        <v>87</v>
      </c>
    </row>
    <row r="7171" spans="1:30" x14ac:dyDescent="0.35">
      <c r="A7171" s="7">
        <v>43290</v>
      </c>
      <c r="B7171" t="s">
        <v>30</v>
      </c>
      <c r="C7171">
        <v>111</v>
      </c>
      <c r="D7171">
        <v>8</v>
      </c>
      <c r="E7171">
        <v>1</v>
      </c>
      <c r="F7171" t="s">
        <v>1020</v>
      </c>
      <c r="G7171" t="s">
        <v>32</v>
      </c>
      <c r="H7171" t="s">
        <v>33</v>
      </c>
      <c r="I7171" t="s">
        <v>43</v>
      </c>
      <c r="J7171" t="s">
        <v>44</v>
      </c>
      <c r="K7171" t="s">
        <v>88</v>
      </c>
      <c r="L7171" t="s">
        <v>45</v>
      </c>
      <c r="M7171">
        <v>0</v>
      </c>
      <c r="N7171">
        <v>0</v>
      </c>
      <c r="O7171">
        <v>1063</v>
      </c>
      <c r="P7171">
        <v>1062</v>
      </c>
      <c r="Q7171">
        <f>23.5-9.75</f>
        <v>13.75</v>
      </c>
      <c r="R7171" t="s">
        <v>46</v>
      </c>
      <c r="S7171" t="s">
        <v>39</v>
      </c>
      <c r="AB7171" t="s">
        <v>47</v>
      </c>
      <c r="AC7171" t="s">
        <v>87</v>
      </c>
    </row>
    <row r="7172" spans="1:30" x14ac:dyDescent="0.35">
      <c r="A7172" s="7">
        <v>43290</v>
      </c>
      <c r="B7172" t="s">
        <v>30</v>
      </c>
      <c r="C7172">
        <v>112</v>
      </c>
      <c r="D7172">
        <v>1</v>
      </c>
      <c r="E7172">
        <v>1</v>
      </c>
      <c r="F7172" t="s">
        <v>1020</v>
      </c>
      <c r="G7172" t="s">
        <v>32</v>
      </c>
      <c r="H7172" t="s">
        <v>33</v>
      </c>
      <c r="I7172" t="s">
        <v>43</v>
      </c>
      <c r="J7172" t="s">
        <v>44</v>
      </c>
      <c r="K7172" t="s">
        <v>36</v>
      </c>
      <c r="L7172" t="s">
        <v>45</v>
      </c>
      <c r="M7172">
        <v>0</v>
      </c>
      <c r="N7172">
        <v>0</v>
      </c>
      <c r="O7172">
        <v>1061</v>
      </c>
      <c r="P7172">
        <v>1060</v>
      </c>
      <c r="Q7172">
        <f>31-10</f>
        <v>21</v>
      </c>
      <c r="R7172" t="s">
        <v>46</v>
      </c>
      <c r="S7172" t="s">
        <v>39</v>
      </c>
      <c r="AB7172" t="s">
        <v>47</v>
      </c>
      <c r="AC7172" t="s">
        <v>87</v>
      </c>
    </row>
    <row r="7173" spans="1:30" x14ac:dyDescent="0.35">
      <c r="A7173" s="7">
        <v>43290</v>
      </c>
      <c r="B7173" t="s">
        <v>30</v>
      </c>
      <c r="C7173">
        <v>112</v>
      </c>
      <c r="D7173">
        <v>5</v>
      </c>
      <c r="E7173">
        <v>1</v>
      </c>
      <c r="F7173" t="s">
        <v>1020</v>
      </c>
      <c r="G7173" t="s">
        <v>32</v>
      </c>
      <c r="H7173" t="s">
        <v>33</v>
      </c>
      <c r="I7173" t="s">
        <v>43</v>
      </c>
      <c r="J7173" t="s">
        <v>35</v>
      </c>
      <c r="K7173" t="s">
        <v>113</v>
      </c>
      <c r="L7173" t="s">
        <v>45</v>
      </c>
      <c r="M7173">
        <v>0</v>
      </c>
      <c r="N7173">
        <v>1</v>
      </c>
      <c r="O7173">
        <v>1311</v>
      </c>
      <c r="P7173">
        <v>1310</v>
      </c>
      <c r="Q7173">
        <f>25-10</f>
        <v>15</v>
      </c>
      <c r="R7173" t="s">
        <v>46</v>
      </c>
      <c r="S7173" t="s">
        <v>39</v>
      </c>
      <c r="AB7173" t="s">
        <v>47</v>
      </c>
      <c r="AC7173" t="s">
        <v>87</v>
      </c>
    </row>
    <row r="7174" spans="1:30" x14ac:dyDescent="0.35">
      <c r="A7174" s="7">
        <v>43290</v>
      </c>
      <c r="B7174" t="s">
        <v>30</v>
      </c>
      <c r="C7174">
        <v>112</v>
      </c>
      <c r="D7174">
        <v>6</v>
      </c>
      <c r="E7174">
        <v>1</v>
      </c>
      <c r="F7174" t="s">
        <v>1020</v>
      </c>
      <c r="G7174" t="s">
        <v>32</v>
      </c>
      <c r="H7174" t="s">
        <v>33</v>
      </c>
      <c r="I7174" t="s">
        <v>43</v>
      </c>
      <c r="J7174" t="s">
        <v>44</v>
      </c>
      <c r="K7174" t="s">
        <v>88</v>
      </c>
      <c r="L7174" t="s">
        <v>37</v>
      </c>
      <c r="M7174">
        <v>0</v>
      </c>
      <c r="N7174">
        <v>0</v>
      </c>
      <c r="O7174">
        <v>1121</v>
      </c>
      <c r="P7174">
        <v>1120</v>
      </c>
      <c r="Q7174">
        <f>23.5-10</f>
        <v>13.5</v>
      </c>
      <c r="R7174" t="s">
        <v>64</v>
      </c>
      <c r="AB7174" t="s">
        <v>47</v>
      </c>
      <c r="AC7174" t="s">
        <v>87</v>
      </c>
    </row>
    <row r="7175" spans="1:30" x14ac:dyDescent="0.35">
      <c r="A7175" s="7">
        <v>43290</v>
      </c>
      <c r="B7175" t="s">
        <v>30</v>
      </c>
      <c r="C7175">
        <v>112</v>
      </c>
      <c r="D7175">
        <v>10</v>
      </c>
      <c r="E7175">
        <v>1</v>
      </c>
      <c r="F7175" t="s">
        <v>1020</v>
      </c>
      <c r="G7175" t="s">
        <v>32</v>
      </c>
      <c r="H7175" t="s">
        <v>33</v>
      </c>
      <c r="I7175" t="s">
        <v>43</v>
      </c>
      <c r="J7175" t="s">
        <v>44</v>
      </c>
      <c r="K7175" t="s">
        <v>36</v>
      </c>
      <c r="L7175" t="s">
        <v>45</v>
      </c>
      <c r="M7175">
        <v>0</v>
      </c>
      <c r="N7175">
        <v>0</v>
      </c>
      <c r="O7175">
        <v>2415</v>
      </c>
      <c r="P7175">
        <v>2414</v>
      </c>
      <c r="Q7175">
        <f>31.5-10.25</f>
        <v>21.25</v>
      </c>
      <c r="R7175" t="s">
        <v>1021</v>
      </c>
      <c r="S7175" t="s">
        <v>102</v>
      </c>
      <c r="AB7175" t="s">
        <v>47</v>
      </c>
      <c r="AC7175" t="s">
        <v>87</v>
      </c>
      <c r="AD7175" t="s">
        <v>1198</v>
      </c>
    </row>
    <row r="7176" spans="1:30" x14ac:dyDescent="0.35">
      <c r="A7176" s="7">
        <v>43290</v>
      </c>
      <c r="B7176" t="s">
        <v>30</v>
      </c>
      <c r="C7176">
        <v>113</v>
      </c>
      <c r="D7176">
        <v>2</v>
      </c>
      <c r="E7176">
        <v>1</v>
      </c>
      <c r="F7176" t="s">
        <v>1020</v>
      </c>
      <c r="G7176" t="s">
        <v>32</v>
      </c>
      <c r="H7176" t="s">
        <v>33</v>
      </c>
      <c r="I7176" t="s">
        <v>43</v>
      </c>
      <c r="J7176" t="s">
        <v>139</v>
      </c>
      <c r="AB7176" t="s">
        <v>47</v>
      </c>
      <c r="AC7176" t="s">
        <v>87</v>
      </c>
      <c r="AD7176" t="s">
        <v>1199</v>
      </c>
    </row>
    <row r="7177" spans="1:30" x14ac:dyDescent="0.35">
      <c r="A7177" s="7">
        <v>43290</v>
      </c>
      <c r="B7177" t="s">
        <v>30</v>
      </c>
      <c r="C7177">
        <v>113</v>
      </c>
      <c r="D7177">
        <v>10</v>
      </c>
      <c r="E7177">
        <v>1</v>
      </c>
      <c r="F7177" t="s">
        <v>1020</v>
      </c>
      <c r="G7177" t="s">
        <v>32</v>
      </c>
      <c r="H7177" t="s">
        <v>33</v>
      </c>
      <c r="I7177" t="s">
        <v>43</v>
      </c>
      <c r="J7177" t="s">
        <v>139</v>
      </c>
      <c r="AB7177" t="s">
        <v>47</v>
      </c>
      <c r="AC7177" t="s">
        <v>87</v>
      </c>
      <c r="AD7177" t="s">
        <v>1200</v>
      </c>
    </row>
    <row r="7178" spans="1:30" x14ac:dyDescent="0.35">
      <c r="A7178" s="7">
        <v>43290</v>
      </c>
      <c r="B7178" t="s">
        <v>30</v>
      </c>
      <c r="C7178">
        <v>201</v>
      </c>
      <c r="D7178">
        <v>1</v>
      </c>
      <c r="E7178">
        <v>1</v>
      </c>
      <c r="F7178" t="s">
        <v>1139</v>
      </c>
      <c r="G7178" t="s">
        <v>32</v>
      </c>
      <c r="H7178" t="s">
        <v>33</v>
      </c>
      <c r="I7178" t="s">
        <v>43</v>
      </c>
      <c r="J7178" t="s">
        <v>44</v>
      </c>
      <c r="K7178" t="s">
        <v>36</v>
      </c>
      <c r="L7178" t="s">
        <v>37</v>
      </c>
      <c r="M7178">
        <v>0</v>
      </c>
      <c r="N7178">
        <v>0</v>
      </c>
      <c r="O7178">
        <v>39819</v>
      </c>
      <c r="P7178">
        <v>39818</v>
      </c>
      <c r="Q7178">
        <f>30-13</f>
        <v>17</v>
      </c>
      <c r="R7178" t="s">
        <v>38</v>
      </c>
      <c r="AB7178" t="s">
        <v>47</v>
      </c>
      <c r="AC7178" t="s">
        <v>1140</v>
      </c>
    </row>
    <row r="7179" spans="1:30" x14ac:dyDescent="0.35">
      <c r="A7179" s="7">
        <v>43290</v>
      </c>
      <c r="B7179" t="s">
        <v>30</v>
      </c>
      <c r="C7179">
        <v>201</v>
      </c>
      <c r="D7179">
        <v>3</v>
      </c>
      <c r="E7179">
        <v>2</v>
      </c>
      <c r="F7179" t="s">
        <v>1139</v>
      </c>
      <c r="G7179" t="s">
        <v>32</v>
      </c>
      <c r="H7179" t="s">
        <v>33</v>
      </c>
      <c r="I7179" t="s">
        <v>43</v>
      </c>
      <c r="J7179" t="s">
        <v>35</v>
      </c>
      <c r="K7179" t="s">
        <v>88</v>
      </c>
      <c r="L7179" t="s">
        <v>37</v>
      </c>
      <c r="M7179">
        <v>0</v>
      </c>
      <c r="N7179">
        <v>1</v>
      </c>
      <c r="O7179">
        <v>1190</v>
      </c>
      <c r="P7179">
        <v>1189</v>
      </c>
      <c r="Q7179">
        <f>28-14</f>
        <v>14</v>
      </c>
      <c r="R7179" t="s">
        <v>38</v>
      </c>
      <c r="AB7179" t="s">
        <v>47</v>
      </c>
      <c r="AC7179" t="s">
        <v>1140</v>
      </c>
    </row>
    <row r="7180" spans="1:30" x14ac:dyDescent="0.35">
      <c r="A7180" s="7">
        <v>43290</v>
      </c>
      <c r="B7180" t="s">
        <v>30</v>
      </c>
      <c r="C7180">
        <v>201</v>
      </c>
      <c r="D7180">
        <v>4</v>
      </c>
      <c r="E7180">
        <v>1</v>
      </c>
      <c r="F7180" t="s">
        <v>1139</v>
      </c>
      <c r="G7180" t="s">
        <v>32</v>
      </c>
      <c r="H7180" t="s">
        <v>33</v>
      </c>
      <c r="I7180" t="s">
        <v>43</v>
      </c>
      <c r="J7180" t="s">
        <v>92</v>
      </c>
      <c r="AB7180" t="s">
        <v>47</v>
      </c>
      <c r="AC7180" t="s">
        <v>1140</v>
      </c>
    </row>
    <row r="7181" spans="1:30" x14ac:dyDescent="0.35">
      <c r="A7181" s="7">
        <v>43290</v>
      </c>
      <c r="B7181" t="s">
        <v>30</v>
      </c>
      <c r="C7181">
        <v>201</v>
      </c>
      <c r="D7181">
        <v>5</v>
      </c>
      <c r="E7181">
        <v>2</v>
      </c>
      <c r="F7181" t="s">
        <v>1139</v>
      </c>
      <c r="G7181" t="s">
        <v>32</v>
      </c>
      <c r="H7181" t="s">
        <v>33</v>
      </c>
      <c r="I7181" t="s">
        <v>43</v>
      </c>
      <c r="J7181" t="s">
        <v>44</v>
      </c>
      <c r="K7181" t="s">
        <v>113</v>
      </c>
      <c r="L7181" t="s">
        <v>37</v>
      </c>
      <c r="M7181">
        <v>0</v>
      </c>
      <c r="N7181">
        <v>0</v>
      </c>
      <c r="O7181">
        <v>1136</v>
      </c>
      <c r="P7181">
        <v>1135</v>
      </c>
      <c r="Q7181">
        <f>27-13.5</f>
        <v>13.5</v>
      </c>
      <c r="R7181" t="s">
        <v>38</v>
      </c>
      <c r="AB7181" t="s">
        <v>47</v>
      </c>
      <c r="AC7181" t="s">
        <v>1140</v>
      </c>
      <c r="AD7181" t="s">
        <v>1201</v>
      </c>
    </row>
    <row r="7182" spans="1:30" x14ac:dyDescent="0.35">
      <c r="A7182" s="7">
        <v>43290</v>
      </c>
      <c r="B7182" t="s">
        <v>30</v>
      </c>
      <c r="C7182">
        <v>201</v>
      </c>
      <c r="D7182">
        <v>7</v>
      </c>
      <c r="E7182">
        <v>2</v>
      </c>
      <c r="F7182" t="s">
        <v>1139</v>
      </c>
      <c r="G7182" t="s">
        <v>32</v>
      </c>
      <c r="H7182" t="s">
        <v>33</v>
      </c>
      <c r="I7182" t="s">
        <v>43</v>
      </c>
      <c r="J7182" t="s">
        <v>44</v>
      </c>
      <c r="K7182" t="s">
        <v>113</v>
      </c>
      <c r="L7182" t="s">
        <v>45</v>
      </c>
      <c r="M7182">
        <v>0</v>
      </c>
      <c r="N7182">
        <v>0</v>
      </c>
      <c r="O7182">
        <v>1127</v>
      </c>
      <c r="P7182">
        <v>1126</v>
      </c>
      <c r="Q7182">
        <f>26-13</f>
        <v>13</v>
      </c>
      <c r="R7182" t="s">
        <v>46</v>
      </c>
      <c r="S7182" t="s">
        <v>39</v>
      </c>
      <c r="AB7182" t="s">
        <v>47</v>
      </c>
      <c r="AC7182" t="s">
        <v>1140</v>
      </c>
    </row>
    <row r="7183" spans="1:30" x14ac:dyDescent="0.35">
      <c r="A7183" s="7">
        <v>43290</v>
      </c>
      <c r="B7183" t="s">
        <v>30</v>
      </c>
      <c r="C7183">
        <v>201</v>
      </c>
      <c r="D7183">
        <v>8</v>
      </c>
      <c r="E7183">
        <v>2</v>
      </c>
      <c r="F7183" t="s">
        <v>1139</v>
      </c>
      <c r="G7183" t="s">
        <v>32</v>
      </c>
      <c r="H7183" t="s">
        <v>33</v>
      </c>
      <c r="I7183" t="s">
        <v>43</v>
      </c>
      <c r="J7183" t="s">
        <v>35</v>
      </c>
      <c r="K7183" t="s">
        <v>88</v>
      </c>
      <c r="L7183" t="s">
        <v>37</v>
      </c>
      <c r="M7183">
        <v>0</v>
      </c>
      <c r="N7183">
        <v>1</v>
      </c>
      <c r="O7183">
        <v>1194</v>
      </c>
      <c r="P7183">
        <v>1193</v>
      </c>
      <c r="Q7183">
        <f>29-14</f>
        <v>15</v>
      </c>
      <c r="R7183" t="s">
        <v>64</v>
      </c>
      <c r="AB7183" t="s">
        <v>47</v>
      </c>
      <c r="AC7183" t="s">
        <v>1140</v>
      </c>
    </row>
    <row r="7184" spans="1:30" x14ac:dyDescent="0.35">
      <c r="A7184" s="7">
        <v>43290</v>
      </c>
      <c r="B7184" t="s">
        <v>30</v>
      </c>
      <c r="C7184">
        <v>203</v>
      </c>
      <c r="D7184">
        <v>3</v>
      </c>
      <c r="E7184">
        <v>2</v>
      </c>
      <c r="F7184" t="s">
        <v>1139</v>
      </c>
      <c r="G7184" t="s">
        <v>32</v>
      </c>
      <c r="H7184" t="s">
        <v>33</v>
      </c>
      <c r="I7184" t="s">
        <v>43</v>
      </c>
      <c r="J7184" t="s">
        <v>44</v>
      </c>
      <c r="K7184" t="s">
        <v>36</v>
      </c>
      <c r="L7184" t="s">
        <v>37</v>
      </c>
      <c r="M7184">
        <v>0</v>
      </c>
      <c r="N7184">
        <v>0</v>
      </c>
      <c r="O7184">
        <v>39811</v>
      </c>
      <c r="P7184">
        <v>39810</v>
      </c>
      <c r="Q7184">
        <f>30.5-16</f>
        <v>14.5</v>
      </c>
      <c r="R7184" t="s">
        <v>38</v>
      </c>
      <c r="AB7184" t="s">
        <v>47</v>
      </c>
      <c r="AC7184" t="s">
        <v>1140</v>
      </c>
    </row>
    <row r="7185" spans="1:30" x14ac:dyDescent="0.35">
      <c r="A7185" s="7">
        <v>43290</v>
      </c>
      <c r="B7185" t="s">
        <v>30</v>
      </c>
      <c r="C7185">
        <v>203</v>
      </c>
      <c r="D7185">
        <v>4</v>
      </c>
      <c r="E7185">
        <v>1</v>
      </c>
      <c r="F7185" t="s">
        <v>1139</v>
      </c>
      <c r="G7185" t="s">
        <v>32</v>
      </c>
      <c r="H7185" t="s">
        <v>33</v>
      </c>
      <c r="I7185" t="s">
        <v>43</v>
      </c>
      <c r="J7185" t="s">
        <v>35</v>
      </c>
      <c r="K7185" t="s">
        <v>88</v>
      </c>
      <c r="L7185" t="s">
        <v>37</v>
      </c>
      <c r="M7185">
        <v>0</v>
      </c>
      <c r="N7185">
        <v>1</v>
      </c>
      <c r="O7185">
        <v>1277</v>
      </c>
      <c r="P7185">
        <v>1276</v>
      </c>
      <c r="Q7185">
        <f>24-13.5</f>
        <v>10.5</v>
      </c>
      <c r="R7185" t="s">
        <v>64</v>
      </c>
      <c r="AB7185" t="s">
        <v>47</v>
      </c>
      <c r="AC7185" t="s">
        <v>1140</v>
      </c>
    </row>
    <row r="7186" spans="1:30" x14ac:dyDescent="0.35">
      <c r="A7186" s="7">
        <v>43290</v>
      </c>
      <c r="B7186" t="s">
        <v>30</v>
      </c>
      <c r="C7186">
        <v>203</v>
      </c>
      <c r="D7186">
        <v>5</v>
      </c>
      <c r="E7186">
        <v>1</v>
      </c>
      <c r="F7186" t="s">
        <v>1139</v>
      </c>
      <c r="G7186" t="s">
        <v>32</v>
      </c>
      <c r="H7186" t="s">
        <v>33</v>
      </c>
      <c r="I7186" t="s">
        <v>43</v>
      </c>
      <c r="J7186" t="s">
        <v>44</v>
      </c>
      <c r="K7186" t="s">
        <v>36</v>
      </c>
      <c r="L7186" t="s">
        <v>45</v>
      </c>
      <c r="M7186">
        <v>0</v>
      </c>
      <c r="N7186">
        <v>0</v>
      </c>
      <c r="O7186">
        <v>39813</v>
      </c>
      <c r="P7186">
        <v>39812</v>
      </c>
      <c r="Q7186">
        <f>38-15.5</f>
        <v>22.5</v>
      </c>
      <c r="R7186" t="s">
        <v>1028</v>
      </c>
      <c r="S7186" t="s">
        <v>102</v>
      </c>
      <c r="AB7186" t="s">
        <v>47</v>
      </c>
      <c r="AC7186" t="s">
        <v>1140</v>
      </c>
    </row>
    <row r="7187" spans="1:30" x14ac:dyDescent="0.35">
      <c r="A7187" s="7">
        <v>43290</v>
      </c>
      <c r="B7187" t="s">
        <v>30</v>
      </c>
      <c r="C7187">
        <v>203</v>
      </c>
      <c r="D7187">
        <v>9</v>
      </c>
      <c r="E7187">
        <v>1</v>
      </c>
      <c r="F7187" t="s">
        <v>1139</v>
      </c>
      <c r="G7187" t="s">
        <v>32</v>
      </c>
      <c r="H7187" t="s">
        <v>33</v>
      </c>
      <c r="I7187" t="s">
        <v>43</v>
      </c>
      <c r="J7187" t="s">
        <v>44</v>
      </c>
      <c r="K7187" t="s">
        <v>113</v>
      </c>
      <c r="L7187" t="s">
        <v>37</v>
      </c>
      <c r="M7187">
        <v>0</v>
      </c>
      <c r="N7187">
        <v>0</v>
      </c>
      <c r="O7187">
        <v>1143</v>
      </c>
      <c r="P7187">
        <v>1144</v>
      </c>
      <c r="Q7187">
        <f>29-14</f>
        <v>15</v>
      </c>
      <c r="R7187" t="s">
        <v>38</v>
      </c>
      <c r="AB7187" t="s">
        <v>47</v>
      </c>
      <c r="AC7187" t="s">
        <v>1140</v>
      </c>
    </row>
    <row r="7188" spans="1:30" x14ac:dyDescent="0.35">
      <c r="A7188" s="7">
        <v>43290</v>
      </c>
      <c r="B7188" t="s">
        <v>30</v>
      </c>
      <c r="C7188">
        <v>304</v>
      </c>
      <c r="D7188">
        <v>8</v>
      </c>
      <c r="E7188">
        <v>1</v>
      </c>
      <c r="F7188" t="s">
        <v>1139</v>
      </c>
      <c r="G7188" t="s">
        <v>32</v>
      </c>
      <c r="H7188" t="s">
        <v>33</v>
      </c>
      <c r="I7188" t="s">
        <v>43</v>
      </c>
      <c r="J7188" t="s">
        <v>35</v>
      </c>
      <c r="K7188" t="s">
        <v>88</v>
      </c>
      <c r="L7188" t="s">
        <v>45</v>
      </c>
      <c r="M7188">
        <v>0</v>
      </c>
      <c r="N7188">
        <v>1</v>
      </c>
      <c r="O7188">
        <v>1148</v>
      </c>
      <c r="P7188">
        <v>1147</v>
      </c>
      <c r="Q7188">
        <f>27.5-14</f>
        <v>13.5</v>
      </c>
      <c r="R7188" t="s">
        <v>46</v>
      </c>
      <c r="AB7188" t="s">
        <v>47</v>
      </c>
      <c r="AC7188" t="s">
        <v>1140</v>
      </c>
    </row>
    <row r="7189" spans="1:30" x14ac:dyDescent="0.35">
      <c r="A7189" s="7">
        <v>43290</v>
      </c>
      <c r="B7189" t="s">
        <v>30</v>
      </c>
      <c r="C7189">
        <v>402</v>
      </c>
      <c r="D7189">
        <v>8</v>
      </c>
      <c r="E7189">
        <v>2</v>
      </c>
      <c r="F7189" t="s">
        <v>1020</v>
      </c>
      <c r="G7189" t="s">
        <v>32</v>
      </c>
      <c r="H7189" t="s">
        <v>33</v>
      </c>
      <c r="I7189" t="s">
        <v>43</v>
      </c>
      <c r="J7189" t="s">
        <v>139</v>
      </c>
      <c r="AB7189" t="s">
        <v>47</v>
      </c>
      <c r="AC7189" t="s">
        <v>87</v>
      </c>
      <c r="AD7189" t="s">
        <v>1202</v>
      </c>
    </row>
    <row r="7190" spans="1:30" x14ac:dyDescent="0.35">
      <c r="A7190" s="7">
        <v>43290</v>
      </c>
      <c r="B7190" t="s">
        <v>30</v>
      </c>
      <c r="C7190">
        <v>402</v>
      </c>
      <c r="D7190">
        <v>9</v>
      </c>
      <c r="E7190">
        <v>1</v>
      </c>
      <c r="F7190" t="s">
        <v>1020</v>
      </c>
      <c r="G7190" t="s">
        <v>32</v>
      </c>
      <c r="H7190" t="s">
        <v>33</v>
      </c>
      <c r="I7190" t="s">
        <v>43</v>
      </c>
      <c r="J7190" t="s">
        <v>139</v>
      </c>
      <c r="AB7190" t="s">
        <v>47</v>
      </c>
      <c r="AC7190" t="s">
        <v>87</v>
      </c>
      <c r="AD7190" t="s">
        <v>1203</v>
      </c>
    </row>
    <row r="7191" spans="1:30" x14ac:dyDescent="0.35">
      <c r="A7191" s="7">
        <v>43290</v>
      </c>
      <c r="B7191" t="s">
        <v>30</v>
      </c>
      <c r="C7191">
        <v>111</v>
      </c>
      <c r="D7191">
        <v>5</v>
      </c>
      <c r="E7191">
        <v>1</v>
      </c>
      <c r="F7191" t="s">
        <v>1020</v>
      </c>
      <c r="G7191" t="s">
        <v>32</v>
      </c>
      <c r="H7191" t="s">
        <v>33</v>
      </c>
      <c r="I7191" t="s">
        <v>34</v>
      </c>
      <c r="J7191" t="s">
        <v>35</v>
      </c>
      <c r="K7191" t="s">
        <v>36</v>
      </c>
      <c r="L7191" t="s">
        <v>45</v>
      </c>
      <c r="M7191">
        <v>0</v>
      </c>
      <c r="N7191">
        <v>1</v>
      </c>
      <c r="O7191">
        <v>1317</v>
      </c>
      <c r="Q7191">
        <f>211-126</f>
        <v>85</v>
      </c>
      <c r="R7191" t="s">
        <v>46</v>
      </c>
      <c r="S7191" t="s">
        <v>39</v>
      </c>
      <c r="AB7191" t="s">
        <v>47</v>
      </c>
      <c r="AC7191" t="s">
        <v>87</v>
      </c>
      <c r="AD7191" t="s">
        <v>1204</v>
      </c>
    </row>
    <row r="7192" spans="1:30" x14ac:dyDescent="0.35">
      <c r="A7192" s="7">
        <v>43290</v>
      </c>
      <c r="B7192" t="s">
        <v>30</v>
      </c>
      <c r="C7192">
        <v>111</v>
      </c>
      <c r="D7192">
        <v>8</v>
      </c>
      <c r="E7192">
        <v>2</v>
      </c>
      <c r="F7192" t="s">
        <v>1020</v>
      </c>
      <c r="G7192" t="s">
        <v>32</v>
      </c>
      <c r="H7192" t="s">
        <v>33</v>
      </c>
      <c r="I7192" t="s">
        <v>34</v>
      </c>
      <c r="J7192" t="s">
        <v>35</v>
      </c>
      <c r="K7192" t="s">
        <v>36</v>
      </c>
      <c r="L7192" t="s">
        <v>45</v>
      </c>
      <c r="M7192">
        <v>0</v>
      </c>
      <c r="N7192">
        <v>1</v>
      </c>
      <c r="O7192">
        <v>1312</v>
      </c>
      <c r="Q7192">
        <f>216-126</f>
        <v>90</v>
      </c>
      <c r="R7192" t="s">
        <v>46</v>
      </c>
      <c r="S7192" t="s">
        <v>39</v>
      </c>
      <c r="AB7192" t="s">
        <v>47</v>
      </c>
      <c r="AC7192" t="s">
        <v>87</v>
      </c>
    </row>
    <row r="7193" spans="1:30" x14ac:dyDescent="0.35">
      <c r="A7193" s="7">
        <v>43290</v>
      </c>
      <c r="B7193" t="s">
        <v>30</v>
      </c>
      <c r="C7193">
        <v>112</v>
      </c>
      <c r="D7193">
        <v>9</v>
      </c>
      <c r="E7193">
        <v>1</v>
      </c>
      <c r="F7193" t="s">
        <v>1020</v>
      </c>
      <c r="G7193" t="s">
        <v>32</v>
      </c>
      <c r="H7193" t="s">
        <v>33</v>
      </c>
      <c r="I7193" t="s">
        <v>34</v>
      </c>
      <c r="J7193" t="s">
        <v>44</v>
      </c>
      <c r="K7193" t="s">
        <v>36</v>
      </c>
      <c r="L7193" t="s">
        <v>37</v>
      </c>
      <c r="M7193">
        <v>0</v>
      </c>
      <c r="N7193">
        <v>0</v>
      </c>
      <c r="O7193">
        <v>1057</v>
      </c>
      <c r="Q7193">
        <f>208-126</f>
        <v>82</v>
      </c>
      <c r="R7193" t="s">
        <v>64</v>
      </c>
      <c r="AB7193" t="s">
        <v>47</v>
      </c>
      <c r="AC7193" t="s">
        <v>87</v>
      </c>
    </row>
    <row r="7194" spans="1:30" x14ac:dyDescent="0.35">
      <c r="A7194" s="7">
        <v>43290</v>
      </c>
      <c r="B7194" t="s">
        <v>30</v>
      </c>
      <c r="C7194">
        <v>113</v>
      </c>
      <c r="D7194">
        <v>1</v>
      </c>
      <c r="E7194">
        <v>2</v>
      </c>
      <c r="F7194" t="s">
        <v>1020</v>
      </c>
      <c r="G7194" t="s">
        <v>32</v>
      </c>
      <c r="H7194" t="s">
        <v>33</v>
      </c>
      <c r="I7194" t="s">
        <v>34</v>
      </c>
      <c r="J7194" t="s">
        <v>44</v>
      </c>
      <c r="K7194" t="s">
        <v>36</v>
      </c>
      <c r="L7194" t="s">
        <v>37</v>
      </c>
      <c r="M7194">
        <v>0</v>
      </c>
      <c r="N7194">
        <v>0</v>
      </c>
      <c r="O7194">
        <v>1058</v>
      </c>
      <c r="Q7194">
        <f>210-126</f>
        <v>84</v>
      </c>
      <c r="R7194" t="s">
        <v>64</v>
      </c>
      <c r="AB7194" t="s">
        <v>47</v>
      </c>
      <c r="AC7194" t="s">
        <v>87</v>
      </c>
    </row>
    <row r="7195" spans="1:30" x14ac:dyDescent="0.35">
      <c r="A7195" s="7">
        <v>43290</v>
      </c>
      <c r="B7195" t="s">
        <v>30</v>
      </c>
      <c r="C7195">
        <v>113</v>
      </c>
      <c r="D7195">
        <v>3</v>
      </c>
      <c r="E7195">
        <v>1</v>
      </c>
      <c r="F7195" t="s">
        <v>1020</v>
      </c>
      <c r="G7195" t="s">
        <v>32</v>
      </c>
      <c r="H7195" t="s">
        <v>33</v>
      </c>
      <c r="I7195" t="s">
        <v>34</v>
      </c>
      <c r="J7195" t="s">
        <v>44</v>
      </c>
      <c r="K7195" t="s">
        <v>36</v>
      </c>
      <c r="L7195" t="s">
        <v>45</v>
      </c>
      <c r="M7195">
        <v>0</v>
      </c>
      <c r="N7195">
        <v>0</v>
      </c>
      <c r="O7195">
        <v>1118</v>
      </c>
      <c r="Q7195">
        <f>217-128</f>
        <v>89</v>
      </c>
      <c r="R7195" t="s">
        <v>46</v>
      </c>
      <c r="S7195" t="s">
        <v>39</v>
      </c>
      <c r="AB7195" t="s">
        <v>47</v>
      </c>
      <c r="AC7195" t="s">
        <v>87</v>
      </c>
    </row>
    <row r="7196" spans="1:30" x14ac:dyDescent="0.35">
      <c r="A7196" s="7">
        <v>43290</v>
      </c>
      <c r="B7196" t="s">
        <v>30</v>
      </c>
      <c r="C7196">
        <v>304</v>
      </c>
      <c r="D7196">
        <v>1</v>
      </c>
      <c r="E7196">
        <v>1</v>
      </c>
      <c r="F7196" t="s">
        <v>1139</v>
      </c>
      <c r="G7196" t="s">
        <v>32</v>
      </c>
      <c r="H7196" t="s">
        <v>33</v>
      </c>
      <c r="I7196" t="s">
        <v>34</v>
      </c>
      <c r="J7196" t="s">
        <v>44</v>
      </c>
      <c r="K7196" t="s">
        <v>36</v>
      </c>
      <c r="L7196" t="s">
        <v>45</v>
      </c>
      <c r="M7196">
        <v>0</v>
      </c>
      <c r="N7196">
        <v>0</v>
      </c>
      <c r="O7196">
        <v>1158</v>
      </c>
      <c r="Q7196">
        <f>175-85</f>
        <v>90</v>
      </c>
      <c r="R7196" t="s">
        <v>1021</v>
      </c>
      <c r="S7196" t="s">
        <v>102</v>
      </c>
      <c r="AB7196" t="s">
        <v>47</v>
      </c>
      <c r="AC7196" t="s">
        <v>1140</v>
      </c>
    </row>
    <row r="7197" spans="1:30" x14ac:dyDescent="0.35">
      <c r="A7197" s="7">
        <v>43290</v>
      </c>
      <c r="B7197" t="s">
        <v>30</v>
      </c>
      <c r="C7197">
        <v>402</v>
      </c>
      <c r="D7197">
        <v>2</v>
      </c>
      <c r="E7197">
        <v>2</v>
      </c>
      <c r="F7197" t="s">
        <v>1020</v>
      </c>
      <c r="G7197" t="s">
        <v>32</v>
      </c>
      <c r="H7197" t="s">
        <v>33</v>
      </c>
      <c r="I7197" t="s">
        <v>34</v>
      </c>
      <c r="J7197" t="s">
        <v>35</v>
      </c>
      <c r="K7197" t="s">
        <v>36</v>
      </c>
      <c r="L7197" t="s">
        <v>45</v>
      </c>
      <c r="M7197">
        <v>0</v>
      </c>
      <c r="N7197">
        <v>1</v>
      </c>
      <c r="O7197">
        <v>1309</v>
      </c>
      <c r="Q7197">
        <f>206-127</f>
        <v>79</v>
      </c>
      <c r="R7197" t="s">
        <v>46</v>
      </c>
      <c r="S7197" t="s">
        <v>39</v>
      </c>
      <c r="AB7197" t="s">
        <v>47</v>
      </c>
      <c r="AC7197" t="s">
        <v>87</v>
      </c>
      <c r="AD7197" t="s">
        <v>1205</v>
      </c>
    </row>
    <row r="7198" spans="1:30" x14ac:dyDescent="0.35">
      <c r="A7198" s="7">
        <v>43290</v>
      </c>
      <c r="B7198" t="s">
        <v>30</v>
      </c>
      <c r="C7198">
        <v>201</v>
      </c>
      <c r="D7198">
        <v>3</v>
      </c>
      <c r="E7198">
        <v>1</v>
      </c>
      <c r="F7198" t="s">
        <v>1139</v>
      </c>
      <c r="G7198" t="s">
        <v>32</v>
      </c>
      <c r="H7198" t="s">
        <v>33</v>
      </c>
      <c r="I7198" t="s">
        <v>1029</v>
      </c>
      <c r="J7198" t="s">
        <v>56</v>
      </c>
      <c r="AB7198" t="s">
        <v>47</v>
      </c>
      <c r="AC7198" t="s">
        <v>1140</v>
      </c>
    </row>
    <row r="7199" spans="1:30" x14ac:dyDescent="0.35">
      <c r="A7199" s="7">
        <v>43290</v>
      </c>
      <c r="B7199" t="s">
        <v>30</v>
      </c>
      <c r="C7199">
        <v>201</v>
      </c>
      <c r="D7199">
        <v>10</v>
      </c>
      <c r="E7199">
        <v>2</v>
      </c>
      <c r="F7199" t="s">
        <v>1139</v>
      </c>
      <c r="G7199" t="s">
        <v>32</v>
      </c>
      <c r="H7199" t="s">
        <v>33</v>
      </c>
      <c r="I7199" t="s">
        <v>1029</v>
      </c>
      <c r="J7199" t="s">
        <v>66</v>
      </c>
      <c r="AB7199" t="s">
        <v>47</v>
      </c>
      <c r="AC7199" t="s">
        <v>1140</v>
      </c>
    </row>
    <row r="7200" spans="1:30" x14ac:dyDescent="0.35">
      <c r="A7200" s="7">
        <v>43290</v>
      </c>
      <c r="B7200" t="s">
        <v>30</v>
      </c>
      <c r="C7200">
        <v>203</v>
      </c>
      <c r="D7200">
        <v>1</v>
      </c>
      <c r="E7200">
        <v>1</v>
      </c>
      <c r="F7200" t="s">
        <v>1139</v>
      </c>
      <c r="G7200" t="s">
        <v>32</v>
      </c>
      <c r="H7200" t="s">
        <v>33</v>
      </c>
      <c r="I7200" t="s">
        <v>1029</v>
      </c>
      <c r="J7200" t="s">
        <v>56</v>
      </c>
      <c r="AB7200" t="s">
        <v>47</v>
      </c>
      <c r="AC7200" t="s">
        <v>1140</v>
      </c>
    </row>
    <row r="7201" spans="1:29" x14ac:dyDescent="0.35">
      <c r="A7201" s="7">
        <v>43290</v>
      </c>
      <c r="B7201" t="s">
        <v>30</v>
      </c>
      <c r="C7201">
        <v>203</v>
      </c>
      <c r="D7201">
        <v>3</v>
      </c>
      <c r="E7201">
        <v>1</v>
      </c>
      <c r="F7201" t="s">
        <v>1139</v>
      </c>
      <c r="G7201" t="s">
        <v>32</v>
      </c>
      <c r="H7201" t="s">
        <v>33</v>
      </c>
      <c r="I7201" t="s">
        <v>1029</v>
      </c>
      <c r="J7201" t="s">
        <v>56</v>
      </c>
      <c r="AB7201" t="s">
        <v>47</v>
      </c>
      <c r="AC7201" t="s">
        <v>1140</v>
      </c>
    </row>
    <row r="7202" spans="1:29" x14ac:dyDescent="0.35">
      <c r="A7202" s="7">
        <v>43290</v>
      </c>
      <c r="B7202" t="s">
        <v>30</v>
      </c>
      <c r="C7202">
        <v>111</v>
      </c>
      <c r="D7202">
        <v>1</v>
      </c>
      <c r="E7202">
        <v>2</v>
      </c>
      <c r="F7202" t="s">
        <v>1020</v>
      </c>
      <c r="G7202" t="s">
        <v>32</v>
      </c>
      <c r="H7202" t="s">
        <v>33</v>
      </c>
      <c r="I7202" t="s">
        <v>72</v>
      </c>
      <c r="J7202" t="s">
        <v>56</v>
      </c>
      <c r="AB7202" t="s">
        <v>47</v>
      </c>
      <c r="AC7202" t="s">
        <v>87</v>
      </c>
    </row>
    <row r="7203" spans="1:29" x14ac:dyDescent="0.35">
      <c r="A7203" s="7">
        <v>43290</v>
      </c>
      <c r="B7203" t="s">
        <v>30</v>
      </c>
      <c r="C7203">
        <v>111</v>
      </c>
      <c r="D7203">
        <v>7</v>
      </c>
      <c r="E7203">
        <v>1</v>
      </c>
      <c r="F7203" t="s">
        <v>1020</v>
      </c>
      <c r="G7203" t="s">
        <v>32</v>
      </c>
      <c r="H7203" t="s">
        <v>33</v>
      </c>
      <c r="I7203" t="s">
        <v>72</v>
      </c>
      <c r="J7203" t="s">
        <v>66</v>
      </c>
      <c r="AB7203" t="s">
        <v>47</v>
      </c>
      <c r="AC7203" t="s">
        <v>87</v>
      </c>
    </row>
    <row r="7204" spans="1:29" x14ac:dyDescent="0.35">
      <c r="A7204" s="7">
        <v>43290</v>
      </c>
      <c r="B7204" t="s">
        <v>30</v>
      </c>
      <c r="C7204">
        <v>111</v>
      </c>
      <c r="D7204">
        <v>7</v>
      </c>
      <c r="E7204">
        <v>2</v>
      </c>
      <c r="F7204" t="s">
        <v>1020</v>
      </c>
      <c r="G7204" t="s">
        <v>32</v>
      </c>
      <c r="H7204" t="s">
        <v>33</v>
      </c>
      <c r="I7204" t="s">
        <v>72</v>
      </c>
      <c r="J7204" t="s">
        <v>56</v>
      </c>
      <c r="AB7204" t="s">
        <v>47</v>
      </c>
      <c r="AC7204" t="s">
        <v>87</v>
      </c>
    </row>
    <row r="7205" spans="1:29" x14ac:dyDescent="0.35">
      <c r="A7205" s="7">
        <v>43290</v>
      </c>
      <c r="B7205" t="s">
        <v>30</v>
      </c>
      <c r="C7205">
        <v>111</v>
      </c>
      <c r="D7205">
        <v>9</v>
      </c>
      <c r="E7205">
        <v>1</v>
      </c>
      <c r="F7205" t="s">
        <v>1020</v>
      </c>
      <c r="G7205" t="s">
        <v>32</v>
      </c>
      <c r="H7205" t="s">
        <v>33</v>
      </c>
      <c r="I7205" t="s">
        <v>72</v>
      </c>
      <c r="J7205" t="s">
        <v>56</v>
      </c>
      <c r="AB7205" t="s">
        <v>47</v>
      </c>
      <c r="AC7205" t="s">
        <v>87</v>
      </c>
    </row>
    <row r="7206" spans="1:29" x14ac:dyDescent="0.35">
      <c r="A7206" s="7">
        <v>43290</v>
      </c>
      <c r="B7206" t="s">
        <v>30</v>
      </c>
      <c r="C7206">
        <v>111</v>
      </c>
      <c r="D7206">
        <v>10</v>
      </c>
      <c r="E7206">
        <v>1</v>
      </c>
      <c r="F7206" t="s">
        <v>1020</v>
      </c>
      <c r="G7206" t="s">
        <v>32</v>
      </c>
      <c r="H7206" t="s">
        <v>33</v>
      </c>
      <c r="I7206" t="s">
        <v>72</v>
      </c>
      <c r="J7206" t="s">
        <v>56</v>
      </c>
      <c r="AB7206" t="s">
        <v>47</v>
      </c>
      <c r="AC7206" t="s">
        <v>87</v>
      </c>
    </row>
    <row r="7207" spans="1:29" x14ac:dyDescent="0.35">
      <c r="A7207" s="7">
        <v>43290</v>
      </c>
      <c r="B7207" t="s">
        <v>30</v>
      </c>
      <c r="C7207">
        <v>112</v>
      </c>
      <c r="D7207">
        <v>4</v>
      </c>
      <c r="E7207">
        <v>1</v>
      </c>
      <c r="F7207" t="s">
        <v>1020</v>
      </c>
      <c r="G7207" t="s">
        <v>32</v>
      </c>
      <c r="H7207" t="s">
        <v>33</v>
      </c>
      <c r="I7207" t="s">
        <v>72</v>
      </c>
      <c r="J7207" t="s">
        <v>56</v>
      </c>
      <c r="AB7207" t="s">
        <v>47</v>
      </c>
      <c r="AC7207" t="s">
        <v>87</v>
      </c>
    </row>
    <row r="7208" spans="1:29" x14ac:dyDescent="0.35">
      <c r="A7208" s="7">
        <v>43290</v>
      </c>
      <c r="B7208" t="s">
        <v>30</v>
      </c>
      <c r="C7208">
        <v>112</v>
      </c>
      <c r="D7208">
        <v>7</v>
      </c>
      <c r="E7208">
        <v>1</v>
      </c>
      <c r="F7208" t="s">
        <v>1020</v>
      </c>
      <c r="G7208" t="s">
        <v>32</v>
      </c>
      <c r="H7208" t="s">
        <v>33</v>
      </c>
      <c r="I7208" t="s">
        <v>72</v>
      </c>
      <c r="J7208" t="s">
        <v>56</v>
      </c>
      <c r="AB7208" t="s">
        <v>47</v>
      </c>
      <c r="AC7208" t="s">
        <v>87</v>
      </c>
    </row>
    <row r="7209" spans="1:29" x14ac:dyDescent="0.35">
      <c r="A7209" s="7">
        <v>43290</v>
      </c>
      <c r="B7209" t="s">
        <v>30</v>
      </c>
      <c r="C7209">
        <v>113</v>
      </c>
      <c r="D7209">
        <v>1</v>
      </c>
      <c r="E7209">
        <v>1</v>
      </c>
      <c r="F7209" t="s">
        <v>1020</v>
      </c>
      <c r="G7209" t="s">
        <v>32</v>
      </c>
      <c r="H7209" t="s">
        <v>33</v>
      </c>
      <c r="I7209" t="s">
        <v>72</v>
      </c>
      <c r="J7209" t="s">
        <v>56</v>
      </c>
      <c r="AB7209" t="s">
        <v>47</v>
      </c>
      <c r="AC7209" t="s">
        <v>87</v>
      </c>
    </row>
    <row r="7210" spans="1:29" x14ac:dyDescent="0.35">
      <c r="A7210" s="7">
        <v>43290</v>
      </c>
      <c r="B7210" t="s">
        <v>30</v>
      </c>
      <c r="C7210">
        <v>113</v>
      </c>
      <c r="D7210">
        <v>8</v>
      </c>
      <c r="E7210">
        <v>1</v>
      </c>
      <c r="F7210" t="s">
        <v>1020</v>
      </c>
      <c r="G7210" t="s">
        <v>32</v>
      </c>
      <c r="H7210" t="s">
        <v>33</v>
      </c>
      <c r="I7210" t="s">
        <v>72</v>
      </c>
      <c r="J7210" t="s">
        <v>66</v>
      </c>
      <c r="AB7210" t="s">
        <v>47</v>
      </c>
      <c r="AC7210" t="s">
        <v>87</v>
      </c>
    </row>
    <row r="7211" spans="1:29" x14ac:dyDescent="0.35">
      <c r="A7211" s="7">
        <v>43290</v>
      </c>
      <c r="B7211" t="s">
        <v>30</v>
      </c>
      <c r="C7211">
        <v>113</v>
      </c>
      <c r="D7211">
        <v>8</v>
      </c>
      <c r="E7211">
        <v>2</v>
      </c>
      <c r="F7211" t="s">
        <v>1020</v>
      </c>
      <c r="G7211" t="s">
        <v>32</v>
      </c>
      <c r="H7211" t="s">
        <v>33</v>
      </c>
      <c r="I7211" t="s">
        <v>72</v>
      </c>
      <c r="J7211" t="s">
        <v>56</v>
      </c>
      <c r="AB7211" t="s">
        <v>47</v>
      </c>
      <c r="AC7211" t="s">
        <v>87</v>
      </c>
    </row>
    <row r="7212" spans="1:29" x14ac:dyDescent="0.35">
      <c r="A7212" s="7">
        <v>43290</v>
      </c>
      <c r="B7212" t="s">
        <v>30</v>
      </c>
      <c r="C7212">
        <v>113</v>
      </c>
      <c r="D7212">
        <v>9</v>
      </c>
      <c r="E7212">
        <v>1</v>
      </c>
      <c r="F7212" t="s">
        <v>1020</v>
      </c>
      <c r="G7212" t="s">
        <v>32</v>
      </c>
      <c r="H7212" t="s">
        <v>33</v>
      </c>
      <c r="I7212" t="s">
        <v>72</v>
      </c>
      <c r="J7212" t="s">
        <v>56</v>
      </c>
      <c r="AB7212" t="s">
        <v>47</v>
      </c>
      <c r="AC7212" t="s">
        <v>87</v>
      </c>
    </row>
    <row r="7213" spans="1:29" x14ac:dyDescent="0.35">
      <c r="A7213" s="7">
        <v>43290</v>
      </c>
      <c r="B7213" t="s">
        <v>30</v>
      </c>
      <c r="C7213">
        <v>202</v>
      </c>
      <c r="D7213">
        <v>4</v>
      </c>
      <c r="E7213">
        <v>1</v>
      </c>
      <c r="F7213" t="s">
        <v>1139</v>
      </c>
      <c r="G7213" t="s">
        <v>32</v>
      </c>
      <c r="H7213" t="s">
        <v>33</v>
      </c>
      <c r="I7213" t="s">
        <v>72</v>
      </c>
      <c r="J7213" t="s">
        <v>1206</v>
      </c>
      <c r="AB7213" t="s">
        <v>47</v>
      </c>
      <c r="AC7213" t="s">
        <v>1140</v>
      </c>
    </row>
    <row r="7214" spans="1:29" x14ac:dyDescent="0.35">
      <c r="A7214" s="7">
        <v>43290</v>
      </c>
      <c r="B7214" t="s">
        <v>30</v>
      </c>
      <c r="C7214">
        <v>203</v>
      </c>
      <c r="D7214">
        <v>6</v>
      </c>
      <c r="E7214">
        <v>1</v>
      </c>
      <c r="F7214" t="s">
        <v>1139</v>
      </c>
      <c r="G7214" t="s">
        <v>32</v>
      </c>
      <c r="H7214" t="s">
        <v>33</v>
      </c>
      <c r="I7214" t="s">
        <v>72</v>
      </c>
      <c r="J7214" t="s">
        <v>56</v>
      </c>
      <c r="AB7214" t="s">
        <v>47</v>
      </c>
      <c r="AC7214" t="s">
        <v>1140</v>
      </c>
    </row>
    <row r="7215" spans="1:29" x14ac:dyDescent="0.35">
      <c r="A7215" s="7">
        <v>43290</v>
      </c>
      <c r="B7215" t="s">
        <v>30</v>
      </c>
      <c r="C7215">
        <v>203</v>
      </c>
      <c r="D7215">
        <v>8</v>
      </c>
      <c r="E7215">
        <v>1</v>
      </c>
      <c r="F7215" t="s">
        <v>1139</v>
      </c>
      <c r="G7215" t="s">
        <v>32</v>
      </c>
      <c r="H7215" t="s">
        <v>33</v>
      </c>
      <c r="I7215" t="s">
        <v>72</v>
      </c>
      <c r="J7215" t="s">
        <v>56</v>
      </c>
      <c r="AB7215" t="s">
        <v>47</v>
      </c>
      <c r="AC7215" t="s">
        <v>1140</v>
      </c>
    </row>
    <row r="7216" spans="1:29" x14ac:dyDescent="0.35">
      <c r="A7216" s="7">
        <v>43290</v>
      </c>
      <c r="B7216" t="s">
        <v>30</v>
      </c>
      <c r="C7216">
        <v>113</v>
      </c>
      <c r="D7216">
        <v>4</v>
      </c>
      <c r="E7216">
        <v>1</v>
      </c>
      <c r="F7216" t="s">
        <v>1020</v>
      </c>
      <c r="G7216" t="s">
        <v>32</v>
      </c>
      <c r="H7216" t="s">
        <v>33</v>
      </c>
      <c r="I7216" t="s">
        <v>84</v>
      </c>
      <c r="AB7216" t="s">
        <v>47</v>
      </c>
      <c r="AC7216" t="s">
        <v>87</v>
      </c>
    </row>
    <row r="7217" spans="1:29" x14ac:dyDescent="0.35">
      <c r="A7217" s="7">
        <v>43290</v>
      </c>
      <c r="B7217" t="s">
        <v>30</v>
      </c>
      <c r="C7217">
        <v>112</v>
      </c>
      <c r="D7217">
        <v>6</v>
      </c>
      <c r="E7217">
        <v>2</v>
      </c>
      <c r="F7217" t="s">
        <v>1020</v>
      </c>
      <c r="G7217" t="s">
        <v>32</v>
      </c>
      <c r="H7217" t="s">
        <v>33</v>
      </c>
      <c r="I7217" t="s">
        <v>59</v>
      </c>
      <c r="AB7217" t="s">
        <v>47</v>
      </c>
      <c r="AC7217" t="s">
        <v>87</v>
      </c>
    </row>
    <row r="7218" spans="1:29" x14ac:dyDescent="0.35">
      <c r="A7218" s="7">
        <v>43290</v>
      </c>
      <c r="B7218" t="s">
        <v>30</v>
      </c>
      <c r="C7218">
        <v>112</v>
      </c>
      <c r="D7218">
        <v>7</v>
      </c>
      <c r="E7218">
        <v>2</v>
      </c>
      <c r="F7218" t="s">
        <v>1020</v>
      </c>
      <c r="G7218" t="s">
        <v>32</v>
      </c>
      <c r="H7218" t="s">
        <v>33</v>
      </c>
      <c r="I7218" t="s">
        <v>59</v>
      </c>
      <c r="AB7218" t="s">
        <v>47</v>
      </c>
      <c r="AC7218" t="s">
        <v>87</v>
      </c>
    </row>
    <row r="7219" spans="1:29" x14ac:dyDescent="0.35">
      <c r="A7219" s="7">
        <v>43290</v>
      </c>
      <c r="B7219" t="s">
        <v>30</v>
      </c>
      <c r="C7219">
        <v>112</v>
      </c>
      <c r="D7219">
        <v>8</v>
      </c>
      <c r="E7219">
        <v>1</v>
      </c>
      <c r="F7219" t="s">
        <v>1020</v>
      </c>
      <c r="G7219" t="s">
        <v>32</v>
      </c>
      <c r="H7219" t="s">
        <v>33</v>
      </c>
      <c r="I7219" t="s">
        <v>59</v>
      </c>
      <c r="AB7219" t="s">
        <v>47</v>
      </c>
      <c r="AC7219" t="s">
        <v>87</v>
      </c>
    </row>
    <row r="7220" spans="1:29" x14ac:dyDescent="0.35">
      <c r="A7220" s="7">
        <v>43290</v>
      </c>
      <c r="B7220" t="s">
        <v>30</v>
      </c>
      <c r="C7220">
        <v>112</v>
      </c>
      <c r="D7220">
        <v>8</v>
      </c>
      <c r="E7220">
        <v>2</v>
      </c>
      <c r="F7220" t="s">
        <v>1020</v>
      </c>
      <c r="G7220" t="s">
        <v>32</v>
      </c>
      <c r="H7220" t="s">
        <v>33</v>
      </c>
      <c r="I7220" t="s">
        <v>59</v>
      </c>
      <c r="AB7220" t="s">
        <v>47</v>
      </c>
      <c r="AC7220" t="s">
        <v>87</v>
      </c>
    </row>
    <row r="7221" spans="1:29" x14ac:dyDescent="0.35">
      <c r="A7221" s="7">
        <v>43290</v>
      </c>
      <c r="B7221" t="s">
        <v>30</v>
      </c>
      <c r="C7221">
        <v>112</v>
      </c>
      <c r="D7221">
        <v>9</v>
      </c>
      <c r="E7221">
        <v>2</v>
      </c>
      <c r="F7221" t="s">
        <v>1020</v>
      </c>
      <c r="G7221" t="s">
        <v>32</v>
      </c>
      <c r="H7221" t="s">
        <v>33</v>
      </c>
      <c r="I7221" t="s">
        <v>59</v>
      </c>
      <c r="AB7221" t="s">
        <v>47</v>
      </c>
      <c r="AC7221" t="s">
        <v>87</v>
      </c>
    </row>
    <row r="7222" spans="1:29" x14ac:dyDescent="0.35">
      <c r="A7222" s="7">
        <v>43290</v>
      </c>
      <c r="B7222" t="s">
        <v>30</v>
      </c>
      <c r="C7222">
        <v>112</v>
      </c>
      <c r="D7222">
        <v>10</v>
      </c>
      <c r="E7222">
        <v>2</v>
      </c>
      <c r="F7222" t="s">
        <v>1020</v>
      </c>
      <c r="G7222" t="s">
        <v>32</v>
      </c>
      <c r="H7222" t="s">
        <v>33</v>
      </c>
      <c r="I7222" t="s">
        <v>59</v>
      </c>
      <c r="AB7222" t="s">
        <v>47</v>
      </c>
      <c r="AC7222" t="s">
        <v>87</v>
      </c>
    </row>
    <row r="7223" spans="1:29" x14ac:dyDescent="0.35">
      <c r="A7223" s="7">
        <v>43290</v>
      </c>
      <c r="B7223" t="s">
        <v>30</v>
      </c>
      <c r="C7223">
        <v>113</v>
      </c>
      <c r="D7223">
        <v>2</v>
      </c>
      <c r="E7223">
        <v>2</v>
      </c>
      <c r="F7223" t="s">
        <v>1020</v>
      </c>
      <c r="G7223" t="s">
        <v>32</v>
      </c>
      <c r="H7223" t="s">
        <v>33</v>
      </c>
      <c r="I7223" t="s">
        <v>59</v>
      </c>
      <c r="AB7223" t="s">
        <v>47</v>
      </c>
      <c r="AC7223" t="s">
        <v>87</v>
      </c>
    </row>
    <row r="7224" spans="1:29" x14ac:dyDescent="0.35">
      <c r="A7224" s="7">
        <v>43290</v>
      </c>
      <c r="B7224" t="s">
        <v>30</v>
      </c>
      <c r="C7224">
        <v>113</v>
      </c>
      <c r="D7224">
        <v>4</v>
      </c>
      <c r="E7224">
        <v>2</v>
      </c>
      <c r="F7224" t="s">
        <v>1020</v>
      </c>
      <c r="G7224" t="s">
        <v>32</v>
      </c>
      <c r="H7224" t="s">
        <v>33</v>
      </c>
      <c r="I7224" t="s">
        <v>59</v>
      </c>
      <c r="AB7224" t="s">
        <v>47</v>
      </c>
      <c r="AC7224" t="s">
        <v>87</v>
      </c>
    </row>
    <row r="7225" spans="1:29" x14ac:dyDescent="0.35">
      <c r="A7225" s="7">
        <v>43290</v>
      </c>
      <c r="B7225" t="s">
        <v>30</v>
      </c>
      <c r="C7225">
        <v>113</v>
      </c>
      <c r="D7225">
        <v>5</v>
      </c>
      <c r="E7225">
        <v>1</v>
      </c>
      <c r="F7225" t="s">
        <v>1020</v>
      </c>
      <c r="G7225" t="s">
        <v>32</v>
      </c>
      <c r="H7225" t="s">
        <v>33</v>
      </c>
      <c r="I7225" t="s">
        <v>59</v>
      </c>
      <c r="AB7225" t="s">
        <v>47</v>
      </c>
      <c r="AC7225" t="s">
        <v>87</v>
      </c>
    </row>
    <row r="7226" spans="1:29" x14ac:dyDescent="0.35">
      <c r="A7226" s="7">
        <v>43290</v>
      </c>
      <c r="B7226" t="s">
        <v>30</v>
      </c>
      <c r="C7226">
        <v>113</v>
      </c>
      <c r="D7226">
        <v>6</v>
      </c>
      <c r="E7226">
        <v>1</v>
      </c>
      <c r="F7226" t="s">
        <v>1020</v>
      </c>
      <c r="G7226" t="s">
        <v>32</v>
      </c>
      <c r="H7226" t="s">
        <v>33</v>
      </c>
      <c r="I7226" t="s">
        <v>59</v>
      </c>
      <c r="AB7226" t="s">
        <v>47</v>
      </c>
      <c r="AC7226" t="s">
        <v>87</v>
      </c>
    </row>
    <row r="7227" spans="1:29" x14ac:dyDescent="0.35">
      <c r="A7227" s="7">
        <v>43290</v>
      </c>
      <c r="B7227" t="s">
        <v>30</v>
      </c>
      <c r="C7227">
        <v>113</v>
      </c>
      <c r="D7227">
        <v>6</v>
      </c>
      <c r="E7227">
        <v>2</v>
      </c>
      <c r="F7227" t="s">
        <v>1020</v>
      </c>
      <c r="G7227" t="s">
        <v>32</v>
      </c>
      <c r="H7227" t="s">
        <v>33</v>
      </c>
      <c r="I7227" t="s">
        <v>59</v>
      </c>
      <c r="AB7227" t="s">
        <v>47</v>
      </c>
      <c r="AC7227" t="s">
        <v>87</v>
      </c>
    </row>
    <row r="7228" spans="1:29" x14ac:dyDescent="0.35">
      <c r="A7228" s="7">
        <v>43290</v>
      </c>
      <c r="B7228" t="s">
        <v>30</v>
      </c>
      <c r="C7228">
        <v>113</v>
      </c>
      <c r="D7228">
        <v>7</v>
      </c>
      <c r="E7228">
        <v>1</v>
      </c>
      <c r="F7228" t="s">
        <v>1020</v>
      </c>
      <c r="G7228" t="s">
        <v>32</v>
      </c>
      <c r="H7228" t="s">
        <v>33</v>
      </c>
      <c r="I7228" t="s">
        <v>59</v>
      </c>
      <c r="AB7228" t="s">
        <v>47</v>
      </c>
      <c r="AC7228" t="s">
        <v>87</v>
      </c>
    </row>
    <row r="7229" spans="1:29" x14ac:dyDescent="0.35">
      <c r="A7229" s="7">
        <v>43290</v>
      </c>
      <c r="B7229" t="s">
        <v>30</v>
      </c>
      <c r="C7229">
        <v>113</v>
      </c>
      <c r="D7229">
        <v>7</v>
      </c>
      <c r="E7229">
        <v>2</v>
      </c>
      <c r="F7229" t="s">
        <v>1020</v>
      </c>
      <c r="G7229" t="s">
        <v>32</v>
      </c>
      <c r="H7229" t="s">
        <v>33</v>
      </c>
      <c r="I7229" t="s">
        <v>59</v>
      </c>
      <c r="AB7229" t="s">
        <v>47</v>
      </c>
      <c r="AC7229" t="s">
        <v>87</v>
      </c>
    </row>
    <row r="7230" spans="1:29" x14ac:dyDescent="0.35">
      <c r="A7230" s="7">
        <v>43290</v>
      </c>
      <c r="B7230" t="s">
        <v>30</v>
      </c>
      <c r="C7230">
        <v>113</v>
      </c>
      <c r="D7230">
        <v>9</v>
      </c>
      <c r="E7230">
        <v>2</v>
      </c>
      <c r="F7230" t="s">
        <v>1020</v>
      </c>
      <c r="G7230" t="s">
        <v>32</v>
      </c>
      <c r="H7230" t="s">
        <v>33</v>
      </c>
      <c r="I7230" t="s">
        <v>59</v>
      </c>
      <c r="AB7230" t="s">
        <v>47</v>
      </c>
      <c r="AC7230" t="s">
        <v>87</v>
      </c>
    </row>
    <row r="7231" spans="1:29" x14ac:dyDescent="0.35">
      <c r="A7231" s="7">
        <v>43290</v>
      </c>
      <c r="B7231" t="s">
        <v>30</v>
      </c>
      <c r="C7231">
        <v>113</v>
      </c>
      <c r="D7231">
        <v>10</v>
      </c>
      <c r="E7231">
        <v>2</v>
      </c>
      <c r="F7231" t="s">
        <v>1020</v>
      </c>
      <c r="G7231" t="s">
        <v>32</v>
      </c>
      <c r="H7231" t="s">
        <v>33</v>
      </c>
      <c r="I7231" t="s">
        <v>59</v>
      </c>
      <c r="AB7231" t="s">
        <v>47</v>
      </c>
      <c r="AC7231" t="s">
        <v>87</v>
      </c>
    </row>
    <row r="7232" spans="1:29" x14ac:dyDescent="0.35">
      <c r="A7232" s="7">
        <v>43290</v>
      </c>
      <c r="B7232" t="s">
        <v>30</v>
      </c>
      <c r="C7232">
        <v>201</v>
      </c>
      <c r="D7232">
        <v>5</v>
      </c>
      <c r="E7232">
        <v>1</v>
      </c>
      <c r="F7232" t="s">
        <v>1139</v>
      </c>
      <c r="G7232" t="s">
        <v>32</v>
      </c>
      <c r="H7232" t="s">
        <v>33</v>
      </c>
      <c r="I7232" t="s">
        <v>59</v>
      </c>
      <c r="AB7232" t="s">
        <v>47</v>
      </c>
      <c r="AC7232" t="s">
        <v>1140</v>
      </c>
    </row>
    <row r="7233" spans="1:29" x14ac:dyDescent="0.35">
      <c r="A7233" s="7">
        <v>43290</v>
      </c>
      <c r="B7233" t="s">
        <v>30</v>
      </c>
      <c r="C7233">
        <v>201</v>
      </c>
      <c r="D7233">
        <v>7</v>
      </c>
      <c r="E7233">
        <v>1</v>
      </c>
      <c r="F7233" t="s">
        <v>1139</v>
      </c>
      <c r="G7233" t="s">
        <v>32</v>
      </c>
      <c r="H7233" t="s">
        <v>33</v>
      </c>
      <c r="I7233" t="s">
        <v>59</v>
      </c>
      <c r="AB7233" t="s">
        <v>47</v>
      </c>
      <c r="AC7233" t="s">
        <v>1140</v>
      </c>
    </row>
    <row r="7234" spans="1:29" x14ac:dyDescent="0.35">
      <c r="A7234" s="7">
        <v>43290</v>
      </c>
      <c r="B7234" t="s">
        <v>30</v>
      </c>
      <c r="C7234">
        <v>201</v>
      </c>
      <c r="D7234">
        <v>8</v>
      </c>
      <c r="E7234">
        <v>1</v>
      </c>
      <c r="F7234" t="s">
        <v>1139</v>
      </c>
      <c r="G7234" t="s">
        <v>32</v>
      </c>
      <c r="H7234" t="s">
        <v>33</v>
      </c>
      <c r="I7234" t="s">
        <v>59</v>
      </c>
      <c r="AB7234" t="s">
        <v>47</v>
      </c>
      <c r="AC7234" t="s">
        <v>1140</v>
      </c>
    </row>
    <row r="7235" spans="1:29" x14ac:dyDescent="0.35">
      <c r="A7235" s="7">
        <v>43290</v>
      </c>
      <c r="B7235" t="s">
        <v>30</v>
      </c>
      <c r="C7235">
        <v>201</v>
      </c>
      <c r="D7235">
        <v>9</v>
      </c>
      <c r="E7235">
        <v>1</v>
      </c>
      <c r="F7235" t="s">
        <v>1139</v>
      </c>
      <c r="G7235" t="s">
        <v>32</v>
      </c>
      <c r="H7235" t="s">
        <v>33</v>
      </c>
      <c r="I7235" t="s">
        <v>59</v>
      </c>
      <c r="AB7235" t="s">
        <v>47</v>
      </c>
      <c r="AC7235" t="s">
        <v>1140</v>
      </c>
    </row>
    <row r="7236" spans="1:29" x14ac:dyDescent="0.35">
      <c r="A7236" s="7">
        <v>43290</v>
      </c>
      <c r="B7236" t="s">
        <v>30</v>
      </c>
      <c r="C7236">
        <v>201</v>
      </c>
      <c r="D7236">
        <v>9</v>
      </c>
      <c r="E7236">
        <v>2</v>
      </c>
      <c r="F7236" t="s">
        <v>1139</v>
      </c>
      <c r="G7236" t="s">
        <v>32</v>
      </c>
      <c r="H7236" t="s">
        <v>33</v>
      </c>
      <c r="I7236" t="s">
        <v>59</v>
      </c>
      <c r="AB7236" t="s">
        <v>47</v>
      </c>
      <c r="AC7236" t="s">
        <v>1140</v>
      </c>
    </row>
    <row r="7237" spans="1:29" x14ac:dyDescent="0.35">
      <c r="A7237" s="7">
        <v>43290</v>
      </c>
      <c r="B7237" t="s">
        <v>30</v>
      </c>
      <c r="C7237">
        <v>201</v>
      </c>
      <c r="D7237">
        <v>10</v>
      </c>
      <c r="E7237">
        <v>1</v>
      </c>
      <c r="F7237" t="s">
        <v>1139</v>
      </c>
      <c r="G7237" t="s">
        <v>32</v>
      </c>
      <c r="H7237" t="s">
        <v>33</v>
      </c>
      <c r="I7237" t="s">
        <v>59</v>
      </c>
      <c r="AB7237" t="s">
        <v>47</v>
      </c>
      <c r="AC7237" t="s">
        <v>1140</v>
      </c>
    </row>
    <row r="7238" spans="1:29" x14ac:dyDescent="0.35">
      <c r="A7238" s="7">
        <v>43290</v>
      </c>
      <c r="B7238" t="s">
        <v>30</v>
      </c>
      <c r="C7238">
        <v>202</v>
      </c>
      <c r="D7238">
        <v>1</v>
      </c>
      <c r="E7238">
        <v>1</v>
      </c>
      <c r="F7238" t="s">
        <v>1139</v>
      </c>
      <c r="G7238" t="s">
        <v>32</v>
      </c>
      <c r="H7238" t="s">
        <v>33</v>
      </c>
      <c r="I7238" t="s">
        <v>59</v>
      </c>
      <c r="AB7238" t="s">
        <v>47</v>
      </c>
      <c r="AC7238" t="s">
        <v>1140</v>
      </c>
    </row>
    <row r="7239" spans="1:29" x14ac:dyDescent="0.35">
      <c r="A7239" s="7">
        <v>43290</v>
      </c>
      <c r="B7239" t="s">
        <v>30</v>
      </c>
      <c r="C7239">
        <v>202</v>
      </c>
      <c r="D7239">
        <v>2</v>
      </c>
      <c r="E7239">
        <v>1</v>
      </c>
      <c r="F7239" t="s">
        <v>1139</v>
      </c>
      <c r="G7239" t="s">
        <v>32</v>
      </c>
      <c r="H7239" t="s">
        <v>33</v>
      </c>
      <c r="I7239" t="s">
        <v>59</v>
      </c>
      <c r="AB7239" t="s">
        <v>47</v>
      </c>
      <c r="AC7239" t="s">
        <v>1140</v>
      </c>
    </row>
    <row r="7240" spans="1:29" x14ac:dyDescent="0.35">
      <c r="A7240" s="7">
        <v>43290</v>
      </c>
      <c r="B7240" t="s">
        <v>30</v>
      </c>
      <c r="C7240">
        <v>202</v>
      </c>
      <c r="D7240">
        <v>3</v>
      </c>
      <c r="E7240">
        <v>1</v>
      </c>
      <c r="F7240" t="s">
        <v>1139</v>
      </c>
      <c r="G7240" t="s">
        <v>32</v>
      </c>
      <c r="H7240" t="s">
        <v>33</v>
      </c>
      <c r="I7240" t="s">
        <v>59</v>
      </c>
      <c r="AB7240" t="s">
        <v>47</v>
      </c>
      <c r="AC7240" t="s">
        <v>1140</v>
      </c>
    </row>
    <row r="7241" spans="1:29" x14ac:dyDescent="0.35">
      <c r="A7241" s="7">
        <v>43290</v>
      </c>
      <c r="B7241" t="s">
        <v>30</v>
      </c>
      <c r="C7241">
        <v>202</v>
      </c>
      <c r="D7241">
        <v>5</v>
      </c>
      <c r="E7241">
        <v>1</v>
      </c>
      <c r="F7241" t="s">
        <v>1139</v>
      </c>
      <c r="G7241" t="s">
        <v>32</v>
      </c>
      <c r="H7241" t="s">
        <v>33</v>
      </c>
      <c r="I7241" t="s">
        <v>59</v>
      </c>
      <c r="AB7241" t="s">
        <v>47</v>
      </c>
      <c r="AC7241" t="s">
        <v>1140</v>
      </c>
    </row>
    <row r="7242" spans="1:29" x14ac:dyDescent="0.35">
      <c r="A7242" s="7">
        <v>43290</v>
      </c>
      <c r="B7242" t="s">
        <v>30</v>
      </c>
      <c r="C7242">
        <v>202</v>
      </c>
      <c r="D7242">
        <v>5</v>
      </c>
      <c r="E7242">
        <v>2</v>
      </c>
      <c r="F7242" t="s">
        <v>1139</v>
      </c>
      <c r="G7242" t="s">
        <v>32</v>
      </c>
      <c r="H7242" t="s">
        <v>33</v>
      </c>
      <c r="I7242" t="s">
        <v>59</v>
      </c>
      <c r="AB7242" t="s">
        <v>47</v>
      </c>
      <c r="AC7242" t="s">
        <v>1140</v>
      </c>
    </row>
    <row r="7243" spans="1:29" x14ac:dyDescent="0.35">
      <c r="A7243" s="7">
        <v>43290</v>
      </c>
      <c r="B7243" t="s">
        <v>30</v>
      </c>
      <c r="C7243">
        <v>202</v>
      </c>
      <c r="D7243">
        <v>6</v>
      </c>
      <c r="E7243">
        <v>1</v>
      </c>
      <c r="F7243" t="s">
        <v>1139</v>
      </c>
      <c r="G7243" t="s">
        <v>32</v>
      </c>
      <c r="H7243" t="s">
        <v>33</v>
      </c>
      <c r="I7243" t="s">
        <v>59</v>
      </c>
      <c r="AB7243" t="s">
        <v>47</v>
      </c>
      <c r="AC7243" t="s">
        <v>1140</v>
      </c>
    </row>
    <row r="7244" spans="1:29" x14ac:dyDescent="0.35">
      <c r="A7244" s="7">
        <v>43290</v>
      </c>
      <c r="B7244" t="s">
        <v>30</v>
      </c>
      <c r="C7244">
        <v>203</v>
      </c>
      <c r="D7244">
        <v>1</v>
      </c>
      <c r="E7244">
        <v>2</v>
      </c>
      <c r="F7244" t="s">
        <v>1139</v>
      </c>
      <c r="G7244" t="s">
        <v>32</v>
      </c>
      <c r="H7244" t="s">
        <v>33</v>
      </c>
      <c r="I7244" t="s">
        <v>59</v>
      </c>
      <c r="AB7244" t="s">
        <v>47</v>
      </c>
      <c r="AC7244" t="s">
        <v>1140</v>
      </c>
    </row>
    <row r="7245" spans="1:29" x14ac:dyDescent="0.35">
      <c r="A7245" s="7">
        <v>43290</v>
      </c>
      <c r="B7245" t="s">
        <v>30</v>
      </c>
      <c r="C7245">
        <v>203</v>
      </c>
      <c r="D7245">
        <v>7</v>
      </c>
      <c r="E7245">
        <v>1</v>
      </c>
      <c r="F7245" t="s">
        <v>1139</v>
      </c>
      <c r="G7245" t="s">
        <v>32</v>
      </c>
      <c r="H7245" t="s">
        <v>33</v>
      </c>
      <c r="I7245" t="s">
        <v>59</v>
      </c>
      <c r="AB7245" t="s">
        <v>47</v>
      </c>
      <c r="AC7245" t="s">
        <v>1140</v>
      </c>
    </row>
    <row r="7246" spans="1:29" x14ac:dyDescent="0.35">
      <c r="A7246" s="7">
        <v>43290</v>
      </c>
      <c r="B7246" t="s">
        <v>30</v>
      </c>
      <c r="C7246">
        <v>203</v>
      </c>
      <c r="D7246">
        <v>9</v>
      </c>
      <c r="E7246">
        <v>2</v>
      </c>
      <c r="F7246" t="s">
        <v>1139</v>
      </c>
      <c r="G7246" t="s">
        <v>32</v>
      </c>
      <c r="H7246" t="s">
        <v>33</v>
      </c>
      <c r="I7246" t="s">
        <v>59</v>
      </c>
      <c r="AB7246" t="s">
        <v>47</v>
      </c>
      <c r="AC7246" t="s">
        <v>1140</v>
      </c>
    </row>
    <row r="7247" spans="1:29" x14ac:dyDescent="0.35">
      <c r="A7247" s="7">
        <v>43290</v>
      </c>
      <c r="B7247" t="s">
        <v>30</v>
      </c>
      <c r="C7247">
        <v>402</v>
      </c>
      <c r="D7247">
        <v>1</v>
      </c>
      <c r="E7247">
        <v>1</v>
      </c>
      <c r="F7247" t="s">
        <v>1020</v>
      </c>
      <c r="G7247" t="s">
        <v>32</v>
      </c>
      <c r="H7247" t="s">
        <v>33</v>
      </c>
      <c r="I7247" t="s">
        <v>59</v>
      </c>
      <c r="AB7247" t="s">
        <v>47</v>
      </c>
      <c r="AC7247" t="s">
        <v>87</v>
      </c>
    </row>
    <row r="7248" spans="1:29" x14ac:dyDescent="0.35">
      <c r="A7248" s="7">
        <v>43290</v>
      </c>
      <c r="B7248" t="s">
        <v>30</v>
      </c>
      <c r="C7248">
        <v>402</v>
      </c>
      <c r="D7248">
        <v>1</v>
      </c>
      <c r="E7248">
        <v>2</v>
      </c>
      <c r="F7248" t="s">
        <v>1020</v>
      </c>
      <c r="G7248" t="s">
        <v>32</v>
      </c>
      <c r="H7248" t="s">
        <v>33</v>
      </c>
      <c r="I7248" t="s">
        <v>59</v>
      </c>
      <c r="AB7248" t="s">
        <v>47</v>
      </c>
      <c r="AC7248" t="s">
        <v>87</v>
      </c>
    </row>
    <row r="7249" spans="1:30" x14ac:dyDescent="0.35">
      <c r="A7249" s="7">
        <v>43290</v>
      </c>
      <c r="B7249" t="s">
        <v>30</v>
      </c>
      <c r="C7249">
        <v>402</v>
      </c>
      <c r="D7249">
        <v>2</v>
      </c>
      <c r="E7249">
        <v>1</v>
      </c>
      <c r="F7249" t="s">
        <v>1020</v>
      </c>
      <c r="G7249" t="s">
        <v>32</v>
      </c>
      <c r="H7249" t="s">
        <v>33</v>
      </c>
      <c r="I7249" t="s">
        <v>59</v>
      </c>
      <c r="AB7249" t="s">
        <v>47</v>
      </c>
      <c r="AC7249" t="s">
        <v>87</v>
      </c>
    </row>
    <row r="7250" spans="1:30" x14ac:dyDescent="0.35">
      <c r="A7250" s="7">
        <v>43290</v>
      </c>
      <c r="B7250" t="s">
        <v>30</v>
      </c>
      <c r="C7250">
        <v>402</v>
      </c>
      <c r="D7250">
        <v>5</v>
      </c>
      <c r="E7250">
        <v>2</v>
      </c>
      <c r="F7250" t="s">
        <v>1020</v>
      </c>
      <c r="G7250" t="s">
        <v>32</v>
      </c>
      <c r="H7250" t="s">
        <v>33</v>
      </c>
      <c r="I7250" t="s">
        <v>59</v>
      </c>
      <c r="AB7250" t="s">
        <v>47</v>
      </c>
      <c r="AC7250" t="s">
        <v>87</v>
      </c>
    </row>
    <row r="7251" spans="1:30" x14ac:dyDescent="0.35">
      <c r="A7251" s="7">
        <v>43290</v>
      </c>
      <c r="B7251" t="s">
        <v>30</v>
      </c>
      <c r="C7251">
        <v>402</v>
      </c>
      <c r="D7251">
        <v>8</v>
      </c>
      <c r="E7251">
        <v>1</v>
      </c>
      <c r="F7251" t="s">
        <v>1020</v>
      </c>
      <c r="G7251" t="s">
        <v>32</v>
      </c>
      <c r="H7251" t="s">
        <v>33</v>
      </c>
      <c r="I7251" t="s">
        <v>59</v>
      </c>
      <c r="AB7251" t="s">
        <v>47</v>
      </c>
      <c r="AC7251" t="s">
        <v>87</v>
      </c>
    </row>
    <row r="7252" spans="1:30" x14ac:dyDescent="0.35">
      <c r="A7252" s="7">
        <v>43290</v>
      </c>
      <c r="B7252" t="s">
        <v>30</v>
      </c>
      <c r="C7252">
        <v>402</v>
      </c>
      <c r="D7252">
        <v>10</v>
      </c>
      <c r="E7252">
        <v>1</v>
      </c>
      <c r="F7252" t="s">
        <v>1020</v>
      </c>
      <c r="G7252" t="s">
        <v>32</v>
      </c>
      <c r="H7252" t="s">
        <v>33</v>
      </c>
      <c r="I7252" t="s">
        <v>59</v>
      </c>
      <c r="AB7252" t="s">
        <v>47</v>
      </c>
      <c r="AC7252" t="s">
        <v>87</v>
      </c>
    </row>
    <row r="7253" spans="1:30" x14ac:dyDescent="0.35">
      <c r="A7253" s="7">
        <v>43290</v>
      </c>
      <c r="B7253" t="s">
        <v>30</v>
      </c>
      <c r="C7253">
        <v>402</v>
      </c>
      <c r="D7253">
        <v>5</v>
      </c>
      <c r="E7253">
        <v>1</v>
      </c>
      <c r="F7253" t="s">
        <v>1020</v>
      </c>
      <c r="G7253" t="s">
        <v>32</v>
      </c>
      <c r="H7253" t="s">
        <v>33</v>
      </c>
      <c r="I7253" t="s">
        <v>94</v>
      </c>
      <c r="J7253" t="s">
        <v>139</v>
      </c>
      <c r="AB7253" t="s">
        <v>47</v>
      </c>
      <c r="AC7253" t="s">
        <v>87</v>
      </c>
      <c r="AD7253" t="s">
        <v>1207</v>
      </c>
    </row>
    <row r="7254" spans="1:30" x14ac:dyDescent="0.35">
      <c r="A7254" s="7">
        <v>43290</v>
      </c>
      <c r="B7254" t="s">
        <v>30</v>
      </c>
      <c r="C7254">
        <v>202</v>
      </c>
      <c r="D7254">
        <v>2</v>
      </c>
      <c r="E7254">
        <v>2</v>
      </c>
      <c r="F7254" t="s">
        <v>1139</v>
      </c>
      <c r="G7254" t="s">
        <v>32</v>
      </c>
      <c r="H7254" t="s">
        <v>33</v>
      </c>
      <c r="J7254" t="s">
        <v>139</v>
      </c>
      <c r="AB7254" t="s">
        <v>47</v>
      </c>
      <c r="AC7254" t="s">
        <v>1140</v>
      </c>
    </row>
    <row r="7255" spans="1:30" x14ac:dyDescent="0.35">
      <c r="A7255" s="7">
        <v>43291</v>
      </c>
      <c r="B7255" t="s">
        <v>30</v>
      </c>
      <c r="C7255">
        <v>111</v>
      </c>
      <c r="D7255">
        <v>1</v>
      </c>
      <c r="E7255">
        <v>1</v>
      </c>
      <c r="F7255" t="s">
        <v>1020</v>
      </c>
      <c r="G7255" t="s">
        <v>32</v>
      </c>
      <c r="H7255" t="s">
        <v>33</v>
      </c>
      <c r="I7255" t="s">
        <v>43</v>
      </c>
      <c r="J7255" t="s">
        <v>35</v>
      </c>
      <c r="K7255" t="s">
        <v>113</v>
      </c>
      <c r="L7255" t="s">
        <v>45</v>
      </c>
      <c r="M7255">
        <v>0</v>
      </c>
      <c r="N7255">
        <v>1</v>
      </c>
      <c r="O7255">
        <v>1308</v>
      </c>
      <c r="P7255">
        <v>1307</v>
      </c>
      <c r="Q7255">
        <f>26-11.25</f>
        <v>14.75</v>
      </c>
      <c r="R7255" t="s">
        <v>46</v>
      </c>
      <c r="S7255" t="s">
        <v>39</v>
      </c>
      <c r="AB7255" t="s">
        <v>86</v>
      </c>
      <c r="AC7255" t="s">
        <v>87</v>
      </c>
    </row>
    <row r="7256" spans="1:30" x14ac:dyDescent="0.35">
      <c r="A7256" s="7">
        <v>43291</v>
      </c>
      <c r="B7256" t="s">
        <v>30</v>
      </c>
      <c r="C7256">
        <v>111</v>
      </c>
      <c r="D7256">
        <v>1</v>
      </c>
      <c r="E7256">
        <v>2</v>
      </c>
      <c r="F7256" t="s">
        <v>1020</v>
      </c>
      <c r="G7256" t="s">
        <v>32</v>
      </c>
      <c r="H7256" t="s">
        <v>33</v>
      </c>
      <c r="I7256" t="s">
        <v>43</v>
      </c>
      <c r="J7256" t="s">
        <v>35</v>
      </c>
      <c r="K7256" t="s">
        <v>88</v>
      </c>
      <c r="L7256" t="s">
        <v>45</v>
      </c>
      <c r="M7256">
        <v>0</v>
      </c>
      <c r="N7256">
        <v>1</v>
      </c>
      <c r="O7256">
        <v>1306</v>
      </c>
      <c r="P7256">
        <v>1305</v>
      </c>
      <c r="Q7256">
        <f>22.75-10</f>
        <v>12.75</v>
      </c>
      <c r="R7256" t="s">
        <v>46</v>
      </c>
      <c r="S7256" t="s">
        <v>39</v>
      </c>
      <c r="AB7256" t="s">
        <v>86</v>
      </c>
      <c r="AC7256" t="s">
        <v>87</v>
      </c>
      <c r="AD7256" t="s">
        <v>1208</v>
      </c>
    </row>
    <row r="7257" spans="1:30" x14ac:dyDescent="0.35">
      <c r="A7257" s="7">
        <v>43291</v>
      </c>
      <c r="B7257" t="s">
        <v>30</v>
      </c>
      <c r="C7257">
        <v>111</v>
      </c>
      <c r="D7257">
        <v>3</v>
      </c>
      <c r="E7257">
        <v>1</v>
      </c>
      <c r="F7257" t="s">
        <v>1020</v>
      </c>
      <c r="G7257" t="s">
        <v>32</v>
      </c>
      <c r="H7257" t="s">
        <v>33</v>
      </c>
      <c r="I7257" t="s">
        <v>43</v>
      </c>
      <c r="J7257" t="s">
        <v>44</v>
      </c>
      <c r="K7257" t="s">
        <v>36</v>
      </c>
      <c r="L7257" t="s">
        <v>45</v>
      </c>
      <c r="M7257">
        <v>0</v>
      </c>
      <c r="N7257">
        <v>0</v>
      </c>
      <c r="O7257">
        <v>2408</v>
      </c>
      <c r="P7257">
        <v>2407</v>
      </c>
      <c r="Q7257">
        <f>28.75-11</f>
        <v>17.75</v>
      </c>
      <c r="R7257" t="s">
        <v>1021</v>
      </c>
      <c r="S7257" t="s">
        <v>102</v>
      </c>
      <c r="AB7257" t="s">
        <v>86</v>
      </c>
      <c r="AC7257" t="s">
        <v>87</v>
      </c>
    </row>
    <row r="7258" spans="1:30" x14ac:dyDescent="0.35">
      <c r="A7258" s="7">
        <v>43291</v>
      </c>
      <c r="B7258" t="s">
        <v>30</v>
      </c>
      <c r="C7258">
        <v>111</v>
      </c>
      <c r="D7258">
        <v>4</v>
      </c>
      <c r="E7258">
        <v>1</v>
      </c>
      <c r="F7258" t="s">
        <v>1020</v>
      </c>
      <c r="G7258" t="s">
        <v>32</v>
      </c>
      <c r="H7258" t="s">
        <v>33</v>
      </c>
      <c r="I7258" t="s">
        <v>43</v>
      </c>
      <c r="J7258" t="s">
        <v>35</v>
      </c>
      <c r="K7258" t="s">
        <v>113</v>
      </c>
      <c r="L7258" t="s">
        <v>37</v>
      </c>
      <c r="M7258">
        <v>0</v>
      </c>
      <c r="N7258">
        <v>1</v>
      </c>
      <c r="O7258">
        <v>1304</v>
      </c>
      <c r="P7258">
        <v>1303</v>
      </c>
      <c r="Q7258">
        <f>26-10.25</f>
        <v>15.75</v>
      </c>
      <c r="R7258" t="s">
        <v>64</v>
      </c>
      <c r="AB7258" t="s">
        <v>86</v>
      </c>
      <c r="AC7258" t="s">
        <v>87</v>
      </c>
    </row>
    <row r="7259" spans="1:30" x14ac:dyDescent="0.35">
      <c r="A7259" s="7">
        <v>43291</v>
      </c>
      <c r="B7259" t="s">
        <v>30</v>
      </c>
      <c r="C7259">
        <v>111</v>
      </c>
      <c r="D7259">
        <v>4</v>
      </c>
      <c r="E7259">
        <v>2</v>
      </c>
      <c r="F7259" t="s">
        <v>1020</v>
      </c>
      <c r="G7259" t="s">
        <v>32</v>
      </c>
      <c r="H7259" t="s">
        <v>33</v>
      </c>
      <c r="I7259" t="s">
        <v>43</v>
      </c>
      <c r="J7259" t="s">
        <v>35</v>
      </c>
      <c r="K7259" t="s">
        <v>88</v>
      </c>
      <c r="L7259" t="s">
        <v>45</v>
      </c>
      <c r="M7259">
        <v>0</v>
      </c>
      <c r="N7259">
        <v>1</v>
      </c>
      <c r="O7259">
        <v>1302</v>
      </c>
      <c r="P7259">
        <v>1301</v>
      </c>
      <c r="Q7259">
        <f>22.5-11.75</f>
        <v>10.75</v>
      </c>
      <c r="R7259" t="s">
        <v>46</v>
      </c>
      <c r="S7259" t="s">
        <v>39</v>
      </c>
      <c r="AB7259" t="s">
        <v>86</v>
      </c>
      <c r="AC7259" t="s">
        <v>87</v>
      </c>
    </row>
    <row r="7260" spans="1:30" x14ac:dyDescent="0.35">
      <c r="A7260" s="7">
        <v>43291</v>
      </c>
      <c r="B7260" t="s">
        <v>30</v>
      </c>
      <c r="C7260">
        <v>111</v>
      </c>
      <c r="D7260">
        <v>5</v>
      </c>
      <c r="E7260">
        <v>1</v>
      </c>
      <c r="F7260" t="s">
        <v>1020</v>
      </c>
      <c r="G7260" t="s">
        <v>32</v>
      </c>
      <c r="H7260" t="s">
        <v>33</v>
      </c>
      <c r="I7260" t="s">
        <v>43</v>
      </c>
      <c r="J7260" t="s">
        <v>44</v>
      </c>
      <c r="K7260" t="s">
        <v>36</v>
      </c>
      <c r="L7260" t="s">
        <v>45</v>
      </c>
      <c r="M7260">
        <v>0</v>
      </c>
      <c r="N7260">
        <v>0</v>
      </c>
      <c r="O7260">
        <v>2463</v>
      </c>
      <c r="P7260">
        <v>2462</v>
      </c>
      <c r="Q7260">
        <f>28-9.5</f>
        <v>18.5</v>
      </c>
      <c r="R7260" t="s">
        <v>1021</v>
      </c>
      <c r="S7260" t="s">
        <v>102</v>
      </c>
      <c r="AB7260" t="s">
        <v>86</v>
      </c>
      <c r="AC7260" t="s">
        <v>87</v>
      </c>
    </row>
    <row r="7261" spans="1:30" x14ac:dyDescent="0.35">
      <c r="A7261" s="7">
        <v>43291</v>
      </c>
      <c r="B7261" t="s">
        <v>30</v>
      </c>
      <c r="C7261">
        <v>111</v>
      </c>
      <c r="D7261">
        <v>5</v>
      </c>
      <c r="E7261">
        <v>2</v>
      </c>
      <c r="F7261" t="s">
        <v>1020</v>
      </c>
      <c r="G7261" t="s">
        <v>32</v>
      </c>
      <c r="H7261" t="s">
        <v>33</v>
      </c>
      <c r="I7261" t="s">
        <v>43</v>
      </c>
      <c r="J7261" t="s">
        <v>44</v>
      </c>
      <c r="K7261" t="s">
        <v>88</v>
      </c>
      <c r="L7261" t="s">
        <v>37</v>
      </c>
      <c r="M7261">
        <v>0</v>
      </c>
      <c r="N7261">
        <v>0</v>
      </c>
      <c r="O7261">
        <v>1314</v>
      </c>
      <c r="P7261">
        <v>1313</v>
      </c>
      <c r="Q7261">
        <f>23.5-11.5</f>
        <v>12</v>
      </c>
      <c r="R7261" t="s">
        <v>64</v>
      </c>
      <c r="AB7261" t="s">
        <v>86</v>
      </c>
      <c r="AC7261" t="s">
        <v>87</v>
      </c>
    </row>
    <row r="7262" spans="1:30" x14ac:dyDescent="0.35">
      <c r="A7262" s="7">
        <v>43291</v>
      </c>
      <c r="B7262" t="s">
        <v>30</v>
      </c>
      <c r="C7262">
        <v>111</v>
      </c>
      <c r="D7262">
        <v>6</v>
      </c>
      <c r="E7262">
        <v>2</v>
      </c>
      <c r="F7262" t="s">
        <v>1020</v>
      </c>
      <c r="G7262" t="s">
        <v>32</v>
      </c>
      <c r="H7262" t="s">
        <v>33</v>
      </c>
      <c r="I7262" t="s">
        <v>43</v>
      </c>
      <c r="J7262" t="s">
        <v>44</v>
      </c>
      <c r="K7262" t="s">
        <v>88</v>
      </c>
      <c r="L7262" t="s">
        <v>45</v>
      </c>
      <c r="M7262">
        <v>0</v>
      </c>
      <c r="N7262">
        <v>0</v>
      </c>
      <c r="O7262">
        <v>1063</v>
      </c>
      <c r="P7262">
        <v>1062</v>
      </c>
      <c r="Q7262">
        <f>22.75-9.75</f>
        <v>13</v>
      </c>
      <c r="R7262" t="s">
        <v>46</v>
      </c>
      <c r="S7262" t="s">
        <v>39</v>
      </c>
      <c r="AB7262" t="s">
        <v>86</v>
      </c>
      <c r="AC7262" t="s">
        <v>87</v>
      </c>
    </row>
    <row r="7263" spans="1:30" x14ac:dyDescent="0.35">
      <c r="A7263" s="7">
        <v>43291</v>
      </c>
      <c r="B7263" t="s">
        <v>30</v>
      </c>
      <c r="C7263">
        <v>111</v>
      </c>
      <c r="D7263">
        <v>8</v>
      </c>
      <c r="E7263">
        <v>1</v>
      </c>
      <c r="F7263" t="s">
        <v>1020</v>
      </c>
      <c r="G7263" t="s">
        <v>32</v>
      </c>
      <c r="H7263" t="s">
        <v>33</v>
      </c>
      <c r="I7263" t="s">
        <v>43</v>
      </c>
      <c r="J7263" t="s">
        <v>44</v>
      </c>
      <c r="K7263" t="s">
        <v>36</v>
      </c>
      <c r="L7263" t="s">
        <v>45</v>
      </c>
      <c r="M7263">
        <v>0</v>
      </c>
      <c r="N7263">
        <v>0</v>
      </c>
      <c r="O7263">
        <v>2406</v>
      </c>
      <c r="P7263">
        <v>2405</v>
      </c>
      <c r="Q7263">
        <f>30.25-10</f>
        <v>20.25</v>
      </c>
      <c r="R7263" t="s">
        <v>1021</v>
      </c>
      <c r="S7263" t="s">
        <v>102</v>
      </c>
      <c r="AB7263" t="s">
        <v>86</v>
      </c>
      <c r="AC7263" t="s">
        <v>87</v>
      </c>
    </row>
    <row r="7264" spans="1:30" x14ac:dyDescent="0.35">
      <c r="A7264" s="7">
        <v>43291</v>
      </c>
      <c r="B7264" t="s">
        <v>30</v>
      </c>
      <c r="C7264">
        <v>112</v>
      </c>
      <c r="D7264">
        <v>2</v>
      </c>
      <c r="E7264">
        <v>1</v>
      </c>
      <c r="F7264" t="s">
        <v>1020</v>
      </c>
      <c r="G7264" t="s">
        <v>32</v>
      </c>
      <c r="H7264" t="s">
        <v>33</v>
      </c>
      <c r="I7264" t="s">
        <v>43</v>
      </c>
      <c r="J7264" t="s">
        <v>44</v>
      </c>
      <c r="K7264" t="s">
        <v>36</v>
      </c>
      <c r="L7264" t="s">
        <v>45</v>
      </c>
      <c r="M7264">
        <v>0</v>
      </c>
      <c r="N7264">
        <v>0</v>
      </c>
      <c r="O7264">
        <v>1061</v>
      </c>
      <c r="P7264">
        <v>1060</v>
      </c>
      <c r="Q7264">
        <f>31-11.25</f>
        <v>19.75</v>
      </c>
      <c r="R7264" t="s">
        <v>46</v>
      </c>
      <c r="S7264" t="s">
        <v>39</v>
      </c>
      <c r="AB7264" t="s">
        <v>86</v>
      </c>
      <c r="AC7264" t="s">
        <v>87</v>
      </c>
    </row>
    <row r="7265" spans="1:30" x14ac:dyDescent="0.35">
      <c r="A7265" s="7">
        <v>43291</v>
      </c>
      <c r="B7265" t="s">
        <v>30</v>
      </c>
      <c r="C7265">
        <v>112</v>
      </c>
      <c r="D7265">
        <v>3</v>
      </c>
      <c r="E7265">
        <v>1</v>
      </c>
      <c r="F7265" t="s">
        <v>1020</v>
      </c>
      <c r="G7265" t="s">
        <v>32</v>
      </c>
      <c r="H7265" t="s">
        <v>33</v>
      </c>
      <c r="I7265" t="s">
        <v>43</v>
      </c>
      <c r="J7265" t="s">
        <v>35</v>
      </c>
      <c r="K7265" t="s">
        <v>113</v>
      </c>
      <c r="L7265" t="s">
        <v>45</v>
      </c>
      <c r="M7265">
        <v>0</v>
      </c>
      <c r="N7265">
        <v>1</v>
      </c>
      <c r="O7265">
        <v>1328</v>
      </c>
      <c r="P7265">
        <v>1327</v>
      </c>
      <c r="Q7265">
        <f>23.25-9.5</f>
        <v>13.75</v>
      </c>
      <c r="R7265" t="s">
        <v>46</v>
      </c>
      <c r="S7265" t="s">
        <v>39</v>
      </c>
      <c r="AB7265" t="s">
        <v>86</v>
      </c>
      <c r="AC7265" t="s">
        <v>87</v>
      </c>
    </row>
    <row r="7266" spans="1:30" x14ac:dyDescent="0.35">
      <c r="A7266" s="7">
        <v>43291</v>
      </c>
      <c r="B7266" t="s">
        <v>30</v>
      </c>
      <c r="C7266">
        <v>112</v>
      </c>
      <c r="D7266">
        <v>3</v>
      </c>
      <c r="E7266">
        <v>2</v>
      </c>
      <c r="F7266" t="s">
        <v>1020</v>
      </c>
      <c r="G7266" t="s">
        <v>32</v>
      </c>
      <c r="H7266" t="s">
        <v>33</v>
      </c>
      <c r="I7266" t="s">
        <v>43</v>
      </c>
      <c r="J7266" t="s">
        <v>35</v>
      </c>
      <c r="K7266" t="s">
        <v>113</v>
      </c>
      <c r="L7266" t="s">
        <v>45</v>
      </c>
      <c r="M7266">
        <v>0</v>
      </c>
      <c r="N7266">
        <v>1</v>
      </c>
      <c r="O7266">
        <v>1330</v>
      </c>
      <c r="P7266">
        <v>1329</v>
      </c>
      <c r="Q7266">
        <f>26-10</f>
        <v>16</v>
      </c>
      <c r="R7266" t="s">
        <v>46</v>
      </c>
      <c r="S7266" t="s">
        <v>39</v>
      </c>
      <c r="AB7266" t="s">
        <v>86</v>
      </c>
      <c r="AC7266" t="s">
        <v>87</v>
      </c>
    </row>
    <row r="7267" spans="1:30" x14ac:dyDescent="0.35">
      <c r="A7267" s="7">
        <v>43291</v>
      </c>
      <c r="B7267" t="s">
        <v>30</v>
      </c>
      <c r="C7267">
        <v>112</v>
      </c>
      <c r="D7267">
        <v>4</v>
      </c>
      <c r="E7267">
        <v>1</v>
      </c>
      <c r="F7267" t="s">
        <v>1020</v>
      </c>
      <c r="G7267" t="s">
        <v>32</v>
      </c>
      <c r="H7267" t="s">
        <v>33</v>
      </c>
      <c r="I7267" t="s">
        <v>43</v>
      </c>
      <c r="J7267" t="s">
        <v>35</v>
      </c>
      <c r="K7267" t="s">
        <v>88</v>
      </c>
      <c r="L7267" t="s">
        <v>45</v>
      </c>
      <c r="M7267">
        <v>0</v>
      </c>
      <c r="N7267">
        <v>1</v>
      </c>
      <c r="O7267">
        <v>1332</v>
      </c>
      <c r="P7267">
        <v>1331</v>
      </c>
      <c r="Q7267">
        <f>22-10</f>
        <v>12</v>
      </c>
      <c r="R7267" t="s">
        <v>46</v>
      </c>
      <c r="S7267" t="s">
        <v>39</v>
      </c>
      <c r="AB7267" t="s">
        <v>86</v>
      </c>
      <c r="AC7267" t="s">
        <v>87</v>
      </c>
    </row>
    <row r="7268" spans="1:30" x14ac:dyDescent="0.35">
      <c r="A7268" s="7">
        <v>43291</v>
      </c>
      <c r="B7268" t="s">
        <v>30</v>
      </c>
      <c r="C7268">
        <v>112</v>
      </c>
      <c r="D7268">
        <v>4</v>
      </c>
      <c r="E7268">
        <v>2</v>
      </c>
      <c r="F7268" t="s">
        <v>1020</v>
      </c>
      <c r="G7268" t="s">
        <v>32</v>
      </c>
      <c r="H7268" t="s">
        <v>33</v>
      </c>
      <c r="I7268" t="s">
        <v>43</v>
      </c>
      <c r="J7268" t="s">
        <v>44</v>
      </c>
      <c r="K7268" t="s">
        <v>113</v>
      </c>
      <c r="L7268" t="s">
        <v>37</v>
      </c>
      <c r="M7268">
        <v>0</v>
      </c>
      <c r="N7268">
        <v>0</v>
      </c>
      <c r="O7268">
        <v>1311</v>
      </c>
      <c r="P7268">
        <v>1310</v>
      </c>
      <c r="Q7268">
        <f>24.5-10</f>
        <v>14.5</v>
      </c>
      <c r="R7268" t="s">
        <v>64</v>
      </c>
      <c r="AB7268" t="s">
        <v>86</v>
      </c>
      <c r="AC7268" t="s">
        <v>87</v>
      </c>
    </row>
    <row r="7269" spans="1:30" x14ac:dyDescent="0.35">
      <c r="A7269" s="7">
        <v>43291</v>
      </c>
      <c r="B7269" t="s">
        <v>30</v>
      </c>
      <c r="C7269">
        <v>112</v>
      </c>
      <c r="D7269">
        <v>5</v>
      </c>
      <c r="E7269">
        <v>1</v>
      </c>
      <c r="F7269" t="s">
        <v>1020</v>
      </c>
      <c r="G7269" t="s">
        <v>32</v>
      </c>
      <c r="H7269" t="s">
        <v>33</v>
      </c>
      <c r="I7269" t="s">
        <v>43</v>
      </c>
      <c r="J7269" t="s">
        <v>44</v>
      </c>
      <c r="K7269" t="s">
        <v>88</v>
      </c>
      <c r="L7269" t="s">
        <v>37</v>
      </c>
      <c r="M7269">
        <v>0</v>
      </c>
      <c r="N7269">
        <v>0</v>
      </c>
      <c r="O7269">
        <v>1121</v>
      </c>
      <c r="P7269">
        <v>1120</v>
      </c>
      <c r="Q7269">
        <f>22.5-9.5</f>
        <v>13</v>
      </c>
      <c r="R7269" t="s">
        <v>64</v>
      </c>
      <c r="AB7269" t="s">
        <v>86</v>
      </c>
      <c r="AC7269" t="s">
        <v>87</v>
      </c>
    </row>
    <row r="7270" spans="1:30" x14ac:dyDescent="0.35">
      <c r="A7270" s="7">
        <v>43291</v>
      </c>
      <c r="B7270" t="s">
        <v>30</v>
      </c>
      <c r="C7270">
        <v>112</v>
      </c>
      <c r="D7270">
        <v>5</v>
      </c>
      <c r="E7270">
        <v>2</v>
      </c>
      <c r="F7270" t="s">
        <v>1020</v>
      </c>
      <c r="G7270" t="s">
        <v>32</v>
      </c>
      <c r="H7270" t="s">
        <v>33</v>
      </c>
      <c r="I7270" t="s">
        <v>43</v>
      </c>
      <c r="J7270" t="s">
        <v>44</v>
      </c>
      <c r="K7270" t="s">
        <v>36</v>
      </c>
      <c r="L7270" t="s">
        <v>45</v>
      </c>
      <c r="M7270">
        <v>0</v>
      </c>
      <c r="N7270">
        <v>0</v>
      </c>
      <c r="O7270">
        <v>2415</v>
      </c>
      <c r="P7270">
        <v>2414</v>
      </c>
      <c r="Q7270">
        <f>31.75-11</f>
        <v>20.75</v>
      </c>
      <c r="R7270" t="s">
        <v>1021</v>
      </c>
      <c r="S7270" t="s">
        <v>102</v>
      </c>
      <c r="AB7270" t="s">
        <v>86</v>
      </c>
      <c r="AC7270" t="s">
        <v>87</v>
      </c>
      <c r="AD7270" t="s">
        <v>1209</v>
      </c>
    </row>
    <row r="7271" spans="1:30" x14ac:dyDescent="0.35">
      <c r="A7271" s="7">
        <v>43291</v>
      </c>
      <c r="B7271" t="s">
        <v>30</v>
      </c>
      <c r="C7271">
        <v>112</v>
      </c>
      <c r="D7271">
        <v>7</v>
      </c>
      <c r="E7271">
        <v>2</v>
      </c>
      <c r="F7271" t="s">
        <v>1020</v>
      </c>
      <c r="G7271" t="s">
        <v>32</v>
      </c>
      <c r="H7271" t="s">
        <v>33</v>
      </c>
      <c r="I7271" t="s">
        <v>43</v>
      </c>
      <c r="J7271" t="s">
        <v>35</v>
      </c>
      <c r="K7271" t="s">
        <v>88</v>
      </c>
      <c r="L7271" t="s">
        <v>37</v>
      </c>
      <c r="M7271">
        <v>0</v>
      </c>
      <c r="N7271">
        <v>1</v>
      </c>
      <c r="O7271">
        <v>1334</v>
      </c>
      <c r="P7271">
        <v>1333</v>
      </c>
      <c r="Q7271">
        <f>23.25-10.75</f>
        <v>12.5</v>
      </c>
      <c r="R7271" t="s">
        <v>64</v>
      </c>
      <c r="AB7271" t="s">
        <v>86</v>
      </c>
      <c r="AC7271" t="s">
        <v>87</v>
      </c>
    </row>
    <row r="7272" spans="1:30" x14ac:dyDescent="0.35">
      <c r="A7272" s="7">
        <v>43291</v>
      </c>
      <c r="B7272" t="s">
        <v>30</v>
      </c>
      <c r="C7272">
        <v>112</v>
      </c>
      <c r="D7272">
        <v>10</v>
      </c>
      <c r="E7272">
        <v>2</v>
      </c>
      <c r="F7272" t="s">
        <v>1020</v>
      </c>
      <c r="G7272" t="s">
        <v>32</v>
      </c>
      <c r="H7272" t="s">
        <v>33</v>
      </c>
      <c r="I7272" t="s">
        <v>43</v>
      </c>
      <c r="J7272" t="s">
        <v>35</v>
      </c>
      <c r="K7272" t="s">
        <v>113</v>
      </c>
      <c r="L7272" t="s">
        <v>45</v>
      </c>
      <c r="M7272">
        <v>0</v>
      </c>
      <c r="N7272">
        <v>1</v>
      </c>
      <c r="O7272">
        <v>1337</v>
      </c>
      <c r="P7272">
        <v>1336</v>
      </c>
      <c r="Q7272">
        <f>26.5-10</f>
        <v>16.5</v>
      </c>
      <c r="R7272" t="s">
        <v>46</v>
      </c>
      <c r="S7272" t="s">
        <v>39</v>
      </c>
      <c r="AB7272" t="s">
        <v>86</v>
      </c>
      <c r="AC7272" t="s">
        <v>87</v>
      </c>
    </row>
    <row r="7273" spans="1:30" x14ac:dyDescent="0.35">
      <c r="A7273" s="7">
        <v>43291</v>
      </c>
      <c r="B7273" t="s">
        <v>30</v>
      </c>
      <c r="C7273">
        <v>113</v>
      </c>
      <c r="D7273">
        <v>1</v>
      </c>
      <c r="E7273">
        <v>2</v>
      </c>
      <c r="F7273" t="s">
        <v>1020</v>
      </c>
      <c r="G7273" t="s">
        <v>32</v>
      </c>
      <c r="H7273" t="s">
        <v>33</v>
      </c>
      <c r="I7273" t="s">
        <v>43</v>
      </c>
      <c r="J7273" t="s">
        <v>35</v>
      </c>
      <c r="K7273" t="s">
        <v>88</v>
      </c>
      <c r="L7273" t="s">
        <v>45</v>
      </c>
      <c r="M7273">
        <v>0</v>
      </c>
      <c r="N7273">
        <v>1</v>
      </c>
      <c r="O7273">
        <v>1339</v>
      </c>
      <c r="P7273">
        <v>1338</v>
      </c>
      <c r="Q7273">
        <f>23.25-10.5</f>
        <v>12.75</v>
      </c>
      <c r="R7273" t="s">
        <v>46</v>
      </c>
      <c r="S7273" t="s">
        <v>39</v>
      </c>
      <c r="AB7273" t="s">
        <v>86</v>
      </c>
      <c r="AC7273" t="s">
        <v>87</v>
      </c>
      <c r="AD7273" t="s">
        <v>1210</v>
      </c>
    </row>
    <row r="7274" spans="1:30" x14ac:dyDescent="0.35">
      <c r="A7274" s="7">
        <v>43291</v>
      </c>
      <c r="B7274" t="s">
        <v>30</v>
      </c>
      <c r="C7274">
        <v>201</v>
      </c>
      <c r="D7274">
        <v>3</v>
      </c>
      <c r="E7274">
        <v>1</v>
      </c>
      <c r="F7274" t="s">
        <v>1139</v>
      </c>
      <c r="G7274" t="s">
        <v>32</v>
      </c>
      <c r="H7274" t="s">
        <v>33</v>
      </c>
      <c r="I7274" t="s">
        <v>43</v>
      </c>
      <c r="J7274" t="s">
        <v>66</v>
      </c>
      <c r="O7274">
        <v>39519</v>
      </c>
      <c r="P7274">
        <v>39518</v>
      </c>
      <c r="AB7274" t="s">
        <v>47</v>
      </c>
      <c r="AC7274" t="s">
        <v>87</v>
      </c>
      <c r="AD7274" t="s">
        <v>1211</v>
      </c>
    </row>
    <row r="7275" spans="1:30" x14ac:dyDescent="0.35">
      <c r="A7275" s="7">
        <v>43291</v>
      </c>
      <c r="B7275" t="s">
        <v>30</v>
      </c>
      <c r="C7275">
        <v>201</v>
      </c>
      <c r="D7275">
        <v>5</v>
      </c>
      <c r="E7275">
        <v>2</v>
      </c>
      <c r="F7275" t="s">
        <v>1139</v>
      </c>
      <c r="G7275" t="s">
        <v>32</v>
      </c>
      <c r="H7275" t="s">
        <v>33</v>
      </c>
      <c r="I7275" t="s">
        <v>43</v>
      </c>
      <c r="J7275" t="s">
        <v>35</v>
      </c>
      <c r="K7275" t="s">
        <v>113</v>
      </c>
      <c r="L7275" t="s">
        <v>37</v>
      </c>
      <c r="M7275">
        <v>0</v>
      </c>
      <c r="N7275">
        <v>1</v>
      </c>
      <c r="O7275">
        <v>1196</v>
      </c>
      <c r="P7275">
        <v>1195</v>
      </c>
      <c r="Q7275">
        <f>27-14</f>
        <v>13</v>
      </c>
      <c r="R7275" t="s">
        <v>64</v>
      </c>
      <c r="AB7275" t="s">
        <v>47</v>
      </c>
      <c r="AC7275" t="s">
        <v>87</v>
      </c>
    </row>
    <row r="7276" spans="1:30" x14ac:dyDescent="0.35">
      <c r="A7276" s="7">
        <v>43291</v>
      </c>
      <c r="B7276" t="s">
        <v>30</v>
      </c>
      <c r="C7276">
        <v>201</v>
      </c>
      <c r="D7276">
        <v>8</v>
      </c>
      <c r="E7276">
        <v>2</v>
      </c>
      <c r="F7276" t="s">
        <v>1139</v>
      </c>
      <c r="G7276" t="s">
        <v>32</v>
      </c>
      <c r="H7276" t="s">
        <v>33</v>
      </c>
      <c r="I7276" t="s">
        <v>43</v>
      </c>
      <c r="J7276" t="s">
        <v>44</v>
      </c>
      <c r="K7276" t="s">
        <v>88</v>
      </c>
      <c r="L7276" t="s">
        <v>37</v>
      </c>
      <c r="M7276">
        <v>0</v>
      </c>
      <c r="N7276">
        <v>0</v>
      </c>
      <c r="O7276">
        <v>1194</v>
      </c>
      <c r="P7276">
        <v>1193</v>
      </c>
      <c r="Q7276">
        <f>30-14.5</f>
        <v>15.5</v>
      </c>
      <c r="R7276" t="s">
        <v>64</v>
      </c>
      <c r="AB7276" t="s">
        <v>47</v>
      </c>
      <c r="AC7276" t="s">
        <v>87</v>
      </c>
    </row>
    <row r="7277" spans="1:30" x14ac:dyDescent="0.35">
      <c r="A7277" s="7">
        <v>43291</v>
      </c>
      <c r="B7277" t="s">
        <v>30</v>
      </c>
      <c r="C7277">
        <v>201</v>
      </c>
      <c r="D7277">
        <v>10</v>
      </c>
      <c r="E7277">
        <v>1</v>
      </c>
      <c r="F7277" t="s">
        <v>1139</v>
      </c>
      <c r="G7277" t="s">
        <v>32</v>
      </c>
      <c r="H7277" t="s">
        <v>33</v>
      </c>
      <c r="I7277" t="s">
        <v>43</v>
      </c>
      <c r="J7277" t="s">
        <v>66</v>
      </c>
      <c r="K7277" t="s">
        <v>36</v>
      </c>
      <c r="L7277" t="s">
        <v>37</v>
      </c>
      <c r="M7277">
        <v>0</v>
      </c>
      <c r="N7277">
        <v>0</v>
      </c>
      <c r="O7277">
        <v>1140</v>
      </c>
      <c r="P7277">
        <v>1139</v>
      </c>
      <c r="AB7277" t="s">
        <v>47</v>
      </c>
      <c r="AC7277" t="s">
        <v>87</v>
      </c>
      <c r="AD7277" t="s">
        <v>1212</v>
      </c>
    </row>
    <row r="7278" spans="1:30" x14ac:dyDescent="0.35">
      <c r="A7278" s="7">
        <v>43291</v>
      </c>
      <c r="B7278" t="s">
        <v>30</v>
      </c>
      <c r="C7278">
        <v>202</v>
      </c>
      <c r="D7278">
        <v>2</v>
      </c>
      <c r="E7278">
        <v>1</v>
      </c>
      <c r="F7278" t="s">
        <v>1139</v>
      </c>
      <c r="G7278" t="s">
        <v>32</v>
      </c>
      <c r="H7278" t="s">
        <v>33</v>
      </c>
      <c r="I7278" t="s">
        <v>43</v>
      </c>
      <c r="J7278" t="s">
        <v>35</v>
      </c>
      <c r="K7278" t="s">
        <v>36</v>
      </c>
      <c r="L7278" t="s">
        <v>45</v>
      </c>
      <c r="M7278">
        <v>0</v>
      </c>
      <c r="N7278">
        <v>1</v>
      </c>
      <c r="O7278">
        <v>1300</v>
      </c>
      <c r="P7278">
        <v>1299</v>
      </c>
      <c r="Q7278">
        <f>34-14</f>
        <v>20</v>
      </c>
      <c r="R7278" t="s">
        <v>1028</v>
      </c>
      <c r="S7278" t="s">
        <v>102</v>
      </c>
      <c r="AB7278" t="s">
        <v>47</v>
      </c>
      <c r="AC7278" t="s">
        <v>87</v>
      </c>
    </row>
    <row r="7279" spans="1:30" x14ac:dyDescent="0.35">
      <c r="A7279" s="7">
        <v>43291</v>
      </c>
      <c r="B7279" t="s">
        <v>30</v>
      </c>
      <c r="C7279">
        <v>202</v>
      </c>
      <c r="D7279">
        <v>5</v>
      </c>
      <c r="E7279">
        <v>2</v>
      </c>
      <c r="F7279" t="s">
        <v>1139</v>
      </c>
      <c r="G7279" t="s">
        <v>32</v>
      </c>
      <c r="H7279" t="s">
        <v>33</v>
      </c>
      <c r="I7279" t="s">
        <v>43</v>
      </c>
      <c r="J7279" t="s">
        <v>35</v>
      </c>
      <c r="K7279" t="s">
        <v>36</v>
      </c>
      <c r="L7279" t="s">
        <v>45</v>
      </c>
      <c r="M7279">
        <v>0</v>
      </c>
      <c r="N7279">
        <v>1</v>
      </c>
      <c r="O7279">
        <v>1281</v>
      </c>
      <c r="P7279">
        <v>1280</v>
      </c>
      <c r="Q7279">
        <f>32-14</f>
        <v>18</v>
      </c>
      <c r="R7279" t="s">
        <v>1028</v>
      </c>
      <c r="S7279" t="s">
        <v>102</v>
      </c>
      <c r="AB7279" t="s">
        <v>47</v>
      </c>
      <c r="AC7279" t="s">
        <v>87</v>
      </c>
    </row>
    <row r="7280" spans="1:30" x14ac:dyDescent="0.35">
      <c r="A7280" s="7">
        <v>43291</v>
      </c>
      <c r="B7280" t="s">
        <v>30</v>
      </c>
      <c r="C7280">
        <v>202</v>
      </c>
      <c r="D7280">
        <v>10</v>
      </c>
      <c r="E7280">
        <v>1</v>
      </c>
      <c r="F7280" t="s">
        <v>1139</v>
      </c>
      <c r="G7280" t="s">
        <v>32</v>
      </c>
      <c r="H7280" t="s">
        <v>33</v>
      </c>
      <c r="I7280" t="s">
        <v>43</v>
      </c>
      <c r="J7280" t="s">
        <v>35</v>
      </c>
      <c r="K7280" t="s">
        <v>88</v>
      </c>
      <c r="L7280" t="s">
        <v>37</v>
      </c>
      <c r="M7280">
        <v>0</v>
      </c>
      <c r="N7280">
        <v>1</v>
      </c>
      <c r="O7280">
        <v>1298</v>
      </c>
      <c r="P7280">
        <v>1297</v>
      </c>
      <c r="Q7280">
        <f>26-15</f>
        <v>11</v>
      </c>
      <c r="R7280" t="s">
        <v>64</v>
      </c>
      <c r="AB7280" t="s">
        <v>47</v>
      </c>
      <c r="AC7280" t="s">
        <v>87</v>
      </c>
      <c r="AD7280" t="s">
        <v>1213</v>
      </c>
    </row>
    <row r="7281" spans="1:30" x14ac:dyDescent="0.35">
      <c r="A7281" s="7">
        <v>43291</v>
      </c>
      <c r="B7281" t="s">
        <v>30</v>
      </c>
      <c r="C7281">
        <v>203</v>
      </c>
      <c r="D7281">
        <v>2</v>
      </c>
      <c r="E7281">
        <v>2</v>
      </c>
      <c r="F7281" t="s">
        <v>1139</v>
      </c>
      <c r="G7281" t="s">
        <v>32</v>
      </c>
      <c r="H7281" t="s">
        <v>33</v>
      </c>
      <c r="I7281" t="s">
        <v>43</v>
      </c>
      <c r="J7281" t="s">
        <v>66</v>
      </c>
      <c r="M7281">
        <v>0</v>
      </c>
      <c r="N7281">
        <v>0</v>
      </c>
      <c r="O7281">
        <v>39811</v>
      </c>
      <c r="P7281">
        <v>39810</v>
      </c>
      <c r="AB7281" t="s">
        <v>47</v>
      </c>
      <c r="AC7281" t="s">
        <v>87</v>
      </c>
      <c r="AD7281" t="s">
        <v>1214</v>
      </c>
    </row>
    <row r="7282" spans="1:30" x14ac:dyDescent="0.35">
      <c r="A7282" s="7">
        <v>43291</v>
      </c>
      <c r="B7282" t="s">
        <v>30</v>
      </c>
      <c r="C7282">
        <v>203</v>
      </c>
      <c r="D7282">
        <v>5</v>
      </c>
      <c r="E7282">
        <v>1</v>
      </c>
      <c r="F7282" t="s">
        <v>1139</v>
      </c>
      <c r="G7282" t="s">
        <v>32</v>
      </c>
      <c r="H7282" t="s">
        <v>33</v>
      </c>
      <c r="I7282" t="s">
        <v>43</v>
      </c>
      <c r="J7282" t="s">
        <v>35</v>
      </c>
      <c r="K7282" t="s">
        <v>36</v>
      </c>
      <c r="L7282" t="s">
        <v>45</v>
      </c>
      <c r="M7282">
        <v>0</v>
      </c>
      <c r="N7282">
        <v>1</v>
      </c>
      <c r="O7282">
        <v>1198</v>
      </c>
      <c r="P7282">
        <v>1197</v>
      </c>
      <c r="Q7282">
        <f>36.5-14.5</f>
        <v>22</v>
      </c>
      <c r="R7282" t="s">
        <v>1028</v>
      </c>
      <c r="S7282" t="s">
        <v>102</v>
      </c>
      <c r="AB7282" t="s">
        <v>47</v>
      </c>
      <c r="AC7282" t="s">
        <v>87</v>
      </c>
    </row>
    <row r="7283" spans="1:30" x14ac:dyDescent="0.35">
      <c r="A7283" s="7">
        <v>43291</v>
      </c>
      <c r="B7283" t="s">
        <v>30</v>
      </c>
      <c r="C7283">
        <v>203</v>
      </c>
      <c r="D7283">
        <v>7</v>
      </c>
      <c r="E7283">
        <v>1</v>
      </c>
      <c r="F7283" t="s">
        <v>1139</v>
      </c>
      <c r="G7283" t="s">
        <v>32</v>
      </c>
      <c r="H7283" t="s">
        <v>33</v>
      </c>
      <c r="I7283" t="s">
        <v>43</v>
      </c>
      <c r="J7283" t="s">
        <v>44</v>
      </c>
      <c r="K7283" t="s">
        <v>36</v>
      </c>
      <c r="L7283" t="s">
        <v>45</v>
      </c>
      <c r="M7283">
        <v>0</v>
      </c>
      <c r="N7283">
        <v>0</v>
      </c>
      <c r="O7283">
        <v>2813</v>
      </c>
      <c r="P7283">
        <v>2812</v>
      </c>
      <c r="Q7283">
        <f>38-15</f>
        <v>23</v>
      </c>
      <c r="R7283" t="s">
        <v>77</v>
      </c>
      <c r="S7283" t="s">
        <v>39</v>
      </c>
      <c r="AB7283" t="s">
        <v>47</v>
      </c>
      <c r="AC7283" t="s">
        <v>87</v>
      </c>
    </row>
    <row r="7284" spans="1:30" x14ac:dyDescent="0.35">
      <c r="A7284" s="7">
        <v>43291</v>
      </c>
      <c r="B7284" t="s">
        <v>30</v>
      </c>
      <c r="C7284">
        <v>304</v>
      </c>
      <c r="D7284">
        <v>10</v>
      </c>
      <c r="E7284">
        <v>1</v>
      </c>
      <c r="F7284" t="s">
        <v>1139</v>
      </c>
      <c r="G7284" t="s">
        <v>32</v>
      </c>
      <c r="H7284" t="s">
        <v>33</v>
      </c>
      <c r="I7284" t="s">
        <v>43</v>
      </c>
      <c r="J7284" t="s">
        <v>44</v>
      </c>
      <c r="K7284" t="s">
        <v>88</v>
      </c>
      <c r="L7284" t="s">
        <v>37</v>
      </c>
      <c r="M7284">
        <v>0</v>
      </c>
      <c r="N7284">
        <v>0</v>
      </c>
      <c r="O7284">
        <v>1148</v>
      </c>
      <c r="P7284">
        <v>1147</v>
      </c>
      <c r="Q7284">
        <f>24-10</f>
        <v>14</v>
      </c>
      <c r="R7284" t="s">
        <v>64</v>
      </c>
      <c r="AB7284" t="s">
        <v>47</v>
      </c>
      <c r="AC7284" t="s">
        <v>87</v>
      </c>
    </row>
    <row r="7285" spans="1:30" x14ac:dyDescent="0.35">
      <c r="A7285" s="7">
        <v>43291</v>
      </c>
      <c r="B7285" t="s">
        <v>30</v>
      </c>
      <c r="C7285">
        <v>402</v>
      </c>
      <c r="D7285">
        <v>1</v>
      </c>
      <c r="E7285">
        <v>1</v>
      </c>
      <c r="F7285" t="s">
        <v>1020</v>
      </c>
      <c r="G7285" t="s">
        <v>32</v>
      </c>
      <c r="H7285" t="s">
        <v>33</v>
      </c>
      <c r="I7285" t="s">
        <v>43</v>
      </c>
      <c r="J7285" t="s">
        <v>44</v>
      </c>
      <c r="K7285" t="s">
        <v>36</v>
      </c>
      <c r="L7285" t="s">
        <v>37</v>
      </c>
      <c r="M7285">
        <v>0</v>
      </c>
      <c r="N7285">
        <v>0</v>
      </c>
      <c r="O7285">
        <v>2805</v>
      </c>
      <c r="P7285">
        <v>2804</v>
      </c>
      <c r="Q7285">
        <f>25.5-10</f>
        <v>15.5</v>
      </c>
      <c r="R7285" t="s">
        <v>38</v>
      </c>
      <c r="AB7285" t="s">
        <v>86</v>
      </c>
      <c r="AC7285" t="s">
        <v>87</v>
      </c>
    </row>
    <row r="7286" spans="1:30" x14ac:dyDescent="0.35">
      <c r="A7286" s="7">
        <v>43291</v>
      </c>
      <c r="B7286" t="s">
        <v>30</v>
      </c>
      <c r="C7286">
        <v>402</v>
      </c>
      <c r="D7286">
        <v>2</v>
      </c>
      <c r="E7286">
        <v>1</v>
      </c>
      <c r="F7286" t="s">
        <v>1020</v>
      </c>
      <c r="G7286" t="s">
        <v>32</v>
      </c>
      <c r="H7286" t="s">
        <v>33</v>
      </c>
      <c r="I7286" t="s">
        <v>43</v>
      </c>
      <c r="J7286" t="s">
        <v>139</v>
      </c>
      <c r="AB7286" t="s">
        <v>86</v>
      </c>
      <c r="AC7286" t="s">
        <v>87</v>
      </c>
      <c r="AD7286" t="s">
        <v>1215</v>
      </c>
    </row>
    <row r="7287" spans="1:30" x14ac:dyDescent="0.35">
      <c r="A7287" s="7">
        <v>43291</v>
      </c>
      <c r="B7287" t="s">
        <v>30</v>
      </c>
      <c r="C7287">
        <v>111</v>
      </c>
      <c r="D7287">
        <v>3</v>
      </c>
      <c r="E7287">
        <v>2</v>
      </c>
      <c r="F7287" t="s">
        <v>1020</v>
      </c>
      <c r="G7287" t="s">
        <v>32</v>
      </c>
      <c r="H7287" t="s">
        <v>33</v>
      </c>
      <c r="I7287" t="s">
        <v>34</v>
      </c>
      <c r="J7287" t="s">
        <v>44</v>
      </c>
      <c r="K7287" t="s">
        <v>36</v>
      </c>
      <c r="L7287" t="s">
        <v>45</v>
      </c>
      <c r="M7287">
        <v>0</v>
      </c>
      <c r="N7287">
        <v>0</v>
      </c>
      <c r="O7287">
        <v>1317</v>
      </c>
      <c r="Q7287">
        <f>210-127</f>
        <v>83</v>
      </c>
      <c r="R7287" t="s">
        <v>46</v>
      </c>
      <c r="S7287" t="s">
        <v>39</v>
      </c>
      <c r="AB7287" t="s">
        <v>86</v>
      </c>
      <c r="AC7287" t="s">
        <v>87</v>
      </c>
    </row>
    <row r="7288" spans="1:30" x14ac:dyDescent="0.35">
      <c r="A7288" s="7">
        <v>43291</v>
      </c>
      <c r="B7288" t="s">
        <v>30</v>
      </c>
      <c r="C7288">
        <v>112</v>
      </c>
      <c r="D7288">
        <v>2</v>
      </c>
      <c r="E7288">
        <v>2</v>
      </c>
      <c r="F7288" t="s">
        <v>1020</v>
      </c>
      <c r="G7288" t="s">
        <v>32</v>
      </c>
      <c r="H7288" t="s">
        <v>33</v>
      </c>
      <c r="I7288" t="s">
        <v>34</v>
      </c>
      <c r="J7288" t="s">
        <v>35</v>
      </c>
      <c r="K7288" t="s">
        <v>36</v>
      </c>
      <c r="L7288" t="s">
        <v>37</v>
      </c>
      <c r="M7288">
        <v>0</v>
      </c>
      <c r="N7288">
        <v>1</v>
      </c>
      <c r="O7288">
        <v>1326</v>
      </c>
      <c r="Q7288">
        <f>231-130</f>
        <v>101</v>
      </c>
      <c r="R7288" t="s">
        <v>38</v>
      </c>
      <c r="AB7288" t="s">
        <v>86</v>
      </c>
      <c r="AC7288" t="s">
        <v>87</v>
      </c>
    </row>
    <row r="7289" spans="1:30" x14ac:dyDescent="0.35">
      <c r="A7289" s="7">
        <v>43291</v>
      </c>
      <c r="B7289" t="s">
        <v>30</v>
      </c>
      <c r="C7289">
        <v>112</v>
      </c>
      <c r="D7289">
        <v>8</v>
      </c>
      <c r="E7289">
        <v>1</v>
      </c>
      <c r="F7289" t="s">
        <v>1020</v>
      </c>
      <c r="G7289" t="s">
        <v>32</v>
      </c>
      <c r="H7289" t="s">
        <v>33</v>
      </c>
      <c r="I7289" t="s">
        <v>34</v>
      </c>
      <c r="J7289" t="s">
        <v>35</v>
      </c>
      <c r="K7289" t="s">
        <v>36</v>
      </c>
      <c r="L7289" t="s">
        <v>37</v>
      </c>
      <c r="M7289">
        <v>0</v>
      </c>
      <c r="N7289">
        <v>1</v>
      </c>
      <c r="O7289">
        <v>1335</v>
      </c>
      <c r="Q7289">
        <f>228-129</f>
        <v>99</v>
      </c>
      <c r="R7289" t="s">
        <v>64</v>
      </c>
      <c r="AB7289" t="s">
        <v>86</v>
      </c>
      <c r="AC7289" t="s">
        <v>87</v>
      </c>
    </row>
    <row r="7290" spans="1:30" x14ac:dyDescent="0.35">
      <c r="A7290" s="7">
        <v>43291</v>
      </c>
      <c r="B7290" t="s">
        <v>30</v>
      </c>
      <c r="C7290">
        <v>113</v>
      </c>
      <c r="D7290">
        <v>3</v>
      </c>
      <c r="E7290">
        <v>2</v>
      </c>
      <c r="F7290" t="s">
        <v>1020</v>
      </c>
      <c r="G7290" t="s">
        <v>32</v>
      </c>
      <c r="H7290" t="s">
        <v>33</v>
      </c>
      <c r="I7290" t="s">
        <v>34</v>
      </c>
      <c r="J7290" t="s">
        <v>35</v>
      </c>
      <c r="K7290" t="s">
        <v>36</v>
      </c>
      <c r="L7290" t="s">
        <v>37</v>
      </c>
      <c r="M7290">
        <v>0</v>
      </c>
      <c r="N7290">
        <v>1</v>
      </c>
      <c r="O7290">
        <v>1340</v>
      </c>
      <c r="Q7290">
        <f>212-128</f>
        <v>84</v>
      </c>
      <c r="R7290" t="s">
        <v>64</v>
      </c>
      <c r="AB7290" t="s">
        <v>86</v>
      </c>
      <c r="AC7290" t="s">
        <v>87</v>
      </c>
    </row>
    <row r="7291" spans="1:30" x14ac:dyDescent="0.35">
      <c r="A7291" s="7">
        <v>43291</v>
      </c>
      <c r="B7291" t="s">
        <v>30</v>
      </c>
      <c r="C7291">
        <v>113</v>
      </c>
      <c r="D7291">
        <v>7</v>
      </c>
      <c r="E7291">
        <v>1</v>
      </c>
      <c r="F7291" t="s">
        <v>1020</v>
      </c>
      <c r="G7291" t="s">
        <v>32</v>
      </c>
      <c r="H7291" t="s">
        <v>33</v>
      </c>
      <c r="I7291" t="s">
        <v>34</v>
      </c>
      <c r="J7291" t="s">
        <v>44</v>
      </c>
      <c r="K7291" t="s">
        <v>36</v>
      </c>
      <c r="L7291" t="s">
        <v>37</v>
      </c>
      <c r="M7291">
        <v>0</v>
      </c>
      <c r="N7291">
        <v>0</v>
      </c>
      <c r="O7291">
        <v>1058</v>
      </c>
      <c r="Q7291">
        <f>209-127</f>
        <v>82</v>
      </c>
      <c r="R7291" t="s">
        <v>64</v>
      </c>
      <c r="AB7291" t="s">
        <v>86</v>
      </c>
      <c r="AC7291" t="s">
        <v>87</v>
      </c>
    </row>
    <row r="7292" spans="1:30" x14ac:dyDescent="0.35">
      <c r="A7292" s="7">
        <v>43291</v>
      </c>
      <c r="B7292" t="s">
        <v>30</v>
      </c>
      <c r="C7292">
        <v>113</v>
      </c>
      <c r="D7292">
        <v>8</v>
      </c>
      <c r="E7292">
        <v>2</v>
      </c>
      <c r="F7292" t="s">
        <v>1020</v>
      </c>
      <c r="G7292" t="s">
        <v>32</v>
      </c>
      <c r="H7292" t="s">
        <v>33</v>
      </c>
      <c r="I7292" t="s">
        <v>34</v>
      </c>
      <c r="J7292" t="s">
        <v>44</v>
      </c>
      <c r="K7292" t="s">
        <v>36</v>
      </c>
      <c r="L7292" t="s">
        <v>45</v>
      </c>
      <c r="M7292">
        <v>0</v>
      </c>
      <c r="N7292">
        <v>0</v>
      </c>
      <c r="O7292">
        <v>1118</v>
      </c>
      <c r="Q7292">
        <f>218-127</f>
        <v>91</v>
      </c>
      <c r="R7292" t="s">
        <v>46</v>
      </c>
      <c r="S7292" t="s">
        <v>39</v>
      </c>
      <c r="AB7292" t="s">
        <v>86</v>
      </c>
      <c r="AC7292" t="s">
        <v>87</v>
      </c>
    </row>
    <row r="7293" spans="1:30" x14ac:dyDescent="0.35">
      <c r="A7293" s="7">
        <v>43291</v>
      </c>
      <c r="B7293" t="s">
        <v>30</v>
      </c>
      <c r="C7293">
        <v>202</v>
      </c>
      <c r="D7293">
        <v>1</v>
      </c>
      <c r="E7293">
        <v>1</v>
      </c>
      <c r="F7293" t="s">
        <v>1139</v>
      </c>
      <c r="G7293" t="s">
        <v>32</v>
      </c>
      <c r="H7293" t="s">
        <v>33</v>
      </c>
      <c r="I7293" t="s">
        <v>34</v>
      </c>
      <c r="J7293" t="s">
        <v>35</v>
      </c>
      <c r="K7293" t="s">
        <v>36</v>
      </c>
      <c r="L7293" t="s">
        <v>45</v>
      </c>
      <c r="M7293">
        <v>0</v>
      </c>
      <c r="N7293">
        <v>1</v>
      </c>
      <c r="O7293">
        <v>1278</v>
      </c>
      <c r="Q7293">
        <f>170-80</f>
        <v>90</v>
      </c>
      <c r="R7293" t="s">
        <v>46</v>
      </c>
      <c r="S7293" t="s">
        <v>39</v>
      </c>
      <c r="AB7293" t="s">
        <v>47</v>
      </c>
      <c r="AC7293" t="s">
        <v>87</v>
      </c>
    </row>
    <row r="7294" spans="1:30" x14ac:dyDescent="0.35">
      <c r="A7294" s="7">
        <v>43291</v>
      </c>
      <c r="B7294" t="s">
        <v>30</v>
      </c>
      <c r="C7294">
        <v>202</v>
      </c>
      <c r="D7294">
        <v>9</v>
      </c>
      <c r="E7294">
        <v>1</v>
      </c>
      <c r="F7294" t="s">
        <v>1139</v>
      </c>
      <c r="G7294" t="s">
        <v>32</v>
      </c>
      <c r="H7294" t="s">
        <v>33</v>
      </c>
      <c r="I7294" t="s">
        <v>34</v>
      </c>
      <c r="J7294" t="s">
        <v>44</v>
      </c>
      <c r="K7294" t="s">
        <v>36</v>
      </c>
      <c r="L7294" t="s">
        <v>37</v>
      </c>
      <c r="M7294">
        <v>0</v>
      </c>
      <c r="N7294">
        <f>0</f>
        <v>0</v>
      </c>
      <c r="O7294">
        <v>1130</v>
      </c>
      <c r="Q7294">
        <f>180-85</f>
        <v>95</v>
      </c>
      <c r="R7294" t="s">
        <v>38</v>
      </c>
      <c r="AB7294" t="s">
        <v>47</v>
      </c>
      <c r="AC7294" t="s">
        <v>87</v>
      </c>
    </row>
    <row r="7295" spans="1:30" x14ac:dyDescent="0.35">
      <c r="A7295" s="7">
        <v>43291</v>
      </c>
      <c r="B7295" t="s">
        <v>30</v>
      </c>
      <c r="C7295">
        <v>304</v>
      </c>
      <c r="D7295">
        <v>1</v>
      </c>
      <c r="E7295">
        <v>1</v>
      </c>
      <c r="F7295" t="s">
        <v>1139</v>
      </c>
      <c r="G7295" t="s">
        <v>32</v>
      </c>
      <c r="H7295" t="s">
        <v>33</v>
      </c>
      <c r="I7295" t="s">
        <v>34</v>
      </c>
      <c r="J7295" t="s">
        <v>44</v>
      </c>
      <c r="K7295" t="s">
        <v>36</v>
      </c>
      <c r="L7295" t="s">
        <v>37</v>
      </c>
      <c r="M7295">
        <v>0</v>
      </c>
      <c r="N7295">
        <v>0</v>
      </c>
      <c r="O7295">
        <v>1158</v>
      </c>
      <c r="Q7295">
        <f>170-85</f>
        <v>85</v>
      </c>
      <c r="R7295" t="s">
        <v>38</v>
      </c>
      <c r="AB7295" t="s">
        <v>47</v>
      </c>
      <c r="AC7295" t="s">
        <v>87</v>
      </c>
    </row>
    <row r="7296" spans="1:30" x14ac:dyDescent="0.35">
      <c r="A7296" s="7">
        <v>43291</v>
      </c>
      <c r="B7296" t="s">
        <v>30</v>
      </c>
      <c r="C7296">
        <v>304</v>
      </c>
      <c r="D7296">
        <v>7</v>
      </c>
      <c r="E7296">
        <v>1</v>
      </c>
      <c r="F7296" t="s">
        <v>1139</v>
      </c>
      <c r="G7296" t="s">
        <v>32</v>
      </c>
      <c r="H7296" t="s">
        <v>33</v>
      </c>
      <c r="I7296" t="s">
        <v>34</v>
      </c>
      <c r="J7296" t="s">
        <v>35</v>
      </c>
      <c r="K7296" t="s">
        <v>36</v>
      </c>
      <c r="L7296" t="s">
        <v>45</v>
      </c>
      <c r="M7296">
        <v>0</v>
      </c>
      <c r="N7296">
        <v>1</v>
      </c>
      <c r="O7296">
        <v>1199</v>
      </c>
      <c r="Q7296">
        <f>175-85</f>
        <v>90</v>
      </c>
      <c r="R7296" t="s">
        <v>46</v>
      </c>
      <c r="S7296" t="s">
        <v>39</v>
      </c>
      <c r="AB7296" t="s">
        <v>47</v>
      </c>
      <c r="AC7296" t="s">
        <v>87</v>
      </c>
    </row>
    <row r="7297" spans="1:29" x14ac:dyDescent="0.35">
      <c r="A7297" s="7">
        <v>43291</v>
      </c>
      <c r="B7297" t="s">
        <v>30</v>
      </c>
      <c r="C7297">
        <v>402</v>
      </c>
      <c r="D7297">
        <v>3</v>
      </c>
      <c r="E7297">
        <v>1</v>
      </c>
      <c r="F7297" t="s">
        <v>1020</v>
      </c>
      <c r="G7297" t="s">
        <v>32</v>
      </c>
      <c r="H7297" t="s">
        <v>33</v>
      </c>
      <c r="I7297" t="s">
        <v>34</v>
      </c>
      <c r="J7297" t="s">
        <v>44</v>
      </c>
      <c r="K7297" t="s">
        <v>36</v>
      </c>
      <c r="L7297" t="s">
        <v>45</v>
      </c>
      <c r="M7297">
        <v>0</v>
      </c>
      <c r="N7297">
        <v>0</v>
      </c>
      <c r="O7297">
        <v>1309</v>
      </c>
      <c r="Q7297">
        <f>208-127</f>
        <v>81</v>
      </c>
      <c r="R7297" t="s">
        <v>46</v>
      </c>
      <c r="S7297" t="s">
        <v>39</v>
      </c>
      <c r="AB7297" t="s">
        <v>86</v>
      </c>
      <c r="AC7297" t="s">
        <v>87</v>
      </c>
    </row>
    <row r="7298" spans="1:29" x14ac:dyDescent="0.35">
      <c r="A7298" s="7">
        <v>43291</v>
      </c>
      <c r="B7298" t="s">
        <v>30</v>
      </c>
      <c r="C7298">
        <v>402</v>
      </c>
      <c r="D7298">
        <v>10</v>
      </c>
      <c r="E7298">
        <v>1</v>
      </c>
      <c r="F7298" t="s">
        <v>1020</v>
      </c>
      <c r="G7298" t="s">
        <v>32</v>
      </c>
      <c r="H7298" t="s">
        <v>33</v>
      </c>
      <c r="I7298" t="s">
        <v>34</v>
      </c>
      <c r="J7298" t="s">
        <v>44</v>
      </c>
      <c r="K7298" t="s">
        <v>36</v>
      </c>
      <c r="L7298" t="s">
        <v>45</v>
      </c>
      <c r="M7298">
        <v>0</v>
      </c>
      <c r="N7298">
        <v>0</v>
      </c>
      <c r="O7298">
        <v>2854</v>
      </c>
      <c r="Q7298">
        <f>223-128</f>
        <v>95</v>
      </c>
      <c r="R7298" t="s">
        <v>46</v>
      </c>
      <c r="S7298" t="s">
        <v>39</v>
      </c>
      <c r="AB7298" t="s">
        <v>86</v>
      </c>
      <c r="AC7298" t="s">
        <v>87</v>
      </c>
    </row>
    <row r="7299" spans="1:29" x14ac:dyDescent="0.35">
      <c r="A7299" s="7">
        <v>43291</v>
      </c>
      <c r="B7299" t="s">
        <v>30</v>
      </c>
      <c r="C7299">
        <v>201</v>
      </c>
      <c r="D7299">
        <v>7</v>
      </c>
      <c r="E7299">
        <v>1</v>
      </c>
      <c r="F7299" t="s">
        <v>1139</v>
      </c>
      <c r="G7299" t="s">
        <v>32</v>
      </c>
      <c r="H7299" t="s">
        <v>33</v>
      </c>
      <c r="I7299" t="s">
        <v>58</v>
      </c>
      <c r="J7299" t="s">
        <v>35</v>
      </c>
      <c r="K7299" t="s">
        <v>36</v>
      </c>
      <c r="L7299" t="s">
        <v>37</v>
      </c>
      <c r="M7299">
        <v>0</v>
      </c>
      <c r="N7299">
        <v>1</v>
      </c>
      <c r="O7299">
        <v>1191</v>
      </c>
      <c r="Q7299">
        <f>34-15</f>
        <v>19</v>
      </c>
      <c r="R7299" t="s">
        <v>38</v>
      </c>
      <c r="AB7299" t="s">
        <v>47</v>
      </c>
      <c r="AC7299" t="s">
        <v>87</v>
      </c>
    </row>
    <row r="7300" spans="1:29" x14ac:dyDescent="0.35">
      <c r="A7300" s="7">
        <v>43291</v>
      </c>
      <c r="B7300" t="s">
        <v>30</v>
      </c>
      <c r="C7300">
        <v>111</v>
      </c>
      <c r="D7300">
        <v>10</v>
      </c>
      <c r="E7300">
        <v>2</v>
      </c>
      <c r="F7300" t="s">
        <v>1020</v>
      </c>
      <c r="G7300" t="s">
        <v>32</v>
      </c>
      <c r="H7300" t="s">
        <v>33</v>
      </c>
      <c r="I7300" t="s">
        <v>1029</v>
      </c>
      <c r="J7300" t="s">
        <v>56</v>
      </c>
      <c r="AB7300" t="s">
        <v>86</v>
      </c>
      <c r="AC7300" t="s">
        <v>87</v>
      </c>
    </row>
    <row r="7301" spans="1:29" x14ac:dyDescent="0.35">
      <c r="A7301" s="7">
        <v>43291</v>
      </c>
      <c r="B7301" t="s">
        <v>30</v>
      </c>
      <c r="C7301">
        <v>112</v>
      </c>
      <c r="D7301">
        <v>7</v>
      </c>
      <c r="E7301">
        <v>1</v>
      </c>
      <c r="F7301" t="s">
        <v>1020</v>
      </c>
      <c r="G7301" t="s">
        <v>32</v>
      </c>
      <c r="H7301" t="s">
        <v>33</v>
      </c>
      <c r="I7301" t="s">
        <v>1029</v>
      </c>
      <c r="J7301" t="s">
        <v>56</v>
      </c>
      <c r="AB7301" t="s">
        <v>86</v>
      </c>
      <c r="AC7301" t="s">
        <v>87</v>
      </c>
    </row>
    <row r="7302" spans="1:29" x14ac:dyDescent="0.35">
      <c r="A7302" s="7">
        <v>43291</v>
      </c>
      <c r="B7302" t="s">
        <v>30</v>
      </c>
      <c r="C7302">
        <v>113</v>
      </c>
      <c r="D7302">
        <v>1</v>
      </c>
      <c r="E7302">
        <v>1</v>
      </c>
      <c r="F7302" t="s">
        <v>1020</v>
      </c>
      <c r="G7302" t="s">
        <v>32</v>
      </c>
      <c r="H7302" t="s">
        <v>33</v>
      </c>
      <c r="I7302" t="s">
        <v>1029</v>
      </c>
      <c r="J7302" t="s">
        <v>66</v>
      </c>
      <c r="AB7302" t="s">
        <v>86</v>
      </c>
      <c r="AC7302" t="s">
        <v>87</v>
      </c>
    </row>
    <row r="7303" spans="1:29" x14ac:dyDescent="0.35">
      <c r="A7303" s="7">
        <v>43291</v>
      </c>
      <c r="B7303" t="s">
        <v>30</v>
      </c>
      <c r="C7303">
        <v>111</v>
      </c>
      <c r="D7303">
        <v>6</v>
      </c>
      <c r="E7303">
        <v>1</v>
      </c>
      <c r="F7303" t="s">
        <v>1020</v>
      </c>
      <c r="G7303" t="s">
        <v>32</v>
      </c>
      <c r="H7303" t="s">
        <v>33</v>
      </c>
      <c r="I7303" t="s">
        <v>72</v>
      </c>
      <c r="J7303" t="s">
        <v>56</v>
      </c>
      <c r="AB7303" t="s">
        <v>86</v>
      </c>
      <c r="AC7303" t="s">
        <v>87</v>
      </c>
    </row>
    <row r="7304" spans="1:29" x14ac:dyDescent="0.35">
      <c r="A7304" s="7">
        <v>43291</v>
      </c>
      <c r="B7304" t="s">
        <v>30</v>
      </c>
      <c r="C7304">
        <v>111</v>
      </c>
      <c r="D7304">
        <v>9</v>
      </c>
      <c r="E7304">
        <v>1</v>
      </c>
      <c r="F7304" t="s">
        <v>1020</v>
      </c>
      <c r="G7304" t="s">
        <v>32</v>
      </c>
      <c r="H7304" t="s">
        <v>33</v>
      </c>
      <c r="I7304" t="s">
        <v>72</v>
      </c>
      <c r="J7304" t="s">
        <v>66</v>
      </c>
      <c r="AB7304" t="s">
        <v>86</v>
      </c>
      <c r="AC7304" t="s">
        <v>87</v>
      </c>
    </row>
    <row r="7305" spans="1:29" x14ac:dyDescent="0.35">
      <c r="A7305" s="7">
        <v>43291</v>
      </c>
      <c r="B7305" t="s">
        <v>30</v>
      </c>
      <c r="C7305">
        <v>111</v>
      </c>
      <c r="D7305">
        <v>10</v>
      </c>
      <c r="E7305">
        <v>1</v>
      </c>
      <c r="F7305" t="s">
        <v>1020</v>
      </c>
      <c r="G7305" t="s">
        <v>32</v>
      </c>
      <c r="H7305" t="s">
        <v>33</v>
      </c>
      <c r="I7305" t="s">
        <v>72</v>
      </c>
      <c r="J7305" t="s">
        <v>56</v>
      </c>
      <c r="AB7305" t="s">
        <v>86</v>
      </c>
      <c r="AC7305" t="s">
        <v>87</v>
      </c>
    </row>
    <row r="7306" spans="1:29" x14ac:dyDescent="0.35">
      <c r="A7306" s="7">
        <v>43291</v>
      </c>
      <c r="B7306" t="s">
        <v>30</v>
      </c>
      <c r="C7306">
        <v>113</v>
      </c>
      <c r="D7306">
        <v>2</v>
      </c>
      <c r="E7306">
        <v>1</v>
      </c>
      <c r="F7306" t="s">
        <v>1020</v>
      </c>
      <c r="G7306" t="s">
        <v>32</v>
      </c>
      <c r="H7306" t="s">
        <v>33</v>
      </c>
      <c r="I7306" t="s">
        <v>72</v>
      </c>
      <c r="J7306" t="s">
        <v>56</v>
      </c>
      <c r="AB7306" t="s">
        <v>86</v>
      </c>
      <c r="AC7306" t="s">
        <v>87</v>
      </c>
    </row>
    <row r="7307" spans="1:29" x14ac:dyDescent="0.35">
      <c r="A7307" s="7">
        <v>43291</v>
      </c>
      <c r="B7307" t="s">
        <v>30</v>
      </c>
      <c r="C7307">
        <v>113</v>
      </c>
      <c r="D7307">
        <v>3</v>
      </c>
      <c r="E7307">
        <v>1</v>
      </c>
      <c r="F7307" t="s">
        <v>1020</v>
      </c>
      <c r="G7307" t="s">
        <v>32</v>
      </c>
      <c r="H7307" t="s">
        <v>33</v>
      </c>
      <c r="I7307" t="s">
        <v>72</v>
      </c>
      <c r="J7307" t="s">
        <v>56</v>
      </c>
      <c r="AB7307" t="s">
        <v>86</v>
      </c>
      <c r="AC7307" t="s">
        <v>87</v>
      </c>
    </row>
    <row r="7308" spans="1:29" x14ac:dyDescent="0.35">
      <c r="A7308" s="7">
        <v>43291</v>
      </c>
      <c r="B7308" t="s">
        <v>30</v>
      </c>
      <c r="C7308">
        <v>113</v>
      </c>
      <c r="D7308">
        <v>4</v>
      </c>
      <c r="E7308">
        <v>1</v>
      </c>
      <c r="F7308" t="s">
        <v>1020</v>
      </c>
      <c r="G7308" t="s">
        <v>32</v>
      </c>
      <c r="H7308" t="s">
        <v>33</v>
      </c>
      <c r="I7308" t="s">
        <v>72</v>
      </c>
      <c r="J7308" t="s">
        <v>66</v>
      </c>
      <c r="AB7308" t="s">
        <v>86</v>
      </c>
      <c r="AC7308" t="s">
        <v>87</v>
      </c>
    </row>
    <row r="7309" spans="1:29" x14ac:dyDescent="0.35">
      <c r="A7309" s="7">
        <v>43291</v>
      </c>
      <c r="B7309" t="s">
        <v>30</v>
      </c>
      <c r="C7309">
        <v>113</v>
      </c>
      <c r="D7309">
        <v>6</v>
      </c>
      <c r="E7309">
        <v>1</v>
      </c>
      <c r="F7309" t="s">
        <v>1020</v>
      </c>
      <c r="G7309" t="s">
        <v>32</v>
      </c>
      <c r="H7309" t="s">
        <v>33</v>
      </c>
      <c r="I7309" t="s">
        <v>72</v>
      </c>
      <c r="J7309" t="s">
        <v>56</v>
      </c>
      <c r="AB7309" t="s">
        <v>86</v>
      </c>
      <c r="AC7309" t="s">
        <v>87</v>
      </c>
    </row>
    <row r="7310" spans="1:29" x14ac:dyDescent="0.35">
      <c r="A7310" s="7">
        <v>43291</v>
      </c>
      <c r="B7310" t="s">
        <v>30</v>
      </c>
      <c r="C7310">
        <v>113</v>
      </c>
      <c r="D7310">
        <v>9</v>
      </c>
      <c r="E7310">
        <v>2</v>
      </c>
      <c r="F7310" t="s">
        <v>1020</v>
      </c>
      <c r="G7310" t="s">
        <v>32</v>
      </c>
      <c r="H7310" t="s">
        <v>33</v>
      </c>
      <c r="I7310" t="s">
        <v>72</v>
      </c>
      <c r="J7310" t="s">
        <v>56</v>
      </c>
      <c r="AB7310" t="s">
        <v>86</v>
      </c>
      <c r="AC7310" t="s">
        <v>87</v>
      </c>
    </row>
    <row r="7311" spans="1:29" x14ac:dyDescent="0.35">
      <c r="A7311" s="7">
        <v>43291</v>
      </c>
      <c r="B7311" t="s">
        <v>30</v>
      </c>
      <c r="C7311">
        <v>202</v>
      </c>
      <c r="D7311">
        <v>5</v>
      </c>
      <c r="E7311">
        <v>1</v>
      </c>
      <c r="F7311" t="s">
        <v>1139</v>
      </c>
      <c r="G7311" t="s">
        <v>32</v>
      </c>
      <c r="H7311" t="s">
        <v>33</v>
      </c>
      <c r="I7311" t="s">
        <v>72</v>
      </c>
      <c r="J7311" t="s">
        <v>56</v>
      </c>
      <c r="AB7311" t="s">
        <v>47</v>
      </c>
      <c r="AC7311" t="s">
        <v>87</v>
      </c>
    </row>
    <row r="7312" spans="1:29" x14ac:dyDescent="0.35">
      <c r="A7312" s="7">
        <v>43291</v>
      </c>
      <c r="B7312" t="s">
        <v>30</v>
      </c>
      <c r="C7312">
        <v>203</v>
      </c>
      <c r="D7312">
        <v>1</v>
      </c>
      <c r="E7312">
        <v>1</v>
      </c>
      <c r="F7312" t="s">
        <v>1139</v>
      </c>
      <c r="G7312" t="s">
        <v>32</v>
      </c>
      <c r="H7312" t="s">
        <v>33</v>
      </c>
      <c r="I7312" t="s">
        <v>72</v>
      </c>
      <c r="J7312" t="s">
        <v>56</v>
      </c>
      <c r="AB7312" t="s">
        <v>47</v>
      </c>
      <c r="AC7312" t="s">
        <v>87</v>
      </c>
    </row>
    <row r="7313" spans="1:29" x14ac:dyDescent="0.35">
      <c r="A7313" s="7">
        <v>43291</v>
      </c>
      <c r="B7313" t="s">
        <v>30</v>
      </c>
      <c r="C7313">
        <v>203</v>
      </c>
      <c r="D7313">
        <v>5</v>
      </c>
      <c r="E7313">
        <v>2</v>
      </c>
      <c r="F7313" t="s">
        <v>1139</v>
      </c>
      <c r="G7313" t="s">
        <v>32</v>
      </c>
      <c r="H7313" t="s">
        <v>33</v>
      </c>
      <c r="I7313" t="s">
        <v>72</v>
      </c>
      <c r="J7313" t="s">
        <v>56</v>
      </c>
      <c r="AB7313" t="s">
        <v>47</v>
      </c>
      <c r="AC7313" t="s">
        <v>87</v>
      </c>
    </row>
    <row r="7314" spans="1:29" x14ac:dyDescent="0.35">
      <c r="A7314" s="7">
        <v>43291</v>
      </c>
      <c r="B7314" t="s">
        <v>30</v>
      </c>
      <c r="C7314">
        <v>203</v>
      </c>
      <c r="D7314">
        <v>6</v>
      </c>
      <c r="E7314">
        <v>1</v>
      </c>
      <c r="F7314" t="s">
        <v>1139</v>
      </c>
      <c r="G7314" t="s">
        <v>32</v>
      </c>
      <c r="H7314" t="s">
        <v>33</v>
      </c>
      <c r="I7314" t="s">
        <v>72</v>
      </c>
      <c r="J7314" t="s">
        <v>56</v>
      </c>
      <c r="AB7314" t="s">
        <v>47</v>
      </c>
      <c r="AC7314" t="s">
        <v>87</v>
      </c>
    </row>
    <row r="7315" spans="1:29" x14ac:dyDescent="0.35">
      <c r="A7315" s="7">
        <v>43291</v>
      </c>
      <c r="B7315" t="s">
        <v>30</v>
      </c>
      <c r="C7315">
        <v>304</v>
      </c>
      <c r="D7315">
        <v>2</v>
      </c>
      <c r="E7315">
        <v>1</v>
      </c>
      <c r="F7315" t="s">
        <v>1139</v>
      </c>
      <c r="G7315" t="s">
        <v>32</v>
      </c>
      <c r="H7315" t="s">
        <v>33</v>
      </c>
      <c r="I7315" t="s">
        <v>72</v>
      </c>
      <c r="J7315" t="s">
        <v>56</v>
      </c>
      <c r="AB7315" t="s">
        <v>47</v>
      </c>
      <c r="AC7315" t="s">
        <v>87</v>
      </c>
    </row>
    <row r="7316" spans="1:29" x14ac:dyDescent="0.35">
      <c r="A7316" s="7">
        <v>43291</v>
      </c>
      <c r="B7316" t="s">
        <v>30</v>
      </c>
      <c r="C7316">
        <v>304</v>
      </c>
      <c r="D7316">
        <v>6</v>
      </c>
      <c r="E7316">
        <v>1</v>
      </c>
      <c r="F7316" t="s">
        <v>1139</v>
      </c>
      <c r="G7316" t="s">
        <v>32</v>
      </c>
      <c r="H7316" t="s">
        <v>33</v>
      </c>
      <c r="I7316" t="s">
        <v>72</v>
      </c>
      <c r="J7316" t="s">
        <v>56</v>
      </c>
      <c r="AB7316" t="s">
        <v>47</v>
      </c>
      <c r="AC7316" t="s">
        <v>87</v>
      </c>
    </row>
    <row r="7317" spans="1:29" x14ac:dyDescent="0.35">
      <c r="A7317" s="7">
        <v>43291</v>
      </c>
      <c r="B7317" t="s">
        <v>30</v>
      </c>
      <c r="C7317">
        <v>304</v>
      </c>
      <c r="D7317">
        <v>9</v>
      </c>
      <c r="E7317">
        <v>1</v>
      </c>
      <c r="F7317" t="s">
        <v>1139</v>
      </c>
      <c r="G7317" t="s">
        <v>32</v>
      </c>
      <c r="H7317" t="s">
        <v>33</v>
      </c>
      <c r="I7317" t="s">
        <v>72</v>
      </c>
      <c r="J7317" t="s">
        <v>56</v>
      </c>
      <c r="AB7317" t="s">
        <v>47</v>
      </c>
      <c r="AC7317" t="s">
        <v>87</v>
      </c>
    </row>
    <row r="7318" spans="1:29" x14ac:dyDescent="0.35">
      <c r="A7318" s="7">
        <v>43291</v>
      </c>
      <c r="B7318" t="s">
        <v>30</v>
      </c>
      <c r="C7318">
        <v>402</v>
      </c>
      <c r="D7318">
        <v>9</v>
      </c>
      <c r="E7318">
        <v>1</v>
      </c>
      <c r="F7318" t="s">
        <v>1020</v>
      </c>
      <c r="G7318" t="s">
        <v>32</v>
      </c>
      <c r="H7318" t="s">
        <v>33</v>
      </c>
      <c r="I7318" t="s">
        <v>72</v>
      </c>
      <c r="J7318" t="s">
        <v>56</v>
      </c>
      <c r="AB7318" t="s">
        <v>86</v>
      </c>
      <c r="AC7318" t="s">
        <v>87</v>
      </c>
    </row>
    <row r="7319" spans="1:29" x14ac:dyDescent="0.35">
      <c r="A7319" s="7">
        <v>43291</v>
      </c>
      <c r="B7319" t="s">
        <v>30</v>
      </c>
      <c r="C7319">
        <v>201</v>
      </c>
      <c r="D7319">
        <v>2</v>
      </c>
      <c r="E7319">
        <v>1</v>
      </c>
      <c r="F7319" t="s">
        <v>1139</v>
      </c>
      <c r="G7319" t="s">
        <v>32</v>
      </c>
      <c r="H7319" t="s">
        <v>33</v>
      </c>
      <c r="I7319" t="s">
        <v>84</v>
      </c>
      <c r="AB7319" t="s">
        <v>47</v>
      </c>
      <c r="AC7319" t="s">
        <v>87</v>
      </c>
    </row>
    <row r="7320" spans="1:29" x14ac:dyDescent="0.35">
      <c r="A7320" s="7">
        <v>43291</v>
      </c>
      <c r="B7320" t="s">
        <v>30</v>
      </c>
      <c r="C7320">
        <v>203</v>
      </c>
      <c r="D7320">
        <v>2</v>
      </c>
      <c r="E7320">
        <v>1</v>
      </c>
      <c r="F7320" t="s">
        <v>1139</v>
      </c>
      <c r="G7320" t="s">
        <v>32</v>
      </c>
      <c r="H7320" t="s">
        <v>33</v>
      </c>
      <c r="I7320" t="s">
        <v>84</v>
      </c>
      <c r="AB7320" t="s">
        <v>47</v>
      </c>
      <c r="AC7320" t="s">
        <v>87</v>
      </c>
    </row>
    <row r="7321" spans="1:29" x14ac:dyDescent="0.35">
      <c r="A7321" s="7">
        <v>43291</v>
      </c>
      <c r="B7321" t="s">
        <v>30</v>
      </c>
      <c r="C7321">
        <v>402</v>
      </c>
      <c r="D7321">
        <v>5</v>
      </c>
      <c r="E7321">
        <v>1</v>
      </c>
      <c r="F7321" t="s">
        <v>1020</v>
      </c>
      <c r="G7321" t="s">
        <v>32</v>
      </c>
      <c r="H7321" t="s">
        <v>33</v>
      </c>
      <c r="I7321" t="s">
        <v>84</v>
      </c>
      <c r="AB7321" t="s">
        <v>86</v>
      </c>
      <c r="AC7321" t="s">
        <v>87</v>
      </c>
    </row>
    <row r="7322" spans="1:29" x14ac:dyDescent="0.35">
      <c r="A7322" s="7">
        <v>43291</v>
      </c>
      <c r="B7322" t="s">
        <v>30</v>
      </c>
      <c r="C7322">
        <v>111</v>
      </c>
      <c r="D7322">
        <v>2</v>
      </c>
      <c r="E7322">
        <v>1</v>
      </c>
      <c r="F7322" t="s">
        <v>1020</v>
      </c>
      <c r="G7322" t="s">
        <v>32</v>
      </c>
      <c r="H7322" t="s">
        <v>33</v>
      </c>
      <c r="I7322" t="s">
        <v>59</v>
      </c>
      <c r="AB7322" t="s">
        <v>86</v>
      </c>
      <c r="AC7322" t="s">
        <v>87</v>
      </c>
    </row>
    <row r="7323" spans="1:29" x14ac:dyDescent="0.35">
      <c r="A7323" s="7">
        <v>43291</v>
      </c>
      <c r="B7323" t="s">
        <v>30</v>
      </c>
      <c r="C7323">
        <v>111</v>
      </c>
      <c r="D7323">
        <v>9</v>
      </c>
      <c r="E7323">
        <v>2</v>
      </c>
      <c r="F7323" t="s">
        <v>1020</v>
      </c>
      <c r="G7323" t="s">
        <v>32</v>
      </c>
      <c r="H7323" t="s">
        <v>33</v>
      </c>
      <c r="I7323" t="s">
        <v>59</v>
      </c>
      <c r="AB7323" t="s">
        <v>86</v>
      </c>
      <c r="AC7323" t="s">
        <v>87</v>
      </c>
    </row>
    <row r="7324" spans="1:29" x14ac:dyDescent="0.35">
      <c r="A7324" s="7">
        <v>43291</v>
      </c>
      <c r="B7324" t="s">
        <v>30</v>
      </c>
      <c r="C7324">
        <v>112</v>
      </c>
      <c r="D7324">
        <v>6</v>
      </c>
      <c r="E7324">
        <v>1</v>
      </c>
      <c r="F7324" t="s">
        <v>1020</v>
      </c>
      <c r="G7324" t="s">
        <v>32</v>
      </c>
      <c r="H7324" t="s">
        <v>33</v>
      </c>
      <c r="I7324" t="s">
        <v>59</v>
      </c>
      <c r="AB7324" t="s">
        <v>86</v>
      </c>
      <c r="AC7324" t="s">
        <v>87</v>
      </c>
    </row>
    <row r="7325" spans="1:29" x14ac:dyDescent="0.35">
      <c r="A7325" s="7">
        <v>43291</v>
      </c>
      <c r="B7325" t="s">
        <v>30</v>
      </c>
      <c r="C7325">
        <v>112</v>
      </c>
      <c r="D7325">
        <v>6</v>
      </c>
      <c r="E7325">
        <v>2</v>
      </c>
      <c r="F7325" t="s">
        <v>1020</v>
      </c>
      <c r="G7325" t="s">
        <v>32</v>
      </c>
      <c r="H7325" t="s">
        <v>33</v>
      </c>
      <c r="I7325" t="s">
        <v>59</v>
      </c>
      <c r="AB7325" t="s">
        <v>86</v>
      </c>
      <c r="AC7325" t="s">
        <v>87</v>
      </c>
    </row>
    <row r="7326" spans="1:29" x14ac:dyDescent="0.35">
      <c r="A7326" s="7">
        <v>43291</v>
      </c>
      <c r="B7326" t="s">
        <v>30</v>
      </c>
      <c r="C7326">
        <v>112</v>
      </c>
      <c r="D7326">
        <v>9</v>
      </c>
      <c r="E7326">
        <v>1</v>
      </c>
      <c r="F7326" t="s">
        <v>1020</v>
      </c>
      <c r="G7326" t="s">
        <v>32</v>
      </c>
      <c r="H7326" t="s">
        <v>33</v>
      </c>
      <c r="I7326" t="s">
        <v>59</v>
      </c>
      <c r="AB7326" t="s">
        <v>86</v>
      </c>
      <c r="AC7326" t="s">
        <v>87</v>
      </c>
    </row>
    <row r="7327" spans="1:29" x14ac:dyDescent="0.35">
      <c r="A7327" s="7">
        <v>43291</v>
      </c>
      <c r="B7327" t="s">
        <v>30</v>
      </c>
      <c r="C7327">
        <v>112</v>
      </c>
      <c r="D7327">
        <v>10</v>
      </c>
      <c r="E7327">
        <v>1</v>
      </c>
      <c r="F7327" t="s">
        <v>1020</v>
      </c>
      <c r="G7327" t="s">
        <v>32</v>
      </c>
      <c r="H7327" t="s">
        <v>33</v>
      </c>
      <c r="I7327" t="s">
        <v>59</v>
      </c>
      <c r="AB7327" t="s">
        <v>86</v>
      </c>
      <c r="AC7327" t="s">
        <v>87</v>
      </c>
    </row>
    <row r="7328" spans="1:29" x14ac:dyDescent="0.35">
      <c r="A7328" s="7">
        <v>43291</v>
      </c>
      <c r="B7328" t="s">
        <v>30</v>
      </c>
      <c r="C7328">
        <v>113</v>
      </c>
      <c r="D7328">
        <v>5</v>
      </c>
      <c r="E7328">
        <v>1</v>
      </c>
      <c r="F7328" t="s">
        <v>1020</v>
      </c>
      <c r="G7328" t="s">
        <v>32</v>
      </c>
      <c r="H7328" t="s">
        <v>33</v>
      </c>
      <c r="I7328" t="s">
        <v>59</v>
      </c>
      <c r="AB7328" t="s">
        <v>86</v>
      </c>
      <c r="AC7328" t="s">
        <v>87</v>
      </c>
    </row>
    <row r="7329" spans="1:29" x14ac:dyDescent="0.35">
      <c r="A7329" s="7">
        <v>43291</v>
      </c>
      <c r="B7329" t="s">
        <v>30</v>
      </c>
      <c r="C7329">
        <v>113</v>
      </c>
      <c r="D7329">
        <v>6</v>
      </c>
      <c r="E7329">
        <v>2</v>
      </c>
      <c r="F7329" t="s">
        <v>1020</v>
      </c>
      <c r="G7329" t="s">
        <v>32</v>
      </c>
      <c r="H7329" t="s">
        <v>33</v>
      </c>
      <c r="I7329" t="s">
        <v>59</v>
      </c>
      <c r="AB7329" t="s">
        <v>86</v>
      </c>
      <c r="AC7329" t="s">
        <v>87</v>
      </c>
    </row>
    <row r="7330" spans="1:29" x14ac:dyDescent="0.35">
      <c r="A7330" s="7">
        <v>43291</v>
      </c>
      <c r="B7330" t="s">
        <v>30</v>
      </c>
      <c r="C7330">
        <v>113</v>
      </c>
      <c r="D7330">
        <v>8</v>
      </c>
      <c r="E7330">
        <v>1</v>
      </c>
      <c r="F7330" t="s">
        <v>1020</v>
      </c>
      <c r="G7330" t="s">
        <v>32</v>
      </c>
      <c r="H7330" t="s">
        <v>33</v>
      </c>
      <c r="I7330" t="s">
        <v>59</v>
      </c>
      <c r="AB7330" t="s">
        <v>86</v>
      </c>
      <c r="AC7330" t="s">
        <v>87</v>
      </c>
    </row>
    <row r="7331" spans="1:29" x14ac:dyDescent="0.35">
      <c r="A7331" s="7">
        <v>43291</v>
      </c>
      <c r="B7331" t="s">
        <v>30</v>
      </c>
      <c r="C7331">
        <v>113</v>
      </c>
      <c r="D7331">
        <v>9</v>
      </c>
      <c r="E7331">
        <v>1</v>
      </c>
      <c r="F7331" t="s">
        <v>1020</v>
      </c>
      <c r="G7331" t="s">
        <v>32</v>
      </c>
      <c r="H7331" t="s">
        <v>33</v>
      </c>
      <c r="I7331" t="s">
        <v>59</v>
      </c>
      <c r="AB7331" t="s">
        <v>86</v>
      </c>
      <c r="AC7331" t="s">
        <v>87</v>
      </c>
    </row>
    <row r="7332" spans="1:29" x14ac:dyDescent="0.35">
      <c r="A7332" s="7">
        <v>43291</v>
      </c>
      <c r="B7332" t="s">
        <v>30</v>
      </c>
      <c r="C7332">
        <v>201</v>
      </c>
      <c r="D7332">
        <v>1</v>
      </c>
      <c r="E7332">
        <v>1</v>
      </c>
      <c r="F7332" t="s">
        <v>1139</v>
      </c>
      <c r="G7332" t="s">
        <v>32</v>
      </c>
      <c r="H7332" t="s">
        <v>33</v>
      </c>
      <c r="I7332" t="s">
        <v>59</v>
      </c>
      <c r="AB7332" t="s">
        <v>47</v>
      </c>
      <c r="AC7332" t="s">
        <v>87</v>
      </c>
    </row>
    <row r="7333" spans="1:29" x14ac:dyDescent="0.35">
      <c r="A7333" s="7">
        <v>43291</v>
      </c>
      <c r="B7333" t="s">
        <v>30</v>
      </c>
      <c r="C7333">
        <v>201</v>
      </c>
      <c r="D7333">
        <v>4</v>
      </c>
      <c r="E7333">
        <v>1</v>
      </c>
      <c r="F7333" t="s">
        <v>1139</v>
      </c>
      <c r="G7333" t="s">
        <v>32</v>
      </c>
      <c r="H7333" t="s">
        <v>33</v>
      </c>
      <c r="I7333" t="s">
        <v>59</v>
      </c>
      <c r="AB7333" t="s">
        <v>47</v>
      </c>
      <c r="AC7333" t="s">
        <v>87</v>
      </c>
    </row>
    <row r="7334" spans="1:29" x14ac:dyDescent="0.35">
      <c r="A7334" s="7">
        <v>43291</v>
      </c>
      <c r="B7334" t="s">
        <v>30</v>
      </c>
      <c r="C7334">
        <v>201</v>
      </c>
      <c r="D7334">
        <v>5</v>
      </c>
      <c r="E7334">
        <v>1</v>
      </c>
      <c r="F7334" t="s">
        <v>1139</v>
      </c>
      <c r="G7334" t="s">
        <v>32</v>
      </c>
      <c r="H7334" t="s">
        <v>33</v>
      </c>
      <c r="I7334" t="s">
        <v>59</v>
      </c>
      <c r="AB7334" t="s">
        <v>47</v>
      </c>
      <c r="AC7334" t="s">
        <v>87</v>
      </c>
    </row>
    <row r="7335" spans="1:29" x14ac:dyDescent="0.35">
      <c r="A7335" s="7">
        <v>43291</v>
      </c>
      <c r="B7335" t="s">
        <v>30</v>
      </c>
      <c r="C7335">
        <v>201</v>
      </c>
      <c r="D7335">
        <v>6</v>
      </c>
      <c r="E7335">
        <v>1</v>
      </c>
      <c r="F7335" t="s">
        <v>1139</v>
      </c>
      <c r="G7335" t="s">
        <v>32</v>
      </c>
      <c r="H7335" t="s">
        <v>33</v>
      </c>
      <c r="I7335" t="s">
        <v>59</v>
      </c>
      <c r="AB7335" t="s">
        <v>47</v>
      </c>
      <c r="AC7335" t="s">
        <v>87</v>
      </c>
    </row>
    <row r="7336" spans="1:29" x14ac:dyDescent="0.35">
      <c r="A7336" s="7">
        <v>43291</v>
      </c>
      <c r="B7336" t="s">
        <v>30</v>
      </c>
      <c r="C7336">
        <v>201</v>
      </c>
      <c r="D7336">
        <v>6</v>
      </c>
      <c r="E7336">
        <v>2</v>
      </c>
      <c r="F7336" t="s">
        <v>1139</v>
      </c>
      <c r="G7336" t="s">
        <v>32</v>
      </c>
      <c r="H7336" t="s">
        <v>33</v>
      </c>
      <c r="I7336" t="s">
        <v>59</v>
      </c>
      <c r="AB7336" t="s">
        <v>47</v>
      </c>
      <c r="AC7336" t="s">
        <v>87</v>
      </c>
    </row>
    <row r="7337" spans="1:29" x14ac:dyDescent="0.35">
      <c r="A7337" s="7">
        <v>43291</v>
      </c>
      <c r="B7337" t="s">
        <v>30</v>
      </c>
      <c r="C7337">
        <v>201</v>
      </c>
      <c r="D7337">
        <v>7</v>
      </c>
      <c r="E7337">
        <v>2</v>
      </c>
      <c r="F7337" t="s">
        <v>1139</v>
      </c>
      <c r="G7337" t="s">
        <v>32</v>
      </c>
      <c r="H7337" t="s">
        <v>33</v>
      </c>
      <c r="I7337" t="s">
        <v>59</v>
      </c>
      <c r="AB7337" t="s">
        <v>47</v>
      </c>
      <c r="AC7337" t="s">
        <v>87</v>
      </c>
    </row>
    <row r="7338" spans="1:29" x14ac:dyDescent="0.35">
      <c r="A7338" s="7">
        <v>43291</v>
      </c>
      <c r="B7338" t="s">
        <v>30</v>
      </c>
      <c r="C7338">
        <v>201</v>
      </c>
      <c r="D7338">
        <v>8</v>
      </c>
      <c r="E7338">
        <v>1</v>
      </c>
      <c r="F7338" t="s">
        <v>1139</v>
      </c>
      <c r="G7338" t="s">
        <v>32</v>
      </c>
      <c r="H7338" t="s">
        <v>33</v>
      </c>
      <c r="I7338" t="s">
        <v>59</v>
      </c>
      <c r="AB7338" t="s">
        <v>47</v>
      </c>
      <c r="AC7338" t="s">
        <v>87</v>
      </c>
    </row>
    <row r="7339" spans="1:29" x14ac:dyDescent="0.35">
      <c r="A7339" s="7">
        <v>43291</v>
      </c>
      <c r="B7339" t="s">
        <v>30</v>
      </c>
      <c r="C7339">
        <v>201</v>
      </c>
      <c r="D7339">
        <v>9</v>
      </c>
      <c r="E7339">
        <v>1</v>
      </c>
      <c r="F7339" t="s">
        <v>1139</v>
      </c>
      <c r="G7339" t="s">
        <v>32</v>
      </c>
      <c r="H7339" t="s">
        <v>33</v>
      </c>
      <c r="I7339" t="s">
        <v>59</v>
      </c>
      <c r="AB7339" t="s">
        <v>47</v>
      </c>
      <c r="AC7339" t="s">
        <v>87</v>
      </c>
    </row>
    <row r="7340" spans="1:29" x14ac:dyDescent="0.35">
      <c r="A7340" s="7">
        <v>43291</v>
      </c>
      <c r="B7340" t="s">
        <v>30</v>
      </c>
      <c r="C7340">
        <v>201</v>
      </c>
      <c r="D7340">
        <v>9</v>
      </c>
      <c r="E7340">
        <v>2</v>
      </c>
      <c r="F7340" t="s">
        <v>1139</v>
      </c>
      <c r="G7340" t="s">
        <v>32</v>
      </c>
      <c r="H7340" t="s">
        <v>33</v>
      </c>
      <c r="I7340" t="s">
        <v>59</v>
      </c>
      <c r="AB7340" t="s">
        <v>47</v>
      </c>
      <c r="AC7340" t="s">
        <v>87</v>
      </c>
    </row>
    <row r="7341" spans="1:29" x14ac:dyDescent="0.35">
      <c r="A7341" s="7">
        <v>43291</v>
      </c>
      <c r="B7341" t="s">
        <v>30</v>
      </c>
      <c r="C7341">
        <v>202</v>
      </c>
      <c r="D7341">
        <v>3</v>
      </c>
      <c r="E7341">
        <v>1</v>
      </c>
      <c r="F7341" t="s">
        <v>1139</v>
      </c>
      <c r="G7341" t="s">
        <v>32</v>
      </c>
      <c r="H7341" t="s">
        <v>33</v>
      </c>
      <c r="I7341" t="s">
        <v>59</v>
      </c>
      <c r="AB7341" t="s">
        <v>47</v>
      </c>
      <c r="AC7341" t="s">
        <v>87</v>
      </c>
    </row>
    <row r="7342" spans="1:29" x14ac:dyDescent="0.35">
      <c r="A7342" s="7">
        <v>43291</v>
      </c>
      <c r="B7342" t="s">
        <v>30</v>
      </c>
      <c r="C7342">
        <v>203</v>
      </c>
      <c r="D7342">
        <v>3</v>
      </c>
      <c r="E7342">
        <v>1</v>
      </c>
      <c r="F7342" t="s">
        <v>1139</v>
      </c>
      <c r="G7342" t="s">
        <v>32</v>
      </c>
      <c r="H7342" t="s">
        <v>33</v>
      </c>
      <c r="I7342" t="s">
        <v>59</v>
      </c>
      <c r="AB7342" t="s">
        <v>47</v>
      </c>
      <c r="AC7342" t="s">
        <v>87</v>
      </c>
    </row>
    <row r="7343" spans="1:29" x14ac:dyDescent="0.35">
      <c r="A7343" s="7">
        <v>43291</v>
      </c>
      <c r="B7343" t="s">
        <v>30</v>
      </c>
      <c r="C7343">
        <v>203</v>
      </c>
      <c r="D7343">
        <v>4</v>
      </c>
      <c r="E7343">
        <v>1</v>
      </c>
      <c r="F7343" t="s">
        <v>1139</v>
      </c>
      <c r="G7343" t="s">
        <v>32</v>
      </c>
      <c r="H7343" t="s">
        <v>33</v>
      </c>
      <c r="I7343" t="s">
        <v>59</v>
      </c>
      <c r="AB7343" t="s">
        <v>47</v>
      </c>
      <c r="AC7343" t="s">
        <v>87</v>
      </c>
    </row>
    <row r="7344" spans="1:29" x14ac:dyDescent="0.35">
      <c r="A7344" s="7">
        <v>43291</v>
      </c>
      <c r="B7344" t="s">
        <v>30</v>
      </c>
      <c r="C7344">
        <v>203</v>
      </c>
      <c r="D7344">
        <v>4</v>
      </c>
      <c r="E7344">
        <v>2</v>
      </c>
      <c r="F7344" t="s">
        <v>1139</v>
      </c>
      <c r="G7344" t="s">
        <v>32</v>
      </c>
      <c r="H7344" t="s">
        <v>33</v>
      </c>
      <c r="I7344" t="s">
        <v>59</v>
      </c>
      <c r="AB7344" t="s">
        <v>47</v>
      </c>
      <c r="AC7344" t="s">
        <v>87</v>
      </c>
    </row>
    <row r="7345" spans="1:29" x14ac:dyDescent="0.35">
      <c r="A7345" s="7">
        <v>43291</v>
      </c>
      <c r="B7345" t="s">
        <v>30</v>
      </c>
      <c r="C7345">
        <v>203</v>
      </c>
      <c r="D7345">
        <v>9</v>
      </c>
      <c r="E7345">
        <v>1</v>
      </c>
      <c r="F7345" t="s">
        <v>1139</v>
      </c>
      <c r="G7345" t="s">
        <v>32</v>
      </c>
      <c r="H7345" t="s">
        <v>33</v>
      </c>
      <c r="I7345" t="s">
        <v>59</v>
      </c>
      <c r="AB7345" t="s">
        <v>47</v>
      </c>
      <c r="AC7345" t="s">
        <v>87</v>
      </c>
    </row>
    <row r="7346" spans="1:29" x14ac:dyDescent="0.35">
      <c r="A7346" s="7">
        <v>43291</v>
      </c>
      <c r="B7346" t="s">
        <v>30</v>
      </c>
      <c r="C7346">
        <v>203</v>
      </c>
      <c r="D7346">
        <v>10</v>
      </c>
      <c r="E7346">
        <v>1</v>
      </c>
      <c r="F7346" t="s">
        <v>1139</v>
      </c>
      <c r="G7346" t="s">
        <v>32</v>
      </c>
      <c r="H7346" t="s">
        <v>33</v>
      </c>
      <c r="I7346" t="s">
        <v>59</v>
      </c>
      <c r="AB7346" t="s">
        <v>47</v>
      </c>
      <c r="AC7346" t="s">
        <v>87</v>
      </c>
    </row>
    <row r="7347" spans="1:29" x14ac:dyDescent="0.35">
      <c r="A7347" s="7">
        <v>43291</v>
      </c>
      <c r="B7347" t="s">
        <v>30</v>
      </c>
      <c r="C7347">
        <v>304</v>
      </c>
      <c r="D7347">
        <v>8</v>
      </c>
      <c r="E7347">
        <v>1</v>
      </c>
      <c r="F7347" t="s">
        <v>1139</v>
      </c>
      <c r="G7347" t="s">
        <v>32</v>
      </c>
      <c r="H7347" t="s">
        <v>33</v>
      </c>
      <c r="I7347" t="s">
        <v>59</v>
      </c>
      <c r="AB7347" t="s">
        <v>47</v>
      </c>
      <c r="AC7347" t="s">
        <v>87</v>
      </c>
    </row>
    <row r="7348" spans="1:29" x14ac:dyDescent="0.35">
      <c r="A7348" s="7">
        <v>43291</v>
      </c>
      <c r="B7348" t="s">
        <v>30</v>
      </c>
      <c r="C7348">
        <v>402</v>
      </c>
      <c r="D7348">
        <v>1</v>
      </c>
      <c r="E7348">
        <v>2</v>
      </c>
      <c r="F7348" t="s">
        <v>1020</v>
      </c>
      <c r="G7348" t="s">
        <v>32</v>
      </c>
      <c r="H7348" t="s">
        <v>33</v>
      </c>
      <c r="I7348" t="s">
        <v>59</v>
      </c>
      <c r="AB7348" t="s">
        <v>86</v>
      </c>
      <c r="AC7348" t="s">
        <v>87</v>
      </c>
    </row>
    <row r="7349" spans="1:29" x14ac:dyDescent="0.35">
      <c r="A7349" s="7">
        <v>43291</v>
      </c>
      <c r="B7349" t="s">
        <v>30</v>
      </c>
      <c r="C7349">
        <v>402</v>
      </c>
      <c r="D7349">
        <v>5</v>
      </c>
      <c r="E7349">
        <v>2</v>
      </c>
      <c r="F7349" t="s">
        <v>1020</v>
      </c>
      <c r="G7349" t="s">
        <v>32</v>
      </c>
      <c r="H7349" t="s">
        <v>33</v>
      </c>
      <c r="I7349" t="s">
        <v>59</v>
      </c>
      <c r="AB7349" t="s">
        <v>86</v>
      </c>
      <c r="AC7349" t="s">
        <v>87</v>
      </c>
    </row>
    <row r="7350" spans="1:29" x14ac:dyDescent="0.35">
      <c r="A7350" s="7">
        <v>43291</v>
      </c>
      <c r="B7350" t="s">
        <v>30</v>
      </c>
      <c r="C7350">
        <v>402</v>
      </c>
      <c r="D7350">
        <v>8</v>
      </c>
      <c r="E7350">
        <v>1</v>
      </c>
      <c r="F7350" t="s">
        <v>1020</v>
      </c>
      <c r="G7350" t="s">
        <v>32</v>
      </c>
      <c r="H7350" t="s">
        <v>33</v>
      </c>
      <c r="I7350" t="s">
        <v>59</v>
      </c>
      <c r="AB7350" t="s">
        <v>86</v>
      </c>
      <c r="AC7350" t="s">
        <v>87</v>
      </c>
    </row>
    <row r="7351" spans="1:29" x14ac:dyDescent="0.35">
      <c r="A7351" s="7">
        <v>43291</v>
      </c>
      <c r="B7351" t="s">
        <v>30</v>
      </c>
      <c r="C7351">
        <v>402</v>
      </c>
      <c r="D7351">
        <v>9</v>
      </c>
      <c r="E7351">
        <v>2</v>
      </c>
      <c r="F7351" t="s">
        <v>1020</v>
      </c>
      <c r="G7351" t="s">
        <v>32</v>
      </c>
      <c r="H7351" t="s">
        <v>33</v>
      </c>
      <c r="I7351" t="s">
        <v>59</v>
      </c>
      <c r="AB7351" t="s">
        <v>86</v>
      </c>
      <c r="AC7351" t="s">
        <v>87</v>
      </c>
    </row>
    <row r="7352" spans="1:29" x14ac:dyDescent="0.35">
      <c r="A7352" s="7">
        <v>43292</v>
      </c>
      <c r="B7352" t="s">
        <v>30</v>
      </c>
      <c r="C7352">
        <v>111</v>
      </c>
      <c r="D7352">
        <v>1</v>
      </c>
      <c r="E7352">
        <v>2</v>
      </c>
      <c r="F7352" t="s">
        <v>1020</v>
      </c>
      <c r="G7352" t="s">
        <v>32</v>
      </c>
      <c r="H7352" t="s">
        <v>33</v>
      </c>
      <c r="I7352" t="s">
        <v>43</v>
      </c>
      <c r="J7352" t="s">
        <v>44</v>
      </c>
      <c r="K7352" t="s">
        <v>88</v>
      </c>
      <c r="L7352" t="s">
        <v>45</v>
      </c>
      <c r="M7352">
        <v>0</v>
      </c>
      <c r="N7352">
        <v>0</v>
      </c>
      <c r="O7352">
        <v>1124</v>
      </c>
      <c r="P7352">
        <v>1123</v>
      </c>
      <c r="Q7352">
        <f>25-11.5</f>
        <v>13.5</v>
      </c>
      <c r="R7352" t="s">
        <v>46</v>
      </c>
      <c r="S7352" t="s">
        <v>39</v>
      </c>
      <c r="AB7352" t="s">
        <v>47</v>
      </c>
      <c r="AC7352" t="s">
        <v>87</v>
      </c>
    </row>
    <row r="7353" spans="1:29" x14ac:dyDescent="0.35">
      <c r="A7353" s="7">
        <v>43292</v>
      </c>
      <c r="B7353" t="s">
        <v>30</v>
      </c>
      <c r="C7353">
        <v>111</v>
      </c>
      <c r="D7353">
        <v>2</v>
      </c>
      <c r="E7353">
        <v>2</v>
      </c>
      <c r="F7353" t="s">
        <v>1020</v>
      </c>
      <c r="G7353" t="s">
        <v>32</v>
      </c>
      <c r="H7353" t="s">
        <v>33</v>
      </c>
      <c r="I7353" t="s">
        <v>43</v>
      </c>
      <c r="J7353" t="s">
        <v>44</v>
      </c>
      <c r="K7353" t="s">
        <v>36</v>
      </c>
      <c r="L7353" t="s">
        <v>37</v>
      </c>
      <c r="M7353">
        <v>0</v>
      </c>
      <c r="N7353">
        <v>0</v>
      </c>
      <c r="O7353">
        <v>1319</v>
      </c>
      <c r="P7353">
        <v>1318</v>
      </c>
      <c r="Q7353">
        <f>28.75-9.75</f>
        <v>19</v>
      </c>
      <c r="R7353" t="s">
        <v>64</v>
      </c>
      <c r="AB7353" t="s">
        <v>47</v>
      </c>
      <c r="AC7353" t="s">
        <v>87</v>
      </c>
    </row>
    <row r="7354" spans="1:29" x14ac:dyDescent="0.35">
      <c r="A7354" s="7">
        <v>43292</v>
      </c>
      <c r="B7354" t="s">
        <v>30</v>
      </c>
      <c r="C7354">
        <v>111</v>
      </c>
      <c r="D7354">
        <v>3</v>
      </c>
      <c r="E7354">
        <v>1</v>
      </c>
      <c r="F7354" t="s">
        <v>1020</v>
      </c>
      <c r="G7354" t="s">
        <v>32</v>
      </c>
      <c r="H7354" t="s">
        <v>33</v>
      </c>
      <c r="I7354" t="s">
        <v>43</v>
      </c>
      <c r="J7354" t="s">
        <v>44</v>
      </c>
      <c r="K7354" t="s">
        <v>36</v>
      </c>
      <c r="L7354" t="s">
        <v>45</v>
      </c>
      <c r="M7354">
        <v>0</v>
      </c>
      <c r="N7354">
        <v>0</v>
      </c>
      <c r="O7354">
        <v>2408</v>
      </c>
      <c r="P7354">
        <v>2407</v>
      </c>
      <c r="Q7354">
        <f>28.75-11.5</f>
        <v>17.25</v>
      </c>
      <c r="R7354" t="s">
        <v>1021</v>
      </c>
      <c r="S7354" t="s">
        <v>102</v>
      </c>
      <c r="AB7354" t="s">
        <v>47</v>
      </c>
      <c r="AC7354" t="s">
        <v>87</v>
      </c>
    </row>
    <row r="7355" spans="1:29" x14ac:dyDescent="0.35">
      <c r="A7355" s="7">
        <v>43292</v>
      </c>
      <c r="B7355" t="s">
        <v>30</v>
      </c>
      <c r="C7355">
        <v>111</v>
      </c>
      <c r="D7355">
        <v>5</v>
      </c>
      <c r="E7355">
        <v>1</v>
      </c>
      <c r="F7355" t="s">
        <v>1020</v>
      </c>
      <c r="G7355" t="s">
        <v>32</v>
      </c>
      <c r="H7355" t="s">
        <v>33</v>
      </c>
      <c r="I7355" t="s">
        <v>43</v>
      </c>
      <c r="J7355" t="s">
        <v>44</v>
      </c>
      <c r="K7355" t="s">
        <v>36</v>
      </c>
      <c r="L7355" t="s">
        <v>45</v>
      </c>
      <c r="M7355">
        <v>0</v>
      </c>
      <c r="N7355">
        <v>0</v>
      </c>
      <c r="O7355">
        <v>2463</v>
      </c>
      <c r="P7355">
        <v>2462</v>
      </c>
      <c r="Q7355">
        <f>28.5-10</f>
        <v>18.5</v>
      </c>
      <c r="R7355" t="s">
        <v>1021</v>
      </c>
      <c r="S7355" t="s">
        <v>102</v>
      </c>
      <c r="AB7355" t="s">
        <v>47</v>
      </c>
      <c r="AC7355" t="s">
        <v>87</v>
      </c>
    </row>
    <row r="7356" spans="1:29" x14ac:dyDescent="0.35">
      <c r="A7356" s="7">
        <v>43292</v>
      </c>
      <c r="B7356" t="s">
        <v>30</v>
      </c>
      <c r="C7356">
        <v>111</v>
      </c>
      <c r="D7356">
        <v>6</v>
      </c>
      <c r="E7356">
        <v>1</v>
      </c>
      <c r="F7356" t="s">
        <v>1020</v>
      </c>
      <c r="G7356" t="s">
        <v>32</v>
      </c>
      <c r="H7356" t="s">
        <v>33</v>
      </c>
      <c r="I7356" t="s">
        <v>43</v>
      </c>
      <c r="J7356" t="s">
        <v>44</v>
      </c>
      <c r="K7356" t="s">
        <v>36</v>
      </c>
      <c r="L7356" t="s">
        <v>45</v>
      </c>
      <c r="M7356">
        <v>0</v>
      </c>
      <c r="N7356">
        <v>0</v>
      </c>
      <c r="O7356">
        <v>2406</v>
      </c>
      <c r="P7356">
        <v>2405</v>
      </c>
      <c r="Q7356">
        <f>30.75-11</f>
        <v>19.75</v>
      </c>
      <c r="R7356" t="s">
        <v>1021</v>
      </c>
      <c r="S7356" t="s">
        <v>102</v>
      </c>
      <c r="AB7356" t="s">
        <v>47</v>
      </c>
      <c r="AC7356" t="s">
        <v>87</v>
      </c>
    </row>
    <row r="7357" spans="1:29" x14ac:dyDescent="0.35">
      <c r="A7357" s="7">
        <v>43292</v>
      </c>
      <c r="B7357" t="s">
        <v>30</v>
      </c>
      <c r="C7357">
        <v>111</v>
      </c>
      <c r="D7357">
        <v>7</v>
      </c>
      <c r="E7357">
        <v>2</v>
      </c>
      <c r="F7357" t="s">
        <v>1020</v>
      </c>
      <c r="G7357" t="s">
        <v>32</v>
      </c>
      <c r="H7357" t="s">
        <v>33</v>
      </c>
      <c r="I7357" t="s">
        <v>43</v>
      </c>
      <c r="J7357" t="s">
        <v>44</v>
      </c>
      <c r="K7357" t="s">
        <v>88</v>
      </c>
      <c r="L7357" t="s">
        <v>45</v>
      </c>
      <c r="M7357">
        <v>0</v>
      </c>
      <c r="N7357">
        <v>0</v>
      </c>
      <c r="O7357">
        <v>1063</v>
      </c>
      <c r="P7357">
        <v>1062</v>
      </c>
      <c r="Q7357">
        <f>23.5-10.75</f>
        <v>12.75</v>
      </c>
      <c r="R7357" t="s">
        <v>46</v>
      </c>
      <c r="S7357" t="s">
        <v>39</v>
      </c>
      <c r="AB7357" t="s">
        <v>47</v>
      </c>
      <c r="AC7357" t="s">
        <v>87</v>
      </c>
    </row>
    <row r="7358" spans="1:29" x14ac:dyDescent="0.35">
      <c r="A7358" s="7">
        <v>43292</v>
      </c>
      <c r="B7358" t="s">
        <v>30</v>
      </c>
      <c r="C7358">
        <v>112</v>
      </c>
      <c r="D7358">
        <v>1</v>
      </c>
      <c r="E7358">
        <v>1</v>
      </c>
      <c r="F7358" t="s">
        <v>1020</v>
      </c>
      <c r="G7358" t="s">
        <v>32</v>
      </c>
      <c r="H7358" t="s">
        <v>33</v>
      </c>
      <c r="I7358" t="s">
        <v>43</v>
      </c>
      <c r="J7358" t="s">
        <v>44</v>
      </c>
      <c r="K7358" t="s">
        <v>36</v>
      </c>
      <c r="L7358" t="s">
        <v>45</v>
      </c>
      <c r="M7358">
        <v>0</v>
      </c>
      <c r="N7358">
        <v>0</v>
      </c>
      <c r="O7358">
        <v>1061</v>
      </c>
      <c r="P7358">
        <v>1060</v>
      </c>
      <c r="Q7358">
        <f>31-10.5</f>
        <v>20.5</v>
      </c>
      <c r="R7358" t="s">
        <v>46</v>
      </c>
      <c r="S7358" t="s">
        <v>39</v>
      </c>
      <c r="AB7358" t="s">
        <v>47</v>
      </c>
      <c r="AC7358" t="s">
        <v>87</v>
      </c>
    </row>
    <row r="7359" spans="1:29" x14ac:dyDescent="0.35">
      <c r="A7359" s="7">
        <v>43292</v>
      </c>
      <c r="B7359" t="s">
        <v>30</v>
      </c>
      <c r="C7359">
        <v>112</v>
      </c>
      <c r="D7359">
        <v>2</v>
      </c>
      <c r="E7359">
        <v>1</v>
      </c>
      <c r="F7359" t="s">
        <v>1020</v>
      </c>
      <c r="G7359" t="s">
        <v>32</v>
      </c>
      <c r="H7359" t="s">
        <v>33</v>
      </c>
      <c r="I7359" t="s">
        <v>43</v>
      </c>
      <c r="J7359" t="s">
        <v>35</v>
      </c>
      <c r="K7359" t="s">
        <v>88</v>
      </c>
      <c r="L7359" t="s">
        <v>45</v>
      </c>
      <c r="M7359">
        <v>0</v>
      </c>
      <c r="N7359">
        <v>1</v>
      </c>
      <c r="O7359">
        <v>1344</v>
      </c>
      <c r="P7359">
        <v>1343</v>
      </c>
      <c r="Q7359">
        <f>23.25-10.75</f>
        <v>12.5</v>
      </c>
      <c r="R7359" t="s">
        <v>46</v>
      </c>
      <c r="S7359" t="s">
        <v>39</v>
      </c>
      <c r="AB7359" t="s">
        <v>47</v>
      </c>
      <c r="AC7359" t="s">
        <v>87</v>
      </c>
    </row>
    <row r="7360" spans="1:29" x14ac:dyDescent="0.35">
      <c r="A7360" s="7">
        <v>43292</v>
      </c>
      <c r="B7360" t="s">
        <v>30</v>
      </c>
      <c r="C7360">
        <v>112</v>
      </c>
      <c r="D7360">
        <v>4</v>
      </c>
      <c r="E7360">
        <v>2</v>
      </c>
      <c r="F7360" t="s">
        <v>1020</v>
      </c>
      <c r="G7360" t="s">
        <v>32</v>
      </c>
      <c r="H7360" t="s">
        <v>33</v>
      </c>
      <c r="I7360" t="s">
        <v>43</v>
      </c>
      <c r="J7360" t="s">
        <v>35</v>
      </c>
      <c r="K7360" t="s">
        <v>88</v>
      </c>
      <c r="L7360" t="s">
        <v>37</v>
      </c>
      <c r="M7360">
        <v>0</v>
      </c>
      <c r="N7360">
        <v>1</v>
      </c>
      <c r="O7360">
        <v>1346</v>
      </c>
      <c r="P7360">
        <v>1345</v>
      </c>
      <c r="Q7360">
        <f>24-10</f>
        <v>14</v>
      </c>
      <c r="R7360" t="s">
        <v>64</v>
      </c>
      <c r="AB7360" t="s">
        <v>47</v>
      </c>
      <c r="AC7360" t="s">
        <v>87</v>
      </c>
    </row>
    <row r="7361" spans="1:30" x14ac:dyDescent="0.35">
      <c r="A7361" s="7">
        <v>43292</v>
      </c>
      <c r="B7361" t="s">
        <v>30</v>
      </c>
      <c r="C7361">
        <v>112</v>
      </c>
      <c r="D7361">
        <v>5</v>
      </c>
      <c r="E7361">
        <v>1</v>
      </c>
      <c r="F7361" t="s">
        <v>1020</v>
      </c>
      <c r="G7361" t="s">
        <v>32</v>
      </c>
      <c r="H7361" t="s">
        <v>33</v>
      </c>
      <c r="I7361" t="s">
        <v>43</v>
      </c>
      <c r="J7361" t="s">
        <v>44</v>
      </c>
      <c r="K7361" t="s">
        <v>113</v>
      </c>
      <c r="L7361" t="s">
        <v>37</v>
      </c>
      <c r="M7361">
        <v>0</v>
      </c>
      <c r="N7361">
        <v>0</v>
      </c>
      <c r="O7361">
        <v>1311</v>
      </c>
      <c r="P7361">
        <v>1310</v>
      </c>
      <c r="Q7361">
        <f>25-10</f>
        <v>15</v>
      </c>
      <c r="R7361" t="s">
        <v>64</v>
      </c>
      <c r="AB7361" t="s">
        <v>47</v>
      </c>
      <c r="AC7361" t="s">
        <v>87</v>
      </c>
    </row>
    <row r="7362" spans="1:30" x14ac:dyDescent="0.35">
      <c r="A7362" s="7">
        <v>43292</v>
      </c>
      <c r="B7362" t="s">
        <v>30</v>
      </c>
      <c r="C7362">
        <v>112</v>
      </c>
      <c r="D7362">
        <v>5</v>
      </c>
      <c r="E7362">
        <v>2</v>
      </c>
      <c r="F7362" t="s">
        <v>1020</v>
      </c>
      <c r="G7362" t="s">
        <v>32</v>
      </c>
      <c r="H7362" t="s">
        <v>33</v>
      </c>
      <c r="I7362" t="s">
        <v>43</v>
      </c>
      <c r="J7362" t="s">
        <v>44</v>
      </c>
      <c r="K7362" t="s">
        <v>88</v>
      </c>
      <c r="L7362" t="s">
        <v>45</v>
      </c>
      <c r="M7362">
        <v>0</v>
      </c>
      <c r="N7362">
        <v>0</v>
      </c>
      <c r="O7362">
        <v>1332</v>
      </c>
      <c r="P7362">
        <v>1331</v>
      </c>
      <c r="Q7362">
        <f>22.5-9.75</f>
        <v>12.75</v>
      </c>
      <c r="R7362" t="s">
        <v>46</v>
      </c>
      <c r="S7362" t="s">
        <v>39</v>
      </c>
      <c r="AB7362" t="s">
        <v>47</v>
      </c>
      <c r="AC7362" t="s">
        <v>87</v>
      </c>
    </row>
    <row r="7363" spans="1:30" x14ac:dyDescent="0.35">
      <c r="A7363" s="7">
        <v>43292</v>
      </c>
      <c r="B7363" t="s">
        <v>30</v>
      </c>
      <c r="C7363">
        <v>112</v>
      </c>
      <c r="D7363">
        <v>7</v>
      </c>
      <c r="E7363">
        <v>1</v>
      </c>
      <c r="F7363" t="s">
        <v>1020</v>
      </c>
      <c r="G7363" t="s">
        <v>32</v>
      </c>
      <c r="H7363" t="s">
        <v>33</v>
      </c>
      <c r="I7363" t="s">
        <v>43</v>
      </c>
      <c r="J7363" t="s">
        <v>44</v>
      </c>
      <c r="K7363" t="s">
        <v>88</v>
      </c>
      <c r="L7363" t="s">
        <v>37</v>
      </c>
      <c r="M7363">
        <v>0</v>
      </c>
      <c r="N7363">
        <v>0</v>
      </c>
      <c r="O7363">
        <v>1121</v>
      </c>
      <c r="P7363">
        <v>1120</v>
      </c>
      <c r="Q7363">
        <f>23.5-10.5</f>
        <v>13</v>
      </c>
      <c r="R7363" t="s">
        <v>64</v>
      </c>
      <c r="AB7363" t="s">
        <v>47</v>
      </c>
      <c r="AC7363" t="s">
        <v>87</v>
      </c>
    </row>
    <row r="7364" spans="1:30" x14ac:dyDescent="0.35">
      <c r="A7364" s="7">
        <v>43292</v>
      </c>
      <c r="B7364" t="s">
        <v>30</v>
      </c>
      <c r="C7364">
        <v>112</v>
      </c>
      <c r="D7364">
        <v>7</v>
      </c>
      <c r="E7364">
        <v>2</v>
      </c>
      <c r="F7364" t="s">
        <v>1020</v>
      </c>
      <c r="G7364" t="s">
        <v>32</v>
      </c>
      <c r="H7364" t="s">
        <v>33</v>
      </c>
      <c r="I7364" t="s">
        <v>43</v>
      </c>
      <c r="J7364" t="s">
        <v>44</v>
      </c>
      <c r="K7364" t="s">
        <v>88</v>
      </c>
      <c r="L7364" t="s">
        <v>37</v>
      </c>
      <c r="M7364">
        <v>0</v>
      </c>
      <c r="N7364">
        <v>0</v>
      </c>
      <c r="O7364">
        <v>1334</v>
      </c>
      <c r="P7364">
        <v>1333</v>
      </c>
      <c r="Q7364">
        <f>24.5-11</f>
        <v>13.5</v>
      </c>
      <c r="R7364" t="s">
        <v>64</v>
      </c>
      <c r="AB7364" t="s">
        <v>47</v>
      </c>
      <c r="AC7364" t="s">
        <v>87</v>
      </c>
    </row>
    <row r="7365" spans="1:30" x14ac:dyDescent="0.35">
      <c r="A7365" s="7">
        <v>43292</v>
      </c>
      <c r="B7365" t="s">
        <v>30</v>
      </c>
      <c r="C7365">
        <v>112</v>
      </c>
      <c r="D7365">
        <v>10</v>
      </c>
      <c r="E7365">
        <v>2</v>
      </c>
      <c r="F7365" t="s">
        <v>1020</v>
      </c>
      <c r="G7365" t="s">
        <v>32</v>
      </c>
      <c r="H7365" t="s">
        <v>33</v>
      </c>
      <c r="I7365" t="s">
        <v>43</v>
      </c>
      <c r="J7365" t="s">
        <v>44</v>
      </c>
      <c r="K7365" t="s">
        <v>113</v>
      </c>
      <c r="L7365" t="s">
        <v>45</v>
      </c>
      <c r="M7365">
        <v>0</v>
      </c>
      <c r="N7365">
        <v>0</v>
      </c>
      <c r="O7365">
        <v>1337</v>
      </c>
      <c r="P7365">
        <v>1336</v>
      </c>
      <c r="Q7365">
        <f>26-9.5</f>
        <v>16.5</v>
      </c>
      <c r="R7365" t="s">
        <v>46</v>
      </c>
      <c r="S7365" t="s">
        <v>39</v>
      </c>
      <c r="AB7365" t="s">
        <v>47</v>
      </c>
      <c r="AC7365" t="s">
        <v>87</v>
      </c>
    </row>
    <row r="7366" spans="1:30" x14ac:dyDescent="0.35">
      <c r="A7366" s="7">
        <v>43292</v>
      </c>
      <c r="B7366" t="s">
        <v>30</v>
      </c>
      <c r="C7366">
        <v>201</v>
      </c>
      <c r="D7366">
        <v>3</v>
      </c>
      <c r="E7366">
        <v>1</v>
      </c>
      <c r="F7366" t="s">
        <v>1139</v>
      </c>
      <c r="G7366" t="s">
        <v>32</v>
      </c>
      <c r="H7366" t="s">
        <v>33</v>
      </c>
      <c r="I7366" t="s">
        <v>43</v>
      </c>
      <c r="J7366" t="s">
        <v>35</v>
      </c>
      <c r="K7366" t="s">
        <v>88</v>
      </c>
      <c r="L7366" t="s">
        <v>45</v>
      </c>
      <c r="M7366">
        <v>0</v>
      </c>
      <c r="N7366">
        <v>1</v>
      </c>
      <c r="O7366">
        <v>1283</v>
      </c>
      <c r="P7366">
        <v>1282</v>
      </c>
      <c r="Q7366">
        <f>27-12.5</f>
        <v>14.5</v>
      </c>
      <c r="R7366" t="s">
        <v>46</v>
      </c>
      <c r="S7366" t="s">
        <v>39</v>
      </c>
      <c r="AB7366" t="s">
        <v>47</v>
      </c>
      <c r="AC7366" t="s">
        <v>41</v>
      </c>
    </row>
    <row r="7367" spans="1:30" x14ac:dyDescent="0.35">
      <c r="A7367" s="7">
        <v>43292</v>
      </c>
      <c r="B7367" t="s">
        <v>30</v>
      </c>
      <c r="C7367">
        <v>201</v>
      </c>
      <c r="D7367">
        <v>4</v>
      </c>
      <c r="E7367">
        <v>1</v>
      </c>
      <c r="F7367" t="s">
        <v>1139</v>
      </c>
      <c r="G7367" t="s">
        <v>32</v>
      </c>
      <c r="H7367" t="s">
        <v>33</v>
      </c>
      <c r="I7367" t="s">
        <v>43</v>
      </c>
      <c r="J7367" t="s">
        <v>44</v>
      </c>
      <c r="K7367" t="s">
        <v>88</v>
      </c>
      <c r="L7367" t="s">
        <v>37</v>
      </c>
      <c r="M7367">
        <v>0</v>
      </c>
      <c r="N7367">
        <v>0</v>
      </c>
      <c r="O7367">
        <v>1190</v>
      </c>
      <c r="P7367">
        <v>1189</v>
      </c>
      <c r="Q7367">
        <f>25-10</f>
        <v>15</v>
      </c>
      <c r="R7367" t="s">
        <v>64</v>
      </c>
      <c r="AB7367" t="s">
        <v>47</v>
      </c>
      <c r="AC7367" t="s">
        <v>41</v>
      </c>
    </row>
    <row r="7368" spans="1:30" x14ac:dyDescent="0.35">
      <c r="A7368" s="7">
        <v>43292</v>
      </c>
      <c r="B7368" t="s">
        <v>30</v>
      </c>
      <c r="C7368">
        <v>201</v>
      </c>
      <c r="D7368">
        <v>5</v>
      </c>
      <c r="E7368">
        <v>1</v>
      </c>
      <c r="F7368" t="s">
        <v>1139</v>
      </c>
      <c r="G7368" t="s">
        <v>32</v>
      </c>
      <c r="H7368" t="s">
        <v>33</v>
      </c>
      <c r="I7368" t="s">
        <v>43</v>
      </c>
      <c r="J7368" t="s">
        <v>44</v>
      </c>
      <c r="K7368" t="s">
        <v>113</v>
      </c>
      <c r="L7368" t="s">
        <v>37</v>
      </c>
      <c r="M7368">
        <v>0</v>
      </c>
      <c r="N7368">
        <v>0</v>
      </c>
      <c r="O7368">
        <v>1137</v>
      </c>
      <c r="P7368">
        <v>1138</v>
      </c>
      <c r="Q7368">
        <f>25-11</f>
        <v>14</v>
      </c>
      <c r="R7368" t="s">
        <v>38</v>
      </c>
      <c r="AB7368" t="s">
        <v>47</v>
      </c>
      <c r="AC7368" t="s">
        <v>41</v>
      </c>
    </row>
    <row r="7369" spans="1:30" x14ac:dyDescent="0.35">
      <c r="A7369" s="7">
        <v>43292</v>
      </c>
      <c r="B7369" t="s">
        <v>30</v>
      </c>
      <c r="C7369">
        <v>201</v>
      </c>
      <c r="D7369">
        <v>6</v>
      </c>
      <c r="E7369">
        <v>2</v>
      </c>
      <c r="F7369" t="s">
        <v>1139</v>
      </c>
      <c r="G7369" t="s">
        <v>32</v>
      </c>
      <c r="H7369" t="s">
        <v>33</v>
      </c>
      <c r="I7369" t="s">
        <v>43</v>
      </c>
      <c r="J7369" t="s">
        <v>35</v>
      </c>
      <c r="K7369" t="s">
        <v>36</v>
      </c>
      <c r="L7369" t="s">
        <v>37</v>
      </c>
      <c r="M7369">
        <v>0</v>
      </c>
      <c r="N7369">
        <v>1</v>
      </c>
      <c r="O7369">
        <v>1285</v>
      </c>
      <c r="P7369">
        <v>1284</v>
      </c>
      <c r="Q7369">
        <f>32-10</f>
        <v>22</v>
      </c>
      <c r="R7369" t="s">
        <v>38</v>
      </c>
      <c r="AB7369" t="s">
        <v>47</v>
      </c>
      <c r="AC7369" t="s">
        <v>41</v>
      </c>
    </row>
    <row r="7370" spans="1:30" x14ac:dyDescent="0.35">
      <c r="A7370" s="7">
        <v>43292</v>
      </c>
      <c r="B7370" t="s">
        <v>30</v>
      </c>
      <c r="C7370">
        <v>201</v>
      </c>
      <c r="D7370">
        <v>8</v>
      </c>
      <c r="E7370">
        <v>2</v>
      </c>
      <c r="F7370" t="s">
        <v>1139</v>
      </c>
      <c r="G7370" t="s">
        <v>32</v>
      </c>
      <c r="H7370" t="s">
        <v>33</v>
      </c>
      <c r="I7370" t="s">
        <v>43</v>
      </c>
      <c r="J7370" t="s">
        <v>35</v>
      </c>
      <c r="K7370" t="s">
        <v>88</v>
      </c>
      <c r="L7370" t="s">
        <v>37</v>
      </c>
      <c r="M7370">
        <v>0</v>
      </c>
      <c r="N7370">
        <v>1</v>
      </c>
      <c r="O7370">
        <v>1194</v>
      </c>
      <c r="P7370">
        <v>1193</v>
      </c>
      <c r="Q7370">
        <f>22-10</f>
        <v>12</v>
      </c>
      <c r="R7370" t="s">
        <v>64</v>
      </c>
      <c r="AB7370" t="s">
        <v>47</v>
      </c>
      <c r="AC7370" t="s">
        <v>41</v>
      </c>
    </row>
    <row r="7371" spans="1:30" x14ac:dyDescent="0.35">
      <c r="A7371" s="7">
        <v>43292</v>
      </c>
      <c r="B7371" t="s">
        <v>30</v>
      </c>
      <c r="C7371">
        <v>201</v>
      </c>
      <c r="D7371">
        <v>10</v>
      </c>
      <c r="E7371">
        <v>1</v>
      </c>
      <c r="F7371" t="s">
        <v>1139</v>
      </c>
      <c r="G7371" t="s">
        <v>32</v>
      </c>
      <c r="H7371" t="s">
        <v>33</v>
      </c>
      <c r="I7371" t="s">
        <v>43</v>
      </c>
      <c r="J7371" t="s">
        <v>35</v>
      </c>
      <c r="K7371" t="s">
        <v>113</v>
      </c>
      <c r="L7371" t="s">
        <v>45</v>
      </c>
      <c r="M7371">
        <v>0</v>
      </c>
      <c r="N7371">
        <v>1</v>
      </c>
      <c r="O7371">
        <v>1287</v>
      </c>
      <c r="P7371">
        <v>1286</v>
      </c>
      <c r="Q7371">
        <f>25.5-12</f>
        <v>13.5</v>
      </c>
      <c r="R7371" t="s">
        <v>79</v>
      </c>
      <c r="S7371" t="s">
        <v>39</v>
      </c>
      <c r="AB7371" t="s">
        <v>47</v>
      </c>
      <c r="AC7371" t="s">
        <v>41</v>
      </c>
    </row>
    <row r="7372" spans="1:30" x14ac:dyDescent="0.35">
      <c r="A7372" s="7">
        <v>43292</v>
      </c>
      <c r="B7372" t="s">
        <v>30</v>
      </c>
      <c r="C7372">
        <v>202</v>
      </c>
      <c r="D7372">
        <v>1</v>
      </c>
      <c r="E7372">
        <v>1</v>
      </c>
      <c r="F7372" t="s">
        <v>1139</v>
      </c>
      <c r="G7372" t="s">
        <v>32</v>
      </c>
      <c r="H7372" t="s">
        <v>33</v>
      </c>
      <c r="I7372" t="s">
        <v>43</v>
      </c>
      <c r="J7372" t="s">
        <v>35</v>
      </c>
      <c r="K7372" t="s">
        <v>88</v>
      </c>
      <c r="L7372" t="s">
        <v>37</v>
      </c>
      <c r="M7372">
        <v>0</v>
      </c>
      <c r="N7372">
        <v>1</v>
      </c>
      <c r="O7372">
        <v>1289</v>
      </c>
      <c r="P7372">
        <v>1288</v>
      </c>
      <c r="Q7372">
        <f>21-10</f>
        <v>11</v>
      </c>
      <c r="R7372" t="s">
        <v>64</v>
      </c>
      <c r="AB7372" t="s">
        <v>47</v>
      </c>
      <c r="AC7372" t="s">
        <v>41</v>
      </c>
    </row>
    <row r="7373" spans="1:30" x14ac:dyDescent="0.35">
      <c r="A7373" s="7">
        <v>43292</v>
      </c>
      <c r="B7373" t="s">
        <v>30</v>
      </c>
      <c r="C7373">
        <v>202</v>
      </c>
      <c r="D7373">
        <v>1</v>
      </c>
      <c r="E7373">
        <v>2</v>
      </c>
      <c r="F7373" t="s">
        <v>1139</v>
      </c>
      <c r="G7373" t="s">
        <v>32</v>
      </c>
      <c r="H7373" t="s">
        <v>33</v>
      </c>
      <c r="I7373" t="s">
        <v>43</v>
      </c>
      <c r="J7373" t="s">
        <v>44</v>
      </c>
      <c r="K7373" t="s">
        <v>36</v>
      </c>
      <c r="L7373" t="s">
        <v>45</v>
      </c>
      <c r="M7373">
        <v>0</v>
      </c>
      <c r="N7373">
        <v>0</v>
      </c>
      <c r="O7373">
        <v>1300</v>
      </c>
      <c r="P7373">
        <v>1299</v>
      </c>
      <c r="Q7373">
        <f>30-10</f>
        <v>20</v>
      </c>
      <c r="R7373" t="s">
        <v>1028</v>
      </c>
      <c r="S7373" t="s">
        <v>102</v>
      </c>
      <c r="AB7373" t="s">
        <v>47</v>
      </c>
      <c r="AC7373" t="s">
        <v>41</v>
      </c>
    </row>
    <row r="7374" spans="1:30" x14ac:dyDescent="0.35">
      <c r="A7374" s="7">
        <v>43292</v>
      </c>
      <c r="B7374" t="s">
        <v>30</v>
      </c>
      <c r="C7374">
        <v>202</v>
      </c>
      <c r="D7374">
        <v>5</v>
      </c>
      <c r="E7374">
        <v>2</v>
      </c>
      <c r="F7374" t="s">
        <v>1139</v>
      </c>
      <c r="G7374" t="s">
        <v>32</v>
      </c>
      <c r="H7374" t="s">
        <v>33</v>
      </c>
      <c r="I7374" t="s">
        <v>43</v>
      </c>
      <c r="J7374" t="s">
        <v>35</v>
      </c>
      <c r="K7374" t="s">
        <v>113</v>
      </c>
      <c r="L7374" t="s">
        <v>37</v>
      </c>
      <c r="M7374">
        <v>0</v>
      </c>
      <c r="N7374">
        <v>1</v>
      </c>
      <c r="O7374">
        <v>1291</v>
      </c>
      <c r="P7374">
        <v>1290</v>
      </c>
      <c r="Q7374">
        <f>27-12</f>
        <v>15</v>
      </c>
      <c r="R7374" t="s">
        <v>64</v>
      </c>
      <c r="AB7374" t="s">
        <v>47</v>
      </c>
      <c r="AC7374" t="s">
        <v>41</v>
      </c>
    </row>
    <row r="7375" spans="1:30" x14ac:dyDescent="0.35">
      <c r="A7375" s="7">
        <v>43292</v>
      </c>
      <c r="B7375" t="s">
        <v>30</v>
      </c>
      <c r="C7375">
        <v>202</v>
      </c>
      <c r="D7375">
        <v>6</v>
      </c>
      <c r="E7375">
        <v>1</v>
      </c>
      <c r="F7375" t="s">
        <v>1139</v>
      </c>
      <c r="G7375" t="s">
        <v>32</v>
      </c>
      <c r="H7375" t="s">
        <v>33</v>
      </c>
      <c r="I7375" t="s">
        <v>43</v>
      </c>
      <c r="J7375" t="s">
        <v>35</v>
      </c>
      <c r="K7375" t="s">
        <v>88</v>
      </c>
      <c r="L7375" t="s">
        <v>37</v>
      </c>
      <c r="M7375">
        <v>0</v>
      </c>
      <c r="N7375">
        <v>1</v>
      </c>
      <c r="O7375">
        <v>1293</v>
      </c>
      <c r="P7375">
        <v>1292</v>
      </c>
      <c r="Q7375">
        <f>23-10</f>
        <v>13</v>
      </c>
      <c r="R7375" t="s">
        <v>64</v>
      </c>
      <c r="AB7375" t="s">
        <v>47</v>
      </c>
      <c r="AC7375" t="s">
        <v>41</v>
      </c>
    </row>
    <row r="7376" spans="1:30" x14ac:dyDescent="0.35">
      <c r="A7376" s="7">
        <v>43292</v>
      </c>
      <c r="B7376" t="s">
        <v>30</v>
      </c>
      <c r="C7376">
        <v>202</v>
      </c>
      <c r="D7376">
        <v>9</v>
      </c>
      <c r="E7376">
        <v>2</v>
      </c>
      <c r="F7376" t="s">
        <v>1139</v>
      </c>
      <c r="G7376" t="s">
        <v>32</v>
      </c>
      <c r="H7376" t="s">
        <v>33</v>
      </c>
      <c r="I7376" t="s">
        <v>43</v>
      </c>
      <c r="J7376" t="s">
        <v>44</v>
      </c>
      <c r="K7376" t="s">
        <v>88</v>
      </c>
      <c r="L7376" t="s">
        <v>37</v>
      </c>
      <c r="M7376">
        <v>0</v>
      </c>
      <c r="N7376">
        <v>0</v>
      </c>
      <c r="O7376">
        <v>1298</v>
      </c>
      <c r="P7376">
        <v>1297</v>
      </c>
      <c r="Q7376">
        <f>27-10</f>
        <v>17</v>
      </c>
      <c r="R7376" t="s">
        <v>64</v>
      </c>
      <c r="AB7376" t="s">
        <v>47</v>
      </c>
      <c r="AC7376" t="s">
        <v>41</v>
      </c>
      <c r="AD7376" t="s">
        <v>1216</v>
      </c>
    </row>
    <row r="7377" spans="1:30" x14ac:dyDescent="0.35">
      <c r="A7377" s="7">
        <v>43292</v>
      </c>
      <c r="B7377" t="s">
        <v>30</v>
      </c>
      <c r="C7377">
        <v>203</v>
      </c>
      <c r="D7377">
        <v>3</v>
      </c>
      <c r="E7377">
        <v>1</v>
      </c>
      <c r="F7377" t="s">
        <v>1139</v>
      </c>
      <c r="G7377" t="s">
        <v>32</v>
      </c>
      <c r="H7377" t="s">
        <v>33</v>
      </c>
      <c r="I7377" t="s">
        <v>43</v>
      </c>
      <c r="J7377" t="s">
        <v>35</v>
      </c>
      <c r="K7377" t="s">
        <v>113</v>
      </c>
      <c r="L7377" t="s">
        <v>37</v>
      </c>
      <c r="M7377">
        <v>0</v>
      </c>
      <c r="N7377">
        <v>0</v>
      </c>
      <c r="O7377">
        <v>1296</v>
      </c>
      <c r="P7377">
        <v>1295</v>
      </c>
      <c r="Q7377">
        <f>22-10</f>
        <v>12</v>
      </c>
      <c r="R7377" t="s">
        <v>64</v>
      </c>
      <c r="AB7377" t="s">
        <v>47</v>
      </c>
      <c r="AC7377" t="s">
        <v>41</v>
      </c>
    </row>
    <row r="7378" spans="1:30" x14ac:dyDescent="0.35">
      <c r="A7378" s="7">
        <v>43292</v>
      </c>
      <c r="B7378" t="s">
        <v>30</v>
      </c>
      <c r="C7378">
        <v>203</v>
      </c>
      <c r="D7378">
        <v>5</v>
      </c>
      <c r="E7378">
        <v>1</v>
      </c>
      <c r="F7378" t="s">
        <v>1139</v>
      </c>
      <c r="G7378" t="s">
        <v>32</v>
      </c>
      <c r="H7378" t="s">
        <v>33</v>
      </c>
      <c r="I7378" t="s">
        <v>43</v>
      </c>
      <c r="J7378" t="s">
        <v>44</v>
      </c>
      <c r="K7378" t="s">
        <v>36</v>
      </c>
      <c r="L7378" t="s">
        <v>45</v>
      </c>
      <c r="M7378">
        <v>0</v>
      </c>
      <c r="N7378">
        <v>0</v>
      </c>
      <c r="O7378">
        <v>1198</v>
      </c>
      <c r="P7378">
        <v>1197</v>
      </c>
      <c r="Q7378">
        <f>31-11</f>
        <v>20</v>
      </c>
      <c r="R7378" t="s">
        <v>1028</v>
      </c>
      <c r="S7378" t="s">
        <v>102</v>
      </c>
      <c r="AB7378" t="s">
        <v>47</v>
      </c>
      <c r="AC7378" t="s">
        <v>41</v>
      </c>
    </row>
    <row r="7379" spans="1:30" x14ac:dyDescent="0.35">
      <c r="A7379" s="7">
        <v>43292</v>
      </c>
      <c r="B7379" t="s">
        <v>30</v>
      </c>
      <c r="C7379">
        <v>304</v>
      </c>
      <c r="D7379">
        <v>1</v>
      </c>
      <c r="E7379">
        <v>1</v>
      </c>
      <c r="F7379" t="s">
        <v>1139</v>
      </c>
      <c r="G7379" t="s">
        <v>32</v>
      </c>
      <c r="H7379" t="s">
        <v>33</v>
      </c>
      <c r="I7379" t="s">
        <v>43</v>
      </c>
      <c r="J7379" t="s">
        <v>35</v>
      </c>
      <c r="K7379" t="s">
        <v>36</v>
      </c>
      <c r="L7379" t="s">
        <v>37</v>
      </c>
      <c r="M7379">
        <v>0</v>
      </c>
      <c r="N7379">
        <v>1</v>
      </c>
      <c r="O7379">
        <v>1377</v>
      </c>
      <c r="P7379">
        <v>1376</v>
      </c>
      <c r="Q7379">
        <f>30-12</f>
        <v>18</v>
      </c>
      <c r="R7379" t="s">
        <v>38</v>
      </c>
      <c r="AB7379" t="s">
        <v>47</v>
      </c>
      <c r="AC7379" t="s">
        <v>41</v>
      </c>
    </row>
    <row r="7380" spans="1:30" x14ac:dyDescent="0.35">
      <c r="A7380" s="7">
        <v>43292</v>
      </c>
      <c r="B7380" t="s">
        <v>30</v>
      </c>
      <c r="C7380">
        <v>304</v>
      </c>
      <c r="D7380">
        <v>4</v>
      </c>
      <c r="E7380">
        <v>1</v>
      </c>
      <c r="F7380" t="s">
        <v>1139</v>
      </c>
      <c r="G7380" t="s">
        <v>32</v>
      </c>
      <c r="H7380" t="s">
        <v>33</v>
      </c>
      <c r="I7380" t="s">
        <v>43</v>
      </c>
      <c r="J7380" t="s">
        <v>35</v>
      </c>
      <c r="K7380" t="s">
        <v>36</v>
      </c>
      <c r="L7380" t="s">
        <v>37</v>
      </c>
      <c r="M7380">
        <v>0</v>
      </c>
      <c r="N7380">
        <v>1</v>
      </c>
      <c r="O7380">
        <v>1400</v>
      </c>
      <c r="P7380">
        <v>1399</v>
      </c>
      <c r="Q7380">
        <f>24-10</f>
        <v>14</v>
      </c>
      <c r="R7380" t="s">
        <v>64</v>
      </c>
      <c r="AB7380" t="s">
        <v>47</v>
      </c>
      <c r="AC7380" t="s">
        <v>41</v>
      </c>
    </row>
    <row r="7381" spans="1:30" x14ac:dyDescent="0.35">
      <c r="A7381" s="7">
        <v>43292</v>
      </c>
      <c r="B7381" t="s">
        <v>30</v>
      </c>
      <c r="C7381">
        <v>304</v>
      </c>
      <c r="D7381">
        <v>6</v>
      </c>
      <c r="E7381">
        <v>1</v>
      </c>
      <c r="F7381" t="s">
        <v>1139</v>
      </c>
      <c r="G7381" t="s">
        <v>32</v>
      </c>
      <c r="H7381" t="s">
        <v>33</v>
      </c>
      <c r="I7381" t="s">
        <v>43</v>
      </c>
      <c r="J7381" t="s">
        <v>35</v>
      </c>
      <c r="K7381" t="s">
        <v>113</v>
      </c>
      <c r="L7381" t="s">
        <v>37</v>
      </c>
      <c r="M7381">
        <v>0</v>
      </c>
      <c r="N7381">
        <v>1</v>
      </c>
      <c r="O7381">
        <v>1379</v>
      </c>
      <c r="P7381">
        <v>1378</v>
      </c>
      <c r="Q7381">
        <f>25-11</f>
        <v>14</v>
      </c>
      <c r="R7381" t="s">
        <v>64</v>
      </c>
      <c r="AB7381" t="s">
        <v>47</v>
      </c>
      <c r="AC7381" t="s">
        <v>41</v>
      </c>
    </row>
    <row r="7382" spans="1:30" x14ac:dyDescent="0.35">
      <c r="A7382" s="7">
        <v>43292</v>
      </c>
      <c r="B7382" t="s">
        <v>30</v>
      </c>
      <c r="C7382">
        <v>304</v>
      </c>
      <c r="D7382">
        <v>8</v>
      </c>
      <c r="E7382">
        <v>1</v>
      </c>
      <c r="F7382" t="s">
        <v>1139</v>
      </c>
      <c r="G7382" t="s">
        <v>32</v>
      </c>
      <c r="H7382" t="s">
        <v>33</v>
      </c>
      <c r="I7382" t="s">
        <v>43</v>
      </c>
      <c r="J7382" t="s">
        <v>35</v>
      </c>
      <c r="K7382" t="s">
        <v>113</v>
      </c>
      <c r="L7382" t="s">
        <v>37</v>
      </c>
      <c r="M7382">
        <v>0</v>
      </c>
      <c r="N7382">
        <v>1</v>
      </c>
      <c r="O7382">
        <v>1381</v>
      </c>
      <c r="P7382">
        <v>1380</v>
      </c>
      <c r="Q7382">
        <f>26-10</f>
        <v>16</v>
      </c>
      <c r="R7382" t="s">
        <v>64</v>
      </c>
      <c r="AB7382" t="s">
        <v>47</v>
      </c>
      <c r="AC7382" t="s">
        <v>41</v>
      </c>
    </row>
    <row r="7383" spans="1:30" x14ac:dyDescent="0.35">
      <c r="A7383" s="7">
        <v>43292</v>
      </c>
      <c r="B7383" t="s">
        <v>30</v>
      </c>
      <c r="C7383">
        <v>304</v>
      </c>
      <c r="D7383">
        <v>10</v>
      </c>
      <c r="E7383">
        <v>1</v>
      </c>
      <c r="F7383" t="s">
        <v>1139</v>
      </c>
      <c r="G7383" t="s">
        <v>32</v>
      </c>
      <c r="H7383" t="s">
        <v>33</v>
      </c>
      <c r="I7383" t="s">
        <v>43</v>
      </c>
      <c r="J7383" t="s">
        <v>44</v>
      </c>
      <c r="K7383" t="s">
        <v>88</v>
      </c>
      <c r="L7383" t="s">
        <v>45</v>
      </c>
      <c r="M7383">
        <v>0</v>
      </c>
      <c r="N7383">
        <v>0</v>
      </c>
      <c r="O7383">
        <v>1148</v>
      </c>
      <c r="P7383">
        <v>1147</v>
      </c>
      <c r="Q7383">
        <f>27-10</f>
        <v>17</v>
      </c>
      <c r="R7383" t="s">
        <v>46</v>
      </c>
      <c r="AB7383" t="s">
        <v>47</v>
      </c>
      <c r="AC7383" t="s">
        <v>41</v>
      </c>
    </row>
    <row r="7384" spans="1:30" x14ac:dyDescent="0.35">
      <c r="A7384" s="7">
        <v>43292</v>
      </c>
      <c r="B7384" t="s">
        <v>30</v>
      </c>
      <c r="C7384">
        <v>402</v>
      </c>
      <c r="D7384">
        <v>2</v>
      </c>
      <c r="E7384">
        <v>1</v>
      </c>
      <c r="F7384" t="s">
        <v>1020</v>
      </c>
      <c r="G7384" t="s">
        <v>32</v>
      </c>
      <c r="H7384" t="s">
        <v>33</v>
      </c>
      <c r="I7384" t="s">
        <v>43</v>
      </c>
      <c r="J7384" t="s">
        <v>139</v>
      </c>
      <c r="AB7384" t="s">
        <v>47</v>
      </c>
      <c r="AC7384" t="s">
        <v>87</v>
      </c>
      <c r="AD7384" t="s">
        <v>1217</v>
      </c>
    </row>
    <row r="7385" spans="1:30" x14ac:dyDescent="0.35">
      <c r="A7385" s="7">
        <v>43292</v>
      </c>
      <c r="B7385" t="s">
        <v>30</v>
      </c>
      <c r="C7385">
        <v>111</v>
      </c>
      <c r="D7385">
        <v>1</v>
      </c>
      <c r="E7385">
        <v>1</v>
      </c>
      <c r="F7385" t="s">
        <v>1020</v>
      </c>
      <c r="G7385" t="s">
        <v>32</v>
      </c>
      <c r="H7385" t="s">
        <v>33</v>
      </c>
      <c r="I7385" t="s">
        <v>34</v>
      </c>
      <c r="J7385" t="s">
        <v>44</v>
      </c>
      <c r="K7385" t="s">
        <v>36</v>
      </c>
      <c r="L7385" t="s">
        <v>45</v>
      </c>
      <c r="M7385">
        <v>0</v>
      </c>
      <c r="N7385">
        <v>0</v>
      </c>
      <c r="O7385">
        <v>1317</v>
      </c>
      <c r="Q7385">
        <f>210-127</f>
        <v>83</v>
      </c>
      <c r="R7385" t="s">
        <v>46</v>
      </c>
      <c r="S7385" t="s">
        <v>39</v>
      </c>
      <c r="AB7385" t="s">
        <v>47</v>
      </c>
      <c r="AC7385" t="s">
        <v>87</v>
      </c>
    </row>
    <row r="7386" spans="1:30" x14ac:dyDescent="0.35">
      <c r="A7386" s="7">
        <v>43292</v>
      </c>
      <c r="B7386" t="s">
        <v>30</v>
      </c>
      <c r="C7386">
        <v>111</v>
      </c>
      <c r="D7386">
        <v>7</v>
      </c>
      <c r="E7386">
        <v>1</v>
      </c>
      <c r="F7386" t="s">
        <v>1020</v>
      </c>
      <c r="G7386" t="s">
        <v>32</v>
      </c>
      <c r="H7386" t="s">
        <v>33</v>
      </c>
      <c r="I7386" t="s">
        <v>34</v>
      </c>
      <c r="J7386" t="s">
        <v>44</v>
      </c>
      <c r="K7386" t="s">
        <v>36</v>
      </c>
      <c r="L7386" t="s">
        <v>45</v>
      </c>
      <c r="M7386">
        <v>0</v>
      </c>
      <c r="N7386">
        <v>0</v>
      </c>
      <c r="O7386">
        <v>1312</v>
      </c>
      <c r="Q7386">
        <f>219-128</f>
        <v>91</v>
      </c>
      <c r="R7386" t="s">
        <v>46</v>
      </c>
      <c r="S7386" t="s">
        <v>39</v>
      </c>
      <c r="AB7386" t="s">
        <v>47</v>
      </c>
      <c r="AC7386" t="s">
        <v>87</v>
      </c>
    </row>
    <row r="7387" spans="1:30" x14ac:dyDescent="0.35">
      <c r="A7387" s="7">
        <v>43292</v>
      </c>
      <c r="B7387" t="s">
        <v>30</v>
      </c>
      <c r="C7387">
        <v>111</v>
      </c>
      <c r="D7387">
        <v>8</v>
      </c>
      <c r="E7387">
        <v>1</v>
      </c>
      <c r="F7387" t="s">
        <v>1020</v>
      </c>
      <c r="G7387" t="s">
        <v>32</v>
      </c>
      <c r="H7387" t="s">
        <v>33</v>
      </c>
      <c r="I7387" t="s">
        <v>34</v>
      </c>
      <c r="J7387" t="s">
        <v>35</v>
      </c>
      <c r="K7387" t="s">
        <v>36</v>
      </c>
      <c r="L7387" t="s">
        <v>37</v>
      </c>
      <c r="M7387">
        <v>0</v>
      </c>
      <c r="N7387">
        <v>1</v>
      </c>
      <c r="O7387">
        <v>1342</v>
      </c>
      <c r="Q7387">
        <f>205-128</f>
        <v>77</v>
      </c>
      <c r="R7387" t="s">
        <v>64</v>
      </c>
      <c r="AB7387" t="s">
        <v>47</v>
      </c>
      <c r="AC7387" t="s">
        <v>87</v>
      </c>
    </row>
    <row r="7388" spans="1:30" x14ac:dyDescent="0.35">
      <c r="A7388" s="7">
        <v>43292</v>
      </c>
      <c r="B7388" t="s">
        <v>30</v>
      </c>
      <c r="C7388">
        <v>112</v>
      </c>
      <c r="D7388">
        <v>3</v>
      </c>
      <c r="E7388">
        <v>2</v>
      </c>
      <c r="F7388" t="s">
        <v>1020</v>
      </c>
      <c r="G7388" t="s">
        <v>32</v>
      </c>
      <c r="H7388" t="s">
        <v>33</v>
      </c>
      <c r="I7388" t="s">
        <v>34</v>
      </c>
      <c r="J7388" t="s">
        <v>44</v>
      </c>
      <c r="K7388" t="s">
        <v>36</v>
      </c>
      <c r="L7388" t="s">
        <v>37</v>
      </c>
      <c r="M7388">
        <v>0</v>
      </c>
      <c r="N7388">
        <v>0</v>
      </c>
      <c r="O7388">
        <v>1326</v>
      </c>
      <c r="Q7388">
        <f>231-128</f>
        <v>103</v>
      </c>
      <c r="R7388" t="s">
        <v>64</v>
      </c>
      <c r="AB7388" t="s">
        <v>47</v>
      </c>
      <c r="AC7388" t="s">
        <v>87</v>
      </c>
    </row>
    <row r="7389" spans="1:30" x14ac:dyDescent="0.35">
      <c r="A7389" s="7">
        <v>43292</v>
      </c>
      <c r="B7389" t="s">
        <v>30</v>
      </c>
      <c r="C7389">
        <v>112</v>
      </c>
      <c r="D7389">
        <v>9</v>
      </c>
      <c r="E7389">
        <v>2</v>
      </c>
      <c r="F7389" t="s">
        <v>1020</v>
      </c>
      <c r="G7389" t="s">
        <v>32</v>
      </c>
      <c r="H7389" t="s">
        <v>33</v>
      </c>
      <c r="I7389" t="s">
        <v>34</v>
      </c>
      <c r="J7389" t="s">
        <v>44</v>
      </c>
      <c r="K7389" t="s">
        <v>36</v>
      </c>
      <c r="L7389" t="s">
        <v>37</v>
      </c>
      <c r="M7389">
        <v>0</v>
      </c>
      <c r="N7389">
        <v>0</v>
      </c>
      <c r="O7389">
        <v>1057</v>
      </c>
      <c r="Q7389">
        <f>209-128</f>
        <v>81</v>
      </c>
      <c r="R7389" t="s">
        <v>64</v>
      </c>
      <c r="AB7389" t="s">
        <v>47</v>
      </c>
      <c r="AC7389" t="s">
        <v>87</v>
      </c>
    </row>
    <row r="7390" spans="1:30" x14ac:dyDescent="0.35">
      <c r="A7390" s="7">
        <v>43292</v>
      </c>
      <c r="B7390" t="s">
        <v>30</v>
      </c>
      <c r="C7390">
        <v>113</v>
      </c>
      <c r="D7390">
        <v>3</v>
      </c>
      <c r="E7390">
        <v>1</v>
      </c>
      <c r="F7390" t="s">
        <v>1020</v>
      </c>
      <c r="G7390" t="s">
        <v>32</v>
      </c>
      <c r="H7390" t="s">
        <v>33</v>
      </c>
      <c r="I7390" t="s">
        <v>34</v>
      </c>
      <c r="J7390" t="s">
        <v>44</v>
      </c>
      <c r="K7390" t="s">
        <v>36</v>
      </c>
      <c r="L7390" t="s">
        <v>37</v>
      </c>
      <c r="M7390">
        <v>0</v>
      </c>
      <c r="N7390">
        <v>0</v>
      </c>
      <c r="O7390">
        <v>1340</v>
      </c>
      <c r="Q7390">
        <f>210-128</f>
        <v>82</v>
      </c>
      <c r="R7390" t="s">
        <v>64</v>
      </c>
      <c r="AB7390" t="s">
        <v>47</v>
      </c>
      <c r="AC7390" t="s">
        <v>87</v>
      </c>
    </row>
    <row r="7391" spans="1:30" x14ac:dyDescent="0.35">
      <c r="A7391" s="7">
        <v>43292</v>
      </c>
      <c r="B7391" t="s">
        <v>30</v>
      </c>
      <c r="C7391">
        <v>113</v>
      </c>
      <c r="D7391">
        <v>6</v>
      </c>
      <c r="E7391">
        <v>2</v>
      </c>
      <c r="F7391" t="s">
        <v>1020</v>
      </c>
      <c r="G7391" t="s">
        <v>32</v>
      </c>
      <c r="H7391" t="s">
        <v>33</v>
      </c>
      <c r="I7391" t="s">
        <v>34</v>
      </c>
      <c r="J7391" t="s">
        <v>44</v>
      </c>
      <c r="K7391" t="s">
        <v>36</v>
      </c>
      <c r="L7391" t="s">
        <v>45</v>
      </c>
      <c r="M7391">
        <v>0</v>
      </c>
      <c r="N7391">
        <v>0</v>
      </c>
      <c r="O7391">
        <v>1118</v>
      </c>
      <c r="Q7391">
        <f>218-128</f>
        <v>90</v>
      </c>
      <c r="R7391" t="s">
        <v>46</v>
      </c>
      <c r="S7391" t="s">
        <v>39</v>
      </c>
      <c r="AB7391" t="s">
        <v>47</v>
      </c>
      <c r="AC7391" t="s">
        <v>87</v>
      </c>
    </row>
    <row r="7392" spans="1:30" x14ac:dyDescent="0.35">
      <c r="A7392" s="7">
        <v>43292</v>
      </c>
      <c r="B7392" t="s">
        <v>30</v>
      </c>
      <c r="C7392">
        <v>113</v>
      </c>
      <c r="D7392">
        <v>7</v>
      </c>
      <c r="E7392">
        <v>2</v>
      </c>
      <c r="F7392" t="s">
        <v>1020</v>
      </c>
      <c r="G7392" t="s">
        <v>32</v>
      </c>
      <c r="H7392" t="s">
        <v>33</v>
      </c>
      <c r="I7392" t="s">
        <v>34</v>
      </c>
      <c r="J7392" t="s">
        <v>44</v>
      </c>
      <c r="K7392" t="s">
        <v>36</v>
      </c>
      <c r="L7392" t="s">
        <v>37</v>
      </c>
      <c r="M7392">
        <v>0</v>
      </c>
      <c r="N7392">
        <v>0</v>
      </c>
      <c r="O7392">
        <v>1058</v>
      </c>
      <c r="Q7392">
        <f>210-127</f>
        <v>83</v>
      </c>
      <c r="R7392" t="s">
        <v>64</v>
      </c>
      <c r="AB7392" t="s">
        <v>47</v>
      </c>
      <c r="AC7392" t="s">
        <v>87</v>
      </c>
    </row>
    <row r="7393" spans="1:30" x14ac:dyDescent="0.35">
      <c r="A7393" s="7">
        <v>43292</v>
      </c>
      <c r="B7393" t="s">
        <v>30</v>
      </c>
      <c r="C7393">
        <v>113</v>
      </c>
      <c r="D7393">
        <v>10</v>
      </c>
      <c r="E7393">
        <v>1</v>
      </c>
      <c r="F7393" t="s">
        <v>1020</v>
      </c>
      <c r="G7393" t="s">
        <v>32</v>
      </c>
      <c r="H7393" t="s">
        <v>33</v>
      </c>
      <c r="I7393" t="s">
        <v>34</v>
      </c>
      <c r="J7393" t="s">
        <v>35</v>
      </c>
      <c r="K7393" t="s">
        <v>36</v>
      </c>
      <c r="L7393" t="s">
        <v>45</v>
      </c>
      <c r="M7393">
        <v>0</v>
      </c>
      <c r="N7393">
        <v>1</v>
      </c>
      <c r="O7393">
        <v>1347</v>
      </c>
      <c r="Q7393">
        <f>221-127</f>
        <v>94</v>
      </c>
      <c r="R7393" t="s">
        <v>46</v>
      </c>
      <c r="S7393" t="s">
        <v>39</v>
      </c>
      <c r="AB7393" t="s">
        <v>47</v>
      </c>
      <c r="AC7393" t="s">
        <v>87</v>
      </c>
    </row>
    <row r="7394" spans="1:30" x14ac:dyDescent="0.35">
      <c r="A7394" s="7">
        <v>43292</v>
      </c>
      <c r="B7394" t="s">
        <v>30</v>
      </c>
      <c r="C7394">
        <v>304</v>
      </c>
      <c r="D7394">
        <v>4</v>
      </c>
      <c r="E7394">
        <v>2</v>
      </c>
      <c r="F7394" t="s">
        <v>1139</v>
      </c>
      <c r="G7394" t="s">
        <v>32</v>
      </c>
      <c r="H7394" t="s">
        <v>33</v>
      </c>
      <c r="I7394" t="s">
        <v>34</v>
      </c>
      <c r="J7394" t="s">
        <v>44</v>
      </c>
      <c r="K7394" t="s">
        <v>36</v>
      </c>
      <c r="L7394" t="s">
        <v>37</v>
      </c>
      <c r="M7394">
        <v>0</v>
      </c>
      <c r="N7394">
        <v>0</v>
      </c>
      <c r="O7394">
        <v>1158</v>
      </c>
      <c r="Q7394">
        <f>170-85</f>
        <v>85</v>
      </c>
      <c r="R7394" t="s">
        <v>38</v>
      </c>
      <c r="AB7394" t="s">
        <v>47</v>
      </c>
      <c r="AC7394" t="s">
        <v>41</v>
      </c>
    </row>
    <row r="7395" spans="1:30" x14ac:dyDescent="0.35">
      <c r="A7395" s="7">
        <v>43292</v>
      </c>
      <c r="B7395" t="s">
        <v>30</v>
      </c>
      <c r="C7395">
        <v>402</v>
      </c>
      <c r="D7395">
        <v>4</v>
      </c>
      <c r="E7395">
        <v>2</v>
      </c>
      <c r="F7395" t="s">
        <v>1020</v>
      </c>
      <c r="G7395" t="s">
        <v>32</v>
      </c>
      <c r="H7395" t="s">
        <v>33</v>
      </c>
      <c r="I7395" t="s">
        <v>34</v>
      </c>
      <c r="J7395" t="s">
        <v>44</v>
      </c>
      <c r="K7395" t="s">
        <v>36</v>
      </c>
      <c r="L7395" t="s">
        <v>45</v>
      </c>
      <c r="M7395">
        <v>0</v>
      </c>
      <c r="N7395">
        <v>0</v>
      </c>
      <c r="O7395">
        <v>1309</v>
      </c>
      <c r="Q7395">
        <f>206-126</f>
        <v>80</v>
      </c>
      <c r="R7395" t="s">
        <v>46</v>
      </c>
      <c r="S7395" t="s">
        <v>39</v>
      </c>
      <c r="AB7395" t="s">
        <v>47</v>
      </c>
      <c r="AC7395" t="s">
        <v>87</v>
      </c>
    </row>
    <row r="7396" spans="1:30" x14ac:dyDescent="0.35">
      <c r="A7396" s="7">
        <v>43292</v>
      </c>
      <c r="B7396" t="s">
        <v>30</v>
      </c>
      <c r="C7396">
        <v>304</v>
      </c>
      <c r="D7396">
        <v>3</v>
      </c>
      <c r="E7396">
        <v>1</v>
      </c>
      <c r="F7396" t="s">
        <v>1139</v>
      </c>
      <c r="G7396" t="s">
        <v>32</v>
      </c>
      <c r="H7396" t="s">
        <v>33</v>
      </c>
      <c r="I7396" t="s">
        <v>1029</v>
      </c>
      <c r="J7396" t="s">
        <v>66</v>
      </c>
      <c r="AB7396" t="s">
        <v>47</v>
      </c>
      <c r="AC7396" t="s">
        <v>41</v>
      </c>
    </row>
    <row r="7397" spans="1:30" x14ac:dyDescent="0.35">
      <c r="A7397" s="7">
        <v>43292</v>
      </c>
      <c r="B7397" t="s">
        <v>30</v>
      </c>
      <c r="C7397">
        <v>111</v>
      </c>
      <c r="D7397">
        <v>3</v>
      </c>
      <c r="E7397">
        <v>2</v>
      </c>
      <c r="F7397" t="s">
        <v>1020</v>
      </c>
      <c r="G7397" t="s">
        <v>32</v>
      </c>
      <c r="H7397" t="s">
        <v>33</v>
      </c>
      <c r="I7397" t="s">
        <v>72</v>
      </c>
      <c r="J7397" t="s">
        <v>56</v>
      </c>
      <c r="AB7397" t="s">
        <v>47</v>
      </c>
      <c r="AC7397" t="s">
        <v>87</v>
      </c>
    </row>
    <row r="7398" spans="1:30" x14ac:dyDescent="0.35">
      <c r="A7398" s="7">
        <v>43292</v>
      </c>
      <c r="B7398" t="s">
        <v>30</v>
      </c>
      <c r="C7398">
        <v>111</v>
      </c>
      <c r="D7398">
        <v>4</v>
      </c>
      <c r="E7398">
        <v>1</v>
      </c>
      <c r="F7398" t="s">
        <v>1020</v>
      </c>
      <c r="G7398" t="s">
        <v>32</v>
      </c>
      <c r="H7398" t="s">
        <v>33</v>
      </c>
      <c r="I7398" t="s">
        <v>72</v>
      </c>
      <c r="J7398" t="s">
        <v>56</v>
      </c>
      <c r="AB7398" t="s">
        <v>47</v>
      </c>
      <c r="AC7398" t="s">
        <v>87</v>
      </c>
    </row>
    <row r="7399" spans="1:30" x14ac:dyDescent="0.35">
      <c r="A7399" s="7">
        <v>43292</v>
      </c>
      <c r="B7399" t="s">
        <v>30</v>
      </c>
      <c r="C7399">
        <v>111</v>
      </c>
      <c r="D7399">
        <v>9</v>
      </c>
      <c r="E7399">
        <v>2</v>
      </c>
      <c r="F7399" t="s">
        <v>1020</v>
      </c>
      <c r="G7399" t="s">
        <v>32</v>
      </c>
      <c r="H7399" t="s">
        <v>33</v>
      </c>
      <c r="I7399" t="s">
        <v>72</v>
      </c>
      <c r="J7399" t="s">
        <v>56</v>
      </c>
      <c r="AB7399" t="s">
        <v>47</v>
      </c>
      <c r="AC7399" t="s">
        <v>87</v>
      </c>
    </row>
    <row r="7400" spans="1:30" x14ac:dyDescent="0.35">
      <c r="A7400" s="7">
        <v>43292</v>
      </c>
      <c r="B7400" t="s">
        <v>30</v>
      </c>
      <c r="C7400">
        <v>111</v>
      </c>
      <c r="D7400">
        <v>10</v>
      </c>
      <c r="E7400">
        <v>1</v>
      </c>
      <c r="F7400" t="s">
        <v>1020</v>
      </c>
      <c r="G7400" t="s">
        <v>32</v>
      </c>
      <c r="H7400" t="s">
        <v>33</v>
      </c>
      <c r="I7400" t="s">
        <v>72</v>
      </c>
      <c r="J7400" t="s">
        <v>56</v>
      </c>
      <c r="AB7400" t="s">
        <v>47</v>
      </c>
      <c r="AC7400" t="s">
        <v>87</v>
      </c>
    </row>
    <row r="7401" spans="1:30" x14ac:dyDescent="0.35">
      <c r="A7401" s="7">
        <v>43292</v>
      </c>
      <c r="B7401" t="s">
        <v>30</v>
      </c>
      <c r="C7401">
        <v>111</v>
      </c>
      <c r="D7401">
        <v>10</v>
      </c>
      <c r="E7401">
        <v>2</v>
      </c>
      <c r="F7401" t="s">
        <v>1020</v>
      </c>
      <c r="G7401" t="s">
        <v>32</v>
      </c>
      <c r="H7401" t="s">
        <v>33</v>
      </c>
      <c r="I7401" t="s">
        <v>72</v>
      </c>
      <c r="J7401" t="s">
        <v>56</v>
      </c>
      <c r="AB7401" t="s">
        <v>47</v>
      </c>
      <c r="AC7401" t="s">
        <v>87</v>
      </c>
    </row>
    <row r="7402" spans="1:30" x14ac:dyDescent="0.35">
      <c r="A7402" s="7">
        <v>43292</v>
      </c>
      <c r="B7402" t="s">
        <v>30</v>
      </c>
      <c r="C7402">
        <v>112</v>
      </c>
      <c r="D7402">
        <v>4</v>
      </c>
      <c r="E7402">
        <v>1</v>
      </c>
      <c r="F7402" t="s">
        <v>1020</v>
      </c>
      <c r="G7402" t="s">
        <v>32</v>
      </c>
      <c r="H7402" t="s">
        <v>33</v>
      </c>
      <c r="I7402" t="s">
        <v>72</v>
      </c>
      <c r="J7402" t="s">
        <v>66</v>
      </c>
      <c r="AB7402" t="s">
        <v>47</v>
      </c>
      <c r="AC7402" t="s">
        <v>87</v>
      </c>
    </row>
    <row r="7403" spans="1:30" x14ac:dyDescent="0.35">
      <c r="A7403" s="7">
        <v>43292</v>
      </c>
      <c r="B7403" t="s">
        <v>30</v>
      </c>
      <c r="C7403">
        <v>112</v>
      </c>
      <c r="D7403">
        <v>6</v>
      </c>
      <c r="E7403">
        <v>1</v>
      </c>
      <c r="F7403" t="s">
        <v>1020</v>
      </c>
      <c r="G7403" t="s">
        <v>32</v>
      </c>
      <c r="H7403" t="s">
        <v>33</v>
      </c>
      <c r="I7403" t="s">
        <v>72</v>
      </c>
      <c r="J7403" t="s">
        <v>56</v>
      </c>
      <c r="AB7403" t="s">
        <v>47</v>
      </c>
      <c r="AC7403" t="s">
        <v>87</v>
      </c>
    </row>
    <row r="7404" spans="1:30" x14ac:dyDescent="0.35">
      <c r="A7404" s="7">
        <v>43292</v>
      </c>
      <c r="B7404" t="s">
        <v>30</v>
      </c>
      <c r="C7404">
        <v>112</v>
      </c>
      <c r="D7404">
        <v>8</v>
      </c>
      <c r="E7404">
        <v>1</v>
      </c>
      <c r="F7404" t="s">
        <v>1020</v>
      </c>
      <c r="G7404" t="s">
        <v>32</v>
      </c>
      <c r="H7404" t="s">
        <v>33</v>
      </c>
      <c r="I7404" t="s">
        <v>72</v>
      </c>
      <c r="J7404" t="s">
        <v>56</v>
      </c>
      <c r="AB7404" t="s">
        <v>47</v>
      </c>
      <c r="AC7404" t="s">
        <v>87</v>
      </c>
    </row>
    <row r="7405" spans="1:30" x14ac:dyDescent="0.35">
      <c r="A7405" s="7">
        <v>43292</v>
      </c>
      <c r="B7405" t="s">
        <v>30</v>
      </c>
      <c r="C7405">
        <v>113</v>
      </c>
      <c r="D7405">
        <v>6</v>
      </c>
      <c r="E7405">
        <v>1</v>
      </c>
      <c r="F7405" t="s">
        <v>1020</v>
      </c>
      <c r="G7405" t="s">
        <v>32</v>
      </c>
      <c r="H7405" t="s">
        <v>33</v>
      </c>
      <c r="I7405" t="s">
        <v>72</v>
      </c>
      <c r="J7405" t="s">
        <v>56</v>
      </c>
      <c r="AB7405" t="s">
        <v>47</v>
      </c>
      <c r="AC7405" t="s">
        <v>87</v>
      </c>
    </row>
    <row r="7406" spans="1:30" x14ac:dyDescent="0.35">
      <c r="A7406" s="7">
        <v>43292</v>
      </c>
      <c r="B7406" t="s">
        <v>30</v>
      </c>
      <c r="C7406">
        <v>201</v>
      </c>
      <c r="D7406">
        <v>3</v>
      </c>
      <c r="E7406">
        <v>2</v>
      </c>
      <c r="F7406" t="s">
        <v>1139</v>
      </c>
      <c r="G7406" t="s">
        <v>32</v>
      </c>
      <c r="H7406" t="s">
        <v>33</v>
      </c>
      <c r="I7406" t="s">
        <v>72</v>
      </c>
      <c r="J7406" t="s">
        <v>56</v>
      </c>
      <c r="AB7406" t="s">
        <v>47</v>
      </c>
      <c r="AC7406" t="s">
        <v>41</v>
      </c>
    </row>
    <row r="7407" spans="1:30" x14ac:dyDescent="0.35">
      <c r="A7407" s="7">
        <v>43292</v>
      </c>
      <c r="B7407" t="s">
        <v>30</v>
      </c>
      <c r="C7407">
        <v>201</v>
      </c>
      <c r="D7407">
        <v>4</v>
      </c>
      <c r="E7407">
        <v>2</v>
      </c>
      <c r="F7407" t="s">
        <v>1139</v>
      </c>
      <c r="G7407" t="s">
        <v>32</v>
      </c>
      <c r="H7407" t="s">
        <v>33</v>
      </c>
      <c r="I7407" t="s">
        <v>72</v>
      </c>
      <c r="J7407" t="s">
        <v>56</v>
      </c>
      <c r="AB7407" t="s">
        <v>47</v>
      </c>
      <c r="AC7407" t="s">
        <v>41</v>
      </c>
    </row>
    <row r="7408" spans="1:30" x14ac:dyDescent="0.35">
      <c r="A7408" s="7">
        <v>43292</v>
      </c>
      <c r="B7408" t="s">
        <v>30</v>
      </c>
      <c r="C7408">
        <v>201</v>
      </c>
      <c r="D7408">
        <v>6</v>
      </c>
      <c r="E7408">
        <v>1</v>
      </c>
      <c r="F7408" t="s">
        <v>1139</v>
      </c>
      <c r="G7408" t="s">
        <v>32</v>
      </c>
      <c r="H7408" t="s">
        <v>33</v>
      </c>
      <c r="I7408" t="s">
        <v>72</v>
      </c>
      <c r="J7408" t="s">
        <v>56</v>
      </c>
      <c r="AB7408" t="s">
        <v>47</v>
      </c>
      <c r="AC7408" t="s">
        <v>41</v>
      </c>
      <c r="AD7408" t="s">
        <v>1218</v>
      </c>
    </row>
    <row r="7409" spans="1:30" x14ac:dyDescent="0.35">
      <c r="A7409" s="7">
        <v>43292</v>
      </c>
      <c r="B7409" t="s">
        <v>30</v>
      </c>
      <c r="C7409">
        <v>202</v>
      </c>
      <c r="D7409">
        <v>2</v>
      </c>
      <c r="E7409">
        <v>1</v>
      </c>
      <c r="F7409" t="s">
        <v>1139</v>
      </c>
      <c r="G7409" t="s">
        <v>32</v>
      </c>
      <c r="H7409" t="s">
        <v>33</v>
      </c>
      <c r="I7409" t="s">
        <v>72</v>
      </c>
      <c r="J7409" t="s">
        <v>66</v>
      </c>
      <c r="AB7409" t="s">
        <v>47</v>
      </c>
      <c r="AC7409" t="s">
        <v>41</v>
      </c>
    </row>
    <row r="7410" spans="1:30" x14ac:dyDescent="0.35">
      <c r="A7410" s="7">
        <v>43292</v>
      </c>
      <c r="B7410" t="s">
        <v>30</v>
      </c>
      <c r="C7410">
        <v>203</v>
      </c>
      <c r="D7410">
        <v>1</v>
      </c>
      <c r="E7410">
        <v>1</v>
      </c>
      <c r="F7410" t="s">
        <v>1139</v>
      </c>
      <c r="G7410" t="s">
        <v>32</v>
      </c>
      <c r="H7410" t="s">
        <v>33</v>
      </c>
      <c r="I7410" t="s">
        <v>72</v>
      </c>
      <c r="J7410" t="s">
        <v>56</v>
      </c>
      <c r="AB7410" t="s">
        <v>47</v>
      </c>
      <c r="AC7410" t="s">
        <v>41</v>
      </c>
    </row>
    <row r="7411" spans="1:30" x14ac:dyDescent="0.35">
      <c r="A7411" s="7">
        <v>43292</v>
      </c>
      <c r="B7411" t="s">
        <v>30</v>
      </c>
      <c r="C7411">
        <v>203</v>
      </c>
      <c r="D7411">
        <v>4</v>
      </c>
      <c r="E7411">
        <v>1</v>
      </c>
      <c r="F7411" t="s">
        <v>1139</v>
      </c>
      <c r="G7411" t="s">
        <v>32</v>
      </c>
      <c r="H7411" t="s">
        <v>33</v>
      </c>
      <c r="I7411" t="s">
        <v>72</v>
      </c>
      <c r="J7411" t="s">
        <v>56</v>
      </c>
      <c r="AB7411" t="s">
        <v>47</v>
      </c>
      <c r="AC7411" t="s">
        <v>41</v>
      </c>
    </row>
    <row r="7412" spans="1:30" x14ac:dyDescent="0.35">
      <c r="A7412" s="7">
        <v>43292</v>
      </c>
      <c r="B7412" t="s">
        <v>30</v>
      </c>
      <c r="C7412">
        <v>203</v>
      </c>
      <c r="D7412">
        <v>6</v>
      </c>
      <c r="E7412">
        <v>2</v>
      </c>
      <c r="F7412" t="s">
        <v>1139</v>
      </c>
      <c r="G7412" t="s">
        <v>32</v>
      </c>
      <c r="H7412" t="s">
        <v>33</v>
      </c>
      <c r="I7412" t="s">
        <v>72</v>
      </c>
      <c r="J7412" t="s">
        <v>56</v>
      </c>
      <c r="AB7412" t="s">
        <v>47</v>
      </c>
      <c r="AC7412" t="s">
        <v>41</v>
      </c>
    </row>
    <row r="7413" spans="1:30" x14ac:dyDescent="0.35">
      <c r="A7413" s="7">
        <v>43292</v>
      </c>
      <c r="B7413" t="s">
        <v>30</v>
      </c>
      <c r="C7413">
        <v>304</v>
      </c>
      <c r="D7413">
        <v>9</v>
      </c>
      <c r="E7413">
        <v>1</v>
      </c>
      <c r="F7413" t="s">
        <v>1139</v>
      </c>
      <c r="G7413" t="s">
        <v>32</v>
      </c>
      <c r="H7413" t="s">
        <v>33</v>
      </c>
      <c r="I7413" t="s">
        <v>72</v>
      </c>
      <c r="J7413" t="s">
        <v>1206</v>
      </c>
      <c r="AB7413" t="s">
        <v>47</v>
      </c>
      <c r="AC7413" t="s">
        <v>41</v>
      </c>
    </row>
    <row r="7414" spans="1:30" x14ac:dyDescent="0.35">
      <c r="A7414" s="7">
        <v>43292</v>
      </c>
      <c r="B7414" t="s">
        <v>30</v>
      </c>
      <c r="C7414">
        <v>402</v>
      </c>
      <c r="D7414">
        <v>4</v>
      </c>
      <c r="E7414">
        <v>1</v>
      </c>
      <c r="F7414" t="s">
        <v>1020</v>
      </c>
      <c r="G7414" t="s">
        <v>32</v>
      </c>
      <c r="H7414" t="s">
        <v>33</v>
      </c>
      <c r="I7414" t="s">
        <v>72</v>
      </c>
      <c r="J7414" t="s">
        <v>66</v>
      </c>
      <c r="AB7414" t="s">
        <v>47</v>
      </c>
      <c r="AC7414" t="s">
        <v>87</v>
      </c>
    </row>
    <row r="7415" spans="1:30" x14ac:dyDescent="0.35">
      <c r="A7415" s="7">
        <v>43292</v>
      </c>
      <c r="B7415" t="s">
        <v>30</v>
      </c>
      <c r="C7415">
        <v>402</v>
      </c>
      <c r="D7415">
        <v>9</v>
      </c>
      <c r="E7415">
        <v>1</v>
      </c>
      <c r="F7415" t="s">
        <v>1020</v>
      </c>
      <c r="G7415" t="s">
        <v>32</v>
      </c>
      <c r="H7415" t="s">
        <v>33</v>
      </c>
      <c r="I7415" t="s">
        <v>72</v>
      </c>
      <c r="J7415" t="s">
        <v>56</v>
      </c>
      <c r="AB7415" t="s">
        <v>47</v>
      </c>
      <c r="AC7415" t="s">
        <v>87</v>
      </c>
    </row>
    <row r="7416" spans="1:30" x14ac:dyDescent="0.35">
      <c r="A7416" s="7">
        <v>43292</v>
      </c>
      <c r="B7416" t="s">
        <v>30</v>
      </c>
      <c r="C7416">
        <v>203</v>
      </c>
      <c r="D7416">
        <v>8</v>
      </c>
      <c r="E7416">
        <v>1</v>
      </c>
      <c r="F7416" t="s">
        <v>1139</v>
      </c>
      <c r="G7416" t="s">
        <v>32</v>
      </c>
      <c r="H7416" t="s">
        <v>33</v>
      </c>
      <c r="I7416" t="s">
        <v>1183</v>
      </c>
      <c r="J7416" t="s">
        <v>56</v>
      </c>
      <c r="AB7416" t="s">
        <v>47</v>
      </c>
      <c r="AC7416" t="s">
        <v>41</v>
      </c>
    </row>
    <row r="7417" spans="1:30" x14ac:dyDescent="0.35">
      <c r="A7417" s="7">
        <v>43292</v>
      </c>
      <c r="B7417" t="s">
        <v>30</v>
      </c>
      <c r="C7417">
        <v>202</v>
      </c>
      <c r="D7417">
        <v>2</v>
      </c>
      <c r="E7417">
        <v>2</v>
      </c>
      <c r="F7417" t="s">
        <v>1139</v>
      </c>
      <c r="G7417" t="s">
        <v>32</v>
      </c>
      <c r="H7417" t="s">
        <v>33</v>
      </c>
      <c r="I7417" t="s">
        <v>84</v>
      </c>
      <c r="AB7417" t="s">
        <v>47</v>
      </c>
      <c r="AC7417" t="s">
        <v>41</v>
      </c>
    </row>
    <row r="7418" spans="1:30" x14ac:dyDescent="0.35">
      <c r="A7418" s="7">
        <v>43292</v>
      </c>
      <c r="B7418" t="s">
        <v>30</v>
      </c>
      <c r="C7418">
        <v>402</v>
      </c>
      <c r="D7418">
        <v>10</v>
      </c>
      <c r="E7418">
        <v>1</v>
      </c>
      <c r="F7418" t="s">
        <v>1020</v>
      </c>
      <c r="G7418" t="s">
        <v>32</v>
      </c>
      <c r="H7418" t="s">
        <v>33</v>
      </c>
      <c r="I7418" t="s">
        <v>84</v>
      </c>
      <c r="AB7418" t="s">
        <v>47</v>
      </c>
      <c r="AC7418" t="s">
        <v>87</v>
      </c>
      <c r="AD7418" t="s">
        <v>1219</v>
      </c>
    </row>
    <row r="7419" spans="1:30" x14ac:dyDescent="0.35">
      <c r="A7419" s="7">
        <v>43292</v>
      </c>
      <c r="B7419" t="s">
        <v>30</v>
      </c>
      <c r="C7419">
        <v>111</v>
      </c>
      <c r="D7419">
        <v>2</v>
      </c>
      <c r="E7419">
        <v>1</v>
      </c>
      <c r="F7419" t="s">
        <v>1020</v>
      </c>
      <c r="G7419" t="s">
        <v>32</v>
      </c>
      <c r="H7419" t="s">
        <v>33</v>
      </c>
      <c r="I7419" t="s">
        <v>59</v>
      </c>
      <c r="AB7419" t="s">
        <v>47</v>
      </c>
      <c r="AC7419" t="s">
        <v>87</v>
      </c>
    </row>
    <row r="7420" spans="1:30" x14ac:dyDescent="0.35">
      <c r="A7420" s="7">
        <v>43292</v>
      </c>
      <c r="B7420" t="s">
        <v>30</v>
      </c>
      <c r="C7420">
        <v>111</v>
      </c>
      <c r="D7420">
        <v>4</v>
      </c>
      <c r="E7420">
        <v>2</v>
      </c>
      <c r="F7420" t="s">
        <v>1020</v>
      </c>
      <c r="G7420" t="s">
        <v>32</v>
      </c>
      <c r="H7420" t="s">
        <v>33</v>
      </c>
      <c r="I7420" t="s">
        <v>59</v>
      </c>
      <c r="AB7420" t="s">
        <v>47</v>
      </c>
      <c r="AC7420" t="s">
        <v>87</v>
      </c>
    </row>
    <row r="7421" spans="1:30" x14ac:dyDescent="0.35">
      <c r="A7421" s="7">
        <v>43292</v>
      </c>
      <c r="B7421" t="s">
        <v>30</v>
      </c>
      <c r="C7421">
        <v>111</v>
      </c>
      <c r="D7421">
        <v>8</v>
      </c>
      <c r="E7421">
        <v>2</v>
      </c>
      <c r="F7421" t="s">
        <v>1020</v>
      </c>
      <c r="G7421" t="s">
        <v>32</v>
      </c>
      <c r="H7421" t="s">
        <v>33</v>
      </c>
      <c r="I7421" t="s">
        <v>59</v>
      </c>
      <c r="AB7421" t="s">
        <v>47</v>
      </c>
      <c r="AC7421" t="s">
        <v>87</v>
      </c>
    </row>
    <row r="7422" spans="1:30" x14ac:dyDescent="0.35">
      <c r="A7422" s="7">
        <v>43292</v>
      </c>
      <c r="B7422" t="s">
        <v>30</v>
      </c>
      <c r="C7422">
        <v>111</v>
      </c>
      <c r="D7422">
        <v>9</v>
      </c>
      <c r="E7422">
        <v>1</v>
      </c>
      <c r="F7422" t="s">
        <v>1020</v>
      </c>
      <c r="G7422" t="s">
        <v>32</v>
      </c>
      <c r="H7422" t="s">
        <v>33</v>
      </c>
      <c r="I7422" t="s">
        <v>59</v>
      </c>
      <c r="AB7422" t="s">
        <v>47</v>
      </c>
      <c r="AC7422" t="s">
        <v>87</v>
      </c>
    </row>
    <row r="7423" spans="1:30" x14ac:dyDescent="0.35">
      <c r="A7423" s="7">
        <v>43292</v>
      </c>
      <c r="B7423" t="s">
        <v>30</v>
      </c>
      <c r="C7423">
        <v>112</v>
      </c>
      <c r="D7423">
        <v>2</v>
      </c>
      <c r="E7423">
        <v>2</v>
      </c>
      <c r="F7423" t="s">
        <v>1020</v>
      </c>
      <c r="G7423" t="s">
        <v>32</v>
      </c>
      <c r="H7423" t="s">
        <v>33</v>
      </c>
      <c r="I7423" t="s">
        <v>59</v>
      </c>
      <c r="AB7423" t="s">
        <v>47</v>
      </c>
      <c r="AC7423" t="s">
        <v>87</v>
      </c>
    </row>
    <row r="7424" spans="1:30" x14ac:dyDescent="0.35">
      <c r="A7424" s="7">
        <v>43292</v>
      </c>
      <c r="B7424" t="s">
        <v>30</v>
      </c>
      <c r="C7424">
        <v>112</v>
      </c>
      <c r="D7424">
        <v>3</v>
      </c>
      <c r="E7424">
        <v>1</v>
      </c>
      <c r="F7424" t="s">
        <v>1020</v>
      </c>
      <c r="G7424" t="s">
        <v>32</v>
      </c>
      <c r="H7424" t="s">
        <v>33</v>
      </c>
      <c r="I7424" t="s">
        <v>59</v>
      </c>
      <c r="AB7424" t="s">
        <v>47</v>
      </c>
      <c r="AC7424" t="s">
        <v>87</v>
      </c>
    </row>
    <row r="7425" spans="1:29" x14ac:dyDescent="0.35">
      <c r="A7425" s="7">
        <v>43292</v>
      </c>
      <c r="B7425" t="s">
        <v>30</v>
      </c>
      <c r="C7425">
        <v>112</v>
      </c>
      <c r="D7425">
        <v>6</v>
      </c>
      <c r="E7425">
        <v>2</v>
      </c>
      <c r="F7425" t="s">
        <v>1020</v>
      </c>
      <c r="G7425" t="s">
        <v>32</v>
      </c>
      <c r="H7425" t="s">
        <v>33</v>
      </c>
      <c r="I7425" t="s">
        <v>59</v>
      </c>
      <c r="AB7425" t="s">
        <v>47</v>
      </c>
      <c r="AC7425" t="s">
        <v>87</v>
      </c>
    </row>
    <row r="7426" spans="1:29" x14ac:dyDescent="0.35">
      <c r="A7426" s="7">
        <v>43292</v>
      </c>
      <c r="B7426" t="s">
        <v>30</v>
      </c>
      <c r="C7426">
        <v>112</v>
      </c>
      <c r="D7426">
        <v>8</v>
      </c>
      <c r="E7426">
        <v>2</v>
      </c>
      <c r="F7426" t="s">
        <v>1020</v>
      </c>
      <c r="G7426" t="s">
        <v>32</v>
      </c>
      <c r="H7426" t="s">
        <v>33</v>
      </c>
      <c r="I7426" t="s">
        <v>59</v>
      </c>
      <c r="AB7426" t="s">
        <v>47</v>
      </c>
      <c r="AC7426" t="s">
        <v>87</v>
      </c>
    </row>
    <row r="7427" spans="1:29" x14ac:dyDescent="0.35">
      <c r="A7427" s="7">
        <v>43292</v>
      </c>
      <c r="B7427" t="s">
        <v>30</v>
      </c>
      <c r="C7427">
        <v>112</v>
      </c>
      <c r="D7427">
        <v>9</v>
      </c>
      <c r="E7427">
        <v>1</v>
      </c>
      <c r="F7427" t="s">
        <v>1020</v>
      </c>
      <c r="G7427" t="s">
        <v>32</v>
      </c>
      <c r="H7427" t="s">
        <v>33</v>
      </c>
      <c r="I7427" t="s">
        <v>59</v>
      </c>
      <c r="AB7427" t="s">
        <v>47</v>
      </c>
      <c r="AC7427" t="s">
        <v>87</v>
      </c>
    </row>
    <row r="7428" spans="1:29" x14ac:dyDescent="0.35">
      <c r="A7428" s="7">
        <v>43292</v>
      </c>
      <c r="B7428" t="s">
        <v>30</v>
      </c>
      <c r="C7428">
        <v>112</v>
      </c>
      <c r="D7428">
        <v>10</v>
      </c>
      <c r="E7428">
        <v>1</v>
      </c>
      <c r="F7428" t="s">
        <v>1020</v>
      </c>
      <c r="G7428" t="s">
        <v>32</v>
      </c>
      <c r="H7428" t="s">
        <v>33</v>
      </c>
      <c r="I7428" t="s">
        <v>59</v>
      </c>
      <c r="AB7428" t="s">
        <v>47</v>
      </c>
      <c r="AC7428" t="s">
        <v>87</v>
      </c>
    </row>
    <row r="7429" spans="1:29" x14ac:dyDescent="0.35">
      <c r="A7429" s="7">
        <v>43292</v>
      </c>
      <c r="B7429" t="s">
        <v>30</v>
      </c>
      <c r="C7429">
        <v>113</v>
      </c>
      <c r="D7429">
        <v>1</v>
      </c>
      <c r="E7429">
        <v>1</v>
      </c>
      <c r="F7429" t="s">
        <v>1020</v>
      </c>
      <c r="G7429" t="s">
        <v>32</v>
      </c>
      <c r="H7429" t="s">
        <v>33</v>
      </c>
      <c r="I7429" t="s">
        <v>59</v>
      </c>
      <c r="AB7429" t="s">
        <v>47</v>
      </c>
      <c r="AC7429" t="s">
        <v>87</v>
      </c>
    </row>
    <row r="7430" spans="1:29" x14ac:dyDescent="0.35">
      <c r="A7430" s="7">
        <v>43292</v>
      </c>
      <c r="B7430" t="s">
        <v>30</v>
      </c>
      <c r="C7430">
        <v>113</v>
      </c>
      <c r="D7430">
        <v>7</v>
      </c>
      <c r="E7430">
        <v>1</v>
      </c>
      <c r="F7430" t="s">
        <v>1020</v>
      </c>
      <c r="G7430" t="s">
        <v>32</v>
      </c>
      <c r="H7430" t="s">
        <v>33</v>
      </c>
      <c r="I7430" t="s">
        <v>59</v>
      </c>
      <c r="AB7430" t="s">
        <v>47</v>
      </c>
      <c r="AC7430" t="s">
        <v>87</v>
      </c>
    </row>
    <row r="7431" spans="1:29" x14ac:dyDescent="0.35">
      <c r="A7431" s="7">
        <v>43292</v>
      </c>
      <c r="B7431" t="s">
        <v>30</v>
      </c>
      <c r="C7431">
        <v>201</v>
      </c>
      <c r="D7431">
        <v>1</v>
      </c>
      <c r="E7431">
        <v>1</v>
      </c>
      <c r="F7431" t="s">
        <v>1139</v>
      </c>
      <c r="G7431" t="s">
        <v>32</v>
      </c>
      <c r="H7431" t="s">
        <v>33</v>
      </c>
      <c r="I7431" t="s">
        <v>59</v>
      </c>
      <c r="AB7431" t="s">
        <v>47</v>
      </c>
      <c r="AC7431" t="s">
        <v>41</v>
      </c>
    </row>
    <row r="7432" spans="1:29" x14ac:dyDescent="0.35">
      <c r="A7432" s="7">
        <v>43292</v>
      </c>
      <c r="B7432" t="s">
        <v>30</v>
      </c>
      <c r="C7432">
        <v>201</v>
      </c>
      <c r="D7432">
        <v>7</v>
      </c>
      <c r="E7432">
        <v>1</v>
      </c>
      <c r="F7432" t="s">
        <v>1139</v>
      </c>
      <c r="G7432" t="s">
        <v>32</v>
      </c>
      <c r="H7432" t="s">
        <v>33</v>
      </c>
      <c r="I7432" t="s">
        <v>59</v>
      </c>
      <c r="AB7432" t="s">
        <v>47</v>
      </c>
      <c r="AC7432" t="s">
        <v>41</v>
      </c>
    </row>
    <row r="7433" spans="1:29" x14ac:dyDescent="0.35">
      <c r="A7433" s="7">
        <v>43292</v>
      </c>
      <c r="B7433" t="s">
        <v>30</v>
      </c>
      <c r="C7433">
        <v>201</v>
      </c>
      <c r="D7433">
        <v>7</v>
      </c>
      <c r="E7433">
        <v>2</v>
      </c>
      <c r="F7433" t="s">
        <v>1139</v>
      </c>
      <c r="G7433" t="s">
        <v>32</v>
      </c>
      <c r="H7433" t="s">
        <v>33</v>
      </c>
      <c r="I7433" t="s">
        <v>59</v>
      </c>
      <c r="AB7433" t="s">
        <v>47</v>
      </c>
      <c r="AC7433" t="s">
        <v>41</v>
      </c>
    </row>
    <row r="7434" spans="1:29" x14ac:dyDescent="0.35">
      <c r="A7434" s="7">
        <v>43292</v>
      </c>
      <c r="B7434" t="s">
        <v>30</v>
      </c>
      <c r="C7434">
        <v>201</v>
      </c>
      <c r="D7434">
        <v>8</v>
      </c>
      <c r="E7434">
        <v>1</v>
      </c>
      <c r="F7434" t="s">
        <v>1139</v>
      </c>
      <c r="G7434" t="s">
        <v>32</v>
      </c>
      <c r="H7434" t="s">
        <v>33</v>
      </c>
      <c r="I7434" t="s">
        <v>59</v>
      </c>
      <c r="AB7434" t="s">
        <v>47</v>
      </c>
      <c r="AC7434" t="s">
        <v>41</v>
      </c>
    </row>
    <row r="7435" spans="1:29" x14ac:dyDescent="0.35">
      <c r="A7435" s="7">
        <v>43292</v>
      </c>
      <c r="B7435" t="s">
        <v>30</v>
      </c>
      <c r="C7435">
        <v>202</v>
      </c>
      <c r="D7435">
        <v>5</v>
      </c>
      <c r="E7435">
        <v>1</v>
      </c>
      <c r="F7435" t="s">
        <v>1139</v>
      </c>
      <c r="G7435" t="s">
        <v>32</v>
      </c>
      <c r="H7435" t="s">
        <v>33</v>
      </c>
      <c r="I7435" t="s">
        <v>59</v>
      </c>
      <c r="AB7435" t="s">
        <v>47</v>
      </c>
      <c r="AC7435" t="s">
        <v>41</v>
      </c>
    </row>
    <row r="7436" spans="1:29" x14ac:dyDescent="0.35">
      <c r="A7436" s="7">
        <v>43292</v>
      </c>
      <c r="B7436" t="s">
        <v>30</v>
      </c>
      <c r="C7436">
        <v>202</v>
      </c>
      <c r="D7436">
        <v>9</v>
      </c>
      <c r="E7436">
        <v>1</v>
      </c>
      <c r="F7436" t="s">
        <v>1139</v>
      </c>
      <c r="G7436" t="s">
        <v>32</v>
      </c>
      <c r="H7436" t="s">
        <v>33</v>
      </c>
      <c r="I7436" t="s">
        <v>59</v>
      </c>
      <c r="AB7436" t="s">
        <v>47</v>
      </c>
      <c r="AC7436" t="s">
        <v>41</v>
      </c>
    </row>
    <row r="7437" spans="1:29" x14ac:dyDescent="0.35">
      <c r="A7437" s="7">
        <v>43292</v>
      </c>
      <c r="B7437" t="s">
        <v>30</v>
      </c>
      <c r="C7437">
        <v>203</v>
      </c>
      <c r="D7437">
        <v>6</v>
      </c>
      <c r="E7437">
        <v>1</v>
      </c>
      <c r="F7437" t="s">
        <v>1139</v>
      </c>
      <c r="G7437" t="s">
        <v>32</v>
      </c>
      <c r="H7437" t="s">
        <v>33</v>
      </c>
      <c r="I7437" t="s">
        <v>59</v>
      </c>
      <c r="AB7437" t="s">
        <v>47</v>
      </c>
      <c r="AC7437" t="s">
        <v>41</v>
      </c>
    </row>
    <row r="7438" spans="1:29" x14ac:dyDescent="0.35">
      <c r="A7438" s="7">
        <v>43292</v>
      </c>
      <c r="B7438" t="s">
        <v>30</v>
      </c>
      <c r="C7438">
        <v>304</v>
      </c>
      <c r="D7438">
        <v>1</v>
      </c>
      <c r="E7438">
        <v>2</v>
      </c>
      <c r="F7438" t="s">
        <v>1139</v>
      </c>
      <c r="G7438" t="s">
        <v>32</v>
      </c>
      <c r="H7438" t="s">
        <v>33</v>
      </c>
      <c r="I7438" t="s">
        <v>59</v>
      </c>
      <c r="AB7438" t="s">
        <v>47</v>
      </c>
      <c r="AC7438" t="s">
        <v>41</v>
      </c>
    </row>
    <row r="7439" spans="1:29" x14ac:dyDescent="0.35">
      <c r="A7439" s="7">
        <v>43292</v>
      </c>
      <c r="B7439" t="s">
        <v>30</v>
      </c>
      <c r="C7439">
        <v>304</v>
      </c>
      <c r="D7439">
        <v>2</v>
      </c>
      <c r="E7439">
        <v>1</v>
      </c>
      <c r="F7439" t="s">
        <v>1139</v>
      </c>
      <c r="G7439" t="s">
        <v>32</v>
      </c>
      <c r="H7439" t="s">
        <v>33</v>
      </c>
      <c r="I7439" t="s">
        <v>59</v>
      </c>
      <c r="AB7439" t="s">
        <v>47</v>
      </c>
      <c r="AC7439" t="s">
        <v>41</v>
      </c>
    </row>
    <row r="7440" spans="1:29" x14ac:dyDescent="0.35">
      <c r="A7440" s="7">
        <v>43292</v>
      </c>
      <c r="B7440" t="s">
        <v>30</v>
      </c>
      <c r="C7440">
        <v>304</v>
      </c>
      <c r="D7440">
        <v>2</v>
      </c>
      <c r="E7440">
        <v>2</v>
      </c>
      <c r="F7440" t="s">
        <v>1139</v>
      </c>
      <c r="G7440" t="s">
        <v>32</v>
      </c>
      <c r="H7440" t="s">
        <v>33</v>
      </c>
      <c r="I7440" t="s">
        <v>59</v>
      </c>
      <c r="AB7440" t="s">
        <v>47</v>
      </c>
      <c r="AC7440" t="s">
        <v>41</v>
      </c>
    </row>
    <row r="7441" spans="1:30" x14ac:dyDescent="0.35">
      <c r="A7441" s="7">
        <v>43292</v>
      </c>
      <c r="B7441" t="s">
        <v>30</v>
      </c>
      <c r="C7441">
        <v>402</v>
      </c>
      <c r="D7441">
        <v>1</v>
      </c>
      <c r="E7441">
        <v>1</v>
      </c>
      <c r="F7441" t="s">
        <v>1020</v>
      </c>
      <c r="G7441" t="s">
        <v>32</v>
      </c>
      <c r="H7441" t="s">
        <v>33</v>
      </c>
      <c r="I7441" t="s">
        <v>59</v>
      </c>
      <c r="AB7441" t="s">
        <v>47</v>
      </c>
      <c r="AC7441" t="s">
        <v>87</v>
      </c>
    </row>
    <row r="7442" spans="1:30" x14ac:dyDescent="0.35">
      <c r="A7442" s="7">
        <v>43292</v>
      </c>
      <c r="B7442" t="s">
        <v>30</v>
      </c>
      <c r="C7442">
        <v>402</v>
      </c>
      <c r="D7442">
        <v>1</v>
      </c>
      <c r="E7442">
        <v>2</v>
      </c>
      <c r="F7442" t="s">
        <v>1020</v>
      </c>
      <c r="G7442" t="s">
        <v>32</v>
      </c>
      <c r="H7442" t="s">
        <v>33</v>
      </c>
      <c r="I7442" t="s">
        <v>59</v>
      </c>
      <c r="AB7442" t="s">
        <v>47</v>
      </c>
      <c r="AC7442" t="s">
        <v>87</v>
      </c>
    </row>
    <row r="7443" spans="1:30" x14ac:dyDescent="0.35">
      <c r="A7443" s="7">
        <v>43292</v>
      </c>
      <c r="B7443" t="s">
        <v>30</v>
      </c>
      <c r="C7443">
        <v>402</v>
      </c>
      <c r="D7443">
        <v>8</v>
      </c>
      <c r="E7443">
        <v>1</v>
      </c>
      <c r="F7443" t="s">
        <v>1020</v>
      </c>
      <c r="G7443" t="s">
        <v>32</v>
      </c>
      <c r="H7443" t="s">
        <v>33</v>
      </c>
      <c r="I7443" t="s">
        <v>59</v>
      </c>
      <c r="AB7443" t="s">
        <v>47</v>
      </c>
      <c r="AC7443" t="s">
        <v>87</v>
      </c>
    </row>
    <row r="7444" spans="1:30" x14ac:dyDescent="0.35">
      <c r="A7444" s="7">
        <v>43297</v>
      </c>
      <c r="B7444" t="s">
        <v>30</v>
      </c>
      <c r="C7444">
        <v>303</v>
      </c>
      <c r="D7444">
        <v>1</v>
      </c>
      <c r="E7444">
        <v>2</v>
      </c>
      <c r="F7444" t="s">
        <v>1170</v>
      </c>
      <c r="G7444" t="s">
        <v>32</v>
      </c>
      <c r="H7444" t="s">
        <v>33</v>
      </c>
      <c r="I7444" t="s">
        <v>43</v>
      </c>
      <c r="J7444" t="s">
        <v>44</v>
      </c>
      <c r="K7444" t="s">
        <v>36</v>
      </c>
      <c r="L7444" t="s">
        <v>45</v>
      </c>
      <c r="M7444">
        <v>0</v>
      </c>
      <c r="N7444">
        <v>0</v>
      </c>
      <c r="O7444">
        <v>2903</v>
      </c>
      <c r="P7444">
        <v>2901</v>
      </c>
      <c r="Q7444">
        <f>40-22</f>
        <v>18</v>
      </c>
      <c r="R7444" t="s">
        <v>46</v>
      </c>
      <c r="S7444" t="s">
        <v>39</v>
      </c>
      <c r="AB7444" t="s">
        <v>47</v>
      </c>
      <c r="AC7444" t="s">
        <v>87</v>
      </c>
    </row>
    <row r="7445" spans="1:30" x14ac:dyDescent="0.35">
      <c r="A7445" s="7">
        <v>43297</v>
      </c>
      <c r="B7445" t="s">
        <v>30</v>
      </c>
      <c r="C7445">
        <v>303</v>
      </c>
      <c r="D7445">
        <v>6</v>
      </c>
      <c r="E7445">
        <v>2</v>
      </c>
      <c r="F7445" t="s">
        <v>1170</v>
      </c>
      <c r="G7445" t="s">
        <v>32</v>
      </c>
      <c r="H7445" t="s">
        <v>33</v>
      </c>
      <c r="I7445" t="s">
        <v>43</v>
      </c>
      <c r="J7445" t="s">
        <v>35</v>
      </c>
      <c r="K7445" t="s">
        <v>88</v>
      </c>
      <c r="L7445" t="s">
        <v>37</v>
      </c>
      <c r="M7445">
        <v>0</v>
      </c>
      <c r="N7445">
        <v>1</v>
      </c>
      <c r="O7445">
        <v>1225</v>
      </c>
      <c r="P7445">
        <v>1224</v>
      </c>
      <c r="Q7445">
        <f>31-22</f>
        <v>9</v>
      </c>
      <c r="R7445" t="s">
        <v>64</v>
      </c>
      <c r="AB7445" t="s">
        <v>47</v>
      </c>
      <c r="AC7445" t="s">
        <v>87</v>
      </c>
    </row>
    <row r="7446" spans="1:30" x14ac:dyDescent="0.35">
      <c r="A7446" s="7">
        <v>43297</v>
      </c>
      <c r="B7446" t="s">
        <v>30</v>
      </c>
      <c r="C7446">
        <v>303</v>
      </c>
      <c r="D7446">
        <v>7</v>
      </c>
      <c r="E7446">
        <v>1</v>
      </c>
      <c r="F7446" t="s">
        <v>1170</v>
      </c>
      <c r="G7446" t="s">
        <v>32</v>
      </c>
      <c r="H7446" t="s">
        <v>33</v>
      </c>
      <c r="I7446" t="s">
        <v>43</v>
      </c>
      <c r="J7446" t="s">
        <v>44</v>
      </c>
      <c r="K7446" t="s">
        <v>36</v>
      </c>
      <c r="L7446" t="s">
        <v>45</v>
      </c>
      <c r="M7446">
        <v>0</v>
      </c>
      <c r="N7446">
        <v>0</v>
      </c>
      <c r="O7446">
        <v>2913</v>
      </c>
      <c r="P7446">
        <v>2912</v>
      </c>
      <c r="Q7446">
        <f>40-22</f>
        <v>18</v>
      </c>
      <c r="R7446" t="s">
        <v>1021</v>
      </c>
      <c r="S7446" t="s">
        <v>102</v>
      </c>
      <c r="AB7446" t="s">
        <v>47</v>
      </c>
      <c r="AC7446" t="s">
        <v>87</v>
      </c>
    </row>
    <row r="7447" spans="1:30" x14ac:dyDescent="0.35">
      <c r="A7447" s="7">
        <v>43297</v>
      </c>
      <c r="B7447" t="s">
        <v>30</v>
      </c>
      <c r="C7447">
        <v>401</v>
      </c>
      <c r="D7447">
        <v>3</v>
      </c>
      <c r="E7447">
        <v>1</v>
      </c>
      <c r="F7447" t="s">
        <v>1170</v>
      </c>
      <c r="G7447" t="s">
        <v>32</v>
      </c>
      <c r="H7447" t="s">
        <v>33</v>
      </c>
      <c r="I7447" t="s">
        <v>43</v>
      </c>
      <c r="J7447" t="s">
        <v>44</v>
      </c>
      <c r="K7447" t="s">
        <v>36</v>
      </c>
      <c r="L7447" t="s">
        <v>37</v>
      </c>
      <c r="M7447">
        <v>0</v>
      </c>
      <c r="N7447">
        <v>0</v>
      </c>
      <c r="O7447">
        <v>1022</v>
      </c>
      <c r="P7447">
        <v>2812</v>
      </c>
      <c r="Q7447">
        <f>41.5-24</f>
        <v>17.5</v>
      </c>
      <c r="R7447" t="s">
        <v>38</v>
      </c>
      <c r="Z7447" t="s">
        <v>102</v>
      </c>
      <c r="AB7447" t="s">
        <v>47</v>
      </c>
      <c r="AC7447" t="s">
        <v>87</v>
      </c>
    </row>
    <row r="7448" spans="1:30" x14ac:dyDescent="0.35">
      <c r="A7448" s="7">
        <v>43297</v>
      </c>
      <c r="B7448" t="s">
        <v>30</v>
      </c>
      <c r="C7448">
        <v>401</v>
      </c>
      <c r="D7448">
        <v>6</v>
      </c>
      <c r="E7448">
        <v>1</v>
      </c>
      <c r="F7448" t="s">
        <v>1170</v>
      </c>
      <c r="G7448" t="s">
        <v>32</v>
      </c>
      <c r="H7448" t="s">
        <v>33</v>
      </c>
      <c r="I7448" t="s">
        <v>43</v>
      </c>
      <c r="J7448" t="s">
        <v>35</v>
      </c>
      <c r="K7448" t="s">
        <v>88</v>
      </c>
      <c r="L7448" t="s">
        <v>37</v>
      </c>
      <c r="M7448">
        <v>0</v>
      </c>
      <c r="N7448">
        <v>1</v>
      </c>
      <c r="O7448">
        <v>1250</v>
      </c>
      <c r="P7448">
        <v>1249</v>
      </c>
      <c r="Q7448">
        <f>37-26</f>
        <v>11</v>
      </c>
      <c r="R7448" t="s">
        <v>64</v>
      </c>
      <c r="AB7448" t="s">
        <v>47</v>
      </c>
      <c r="AC7448" t="s">
        <v>87</v>
      </c>
    </row>
    <row r="7449" spans="1:30" x14ac:dyDescent="0.35">
      <c r="A7449" s="7">
        <v>43297</v>
      </c>
      <c r="B7449" t="s">
        <v>30</v>
      </c>
      <c r="C7449">
        <v>303</v>
      </c>
      <c r="D7449">
        <v>10</v>
      </c>
      <c r="E7449">
        <v>1</v>
      </c>
      <c r="F7449" t="s">
        <v>1170</v>
      </c>
      <c r="G7449" t="s">
        <v>32</v>
      </c>
      <c r="H7449" t="s">
        <v>33</v>
      </c>
      <c r="I7449" t="s">
        <v>58</v>
      </c>
      <c r="J7449" t="s">
        <v>35</v>
      </c>
      <c r="K7449" t="s">
        <v>36</v>
      </c>
      <c r="L7449" t="s">
        <v>37</v>
      </c>
      <c r="M7449">
        <v>0</v>
      </c>
      <c r="N7449">
        <v>1</v>
      </c>
      <c r="O7449">
        <v>2973</v>
      </c>
      <c r="Q7449">
        <f>47-22</f>
        <v>25</v>
      </c>
      <c r="R7449" t="s">
        <v>64</v>
      </c>
      <c r="AB7449" t="s">
        <v>47</v>
      </c>
      <c r="AC7449" t="s">
        <v>87</v>
      </c>
    </row>
    <row r="7450" spans="1:30" x14ac:dyDescent="0.35">
      <c r="A7450" s="7">
        <v>43297</v>
      </c>
      <c r="B7450" t="s">
        <v>30</v>
      </c>
      <c r="C7450">
        <v>401</v>
      </c>
      <c r="D7450">
        <v>8</v>
      </c>
      <c r="E7450">
        <v>1</v>
      </c>
      <c r="F7450" t="s">
        <v>1170</v>
      </c>
      <c r="G7450" t="s">
        <v>32</v>
      </c>
      <c r="H7450" t="s">
        <v>33</v>
      </c>
      <c r="I7450" t="s">
        <v>58</v>
      </c>
      <c r="J7450" t="s">
        <v>44</v>
      </c>
      <c r="K7450" t="s">
        <v>36</v>
      </c>
      <c r="L7450" t="s">
        <v>45</v>
      </c>
      <c r="M7450">
        <v>0</v>
      </c>
      <c r="N7450">
        <v>0</v>
      </c>
      <c r="O7450">
        <v>2811</v>
      </c>
      <c r="Q7450">
        <f>42-26</f>
        <v>16</v>
      </c>
      <c r="R7450" t="s">
        <v>1028</v>
      </c>
      <c r="S7450" t="s">
        <v>102</v>
      </c>
      <c r="Z7450" t="s">
        <v>102</v>
      </c>
      <c r="AB7450" t="s">
        <v>47</v>
      </c>
      <c r="AC7450" t="s">
        <v>87</v>
      </c>
    </row>
    <row r="7451" spans="1:30" x14ac:dyDescent="0.35">
      <c r="A7451" s="7">
        <v>43297</v>
      </c>
      <c r="B7451" t="s">
        <v>30</v>
      </c>
      <c r="C7451">
        <v>501</v>
      </c>
      <c r="D7451">
        <v>4</v>
      </c>
      <c r="E7451">
        <v>1</v>
      </c>
      <c r="F7451" t="s">
        <v>1170</v>
      </c>
      <c r="G7451" t="s">
        <v>32</v>
      </c>
      <c r="H7451" t="s">
        <v>33</v>
      </c>
      <c r="I7451" t="s">
        <v>58</v>
      </c>
      <c r="J7451" t="s">
        <v>44</v>
      </c>
      <c r="K7451" t="s">
        <v>36</v>
      </c>
      <c r="L7451" t="s">
        <v>45</v>
      </c>
      <c r="M7451">
        <v>0</v>
      </c>
      <c r="N7451">
        <v>0</v>
      </c>
      <c r="O7451">
        <v>2818</v>
      </c>
      <c r="Q7451">
        <f>43-21</f>
        <v>22</v>
      </c>
      <c r="R7451" t="s">
        <v>1028</v>
      </c>
      <c r="S7451" t="s">
        <v>102</v>
      </c>
      <c r="AB7451" t="s">
        <v>47</v>
      </c>
      <c r="AC7451" t="s">
        <v>87</v>
      </c>
    </row>
    <row r="7452" spans="1:30" x14ac:dyDescent="0.35">
      <c r="A7452" s="7">
        <v>43297</v>
      </c>
      <c r="B7452" t="s">
        <v>30</v>
      </c>
      <c r="C7452">
        <v>501</v>
      </c>
      <c r="D7452">
        <v>10</v>
      </c>
      <c r="E7452">
        <v>1</v>
      </c>
      <c r="F7452" t="s">
        <v>1170</v>
      </c>
      <c r="G7452" t="s">
        <v>32</v>
      </c>
      <c r="H7452" t="s">
        <v>33</v>
      </c>
      <c r="I7452" t="s">
        <v>58</v>
      </c>
      <c r="J7452" t="s">
        <v>44</v>
      </c>
      <c r="K7452" t="s">
        <v>36</v>
      </c>
      <c r="L7452" t="s">
        <v>37</v>
      </c>
      <c r="M7452">
        <v>0</v>
      </c>
      <c r="N7452">
        <v>0</v>
      </c>
      <c r="O7452">
        <v>9417</v>
      </c>
      <c r="Q7452">
        <f>40-21</f>
        <v>19</v>
      </c>
      <c r="R7452" t="s">
        <v>38</v>
      </c>
      <c r="Z7452" t="s">
        <v>102</v>
      </c>
      <c r="AB7452" t="s">
        <v>47</v>
      </c>
      <c r="AC7452" t="s">
        <v>87</v>
      </c>
      <c r="AD7452" t="s">
        <v>1220</v>
      </c>
    </row>
    <row r="7453" spans="1:30" x14ac:dyDescent="0.35">
      <c r="A7453" s="7">
        <v>43297</v>
      </c>
      <c r="B7453" t="s">
        <v>30</v>
      </c>
      <c r="C7453">
        <v>503</v>
      </c>
      <c r="D7453">
        <v>10</v>
      </c>
      <c r="E7453">
        <v>1</v>
      </c>
      <c r="F7453" t="s">
        <v>1170</v>
      </c>
      <c r="G7453" t="s">
        <v>32</v>
      </c>
      <c r="H7453" t="s">
        <v>33</v>
      </c>
      <c r="I7453" t="s">
        <v>58</v>
      </c>
      <c r="J7453" t="s">
        <v>44</v>
      </c>
      <c r="K7453" t="s">
        <v>36</v>
      </c>
      <c r="L7453" t="s">
        <v>45</v>
      </c>
      <c r="M7453">
        <v>0</v>
      </c>
      <c r="N7453">
        <v>0</v>
      </c>
      <c r="O7453">
        <v>2908</v>
      </c>
      <c r="Q7453">
        <f>40-21</f>
        <v>19</v>
      </c>
      <c r="R7453" t="s">
        <v>1021</v>
      </c>
      <c r="S7453" t="s">
        <v>102</v>
      </c>
      <c r="Z7453" t="s">
        <v>102</v>
      </c>
      <c r="AB7453" t="s">
        <v>47</v>
      </c>
      <c r="AC7453" t="s">
        <v>87</v>
      </c>
    </row>
    <row r="7454" spans="1:30" x14ac:dyDescent="0.35">
      <c r="A7454" s="7">
        <v>43297</v>
      </c>
      <c r="B7454" t="s">
        <v>30</v>
      </c>
      <c r="C7454">
        <v>303</v>
      </c>
      <c r="D7454">
        <v>6</v>
      </c>
      <c r="E7454">
        <v>1</v>
      </c>
      <c r="F7454" t="s">
        <v>1170</v>
      </c>
      <c r="G7454" t="s">
        <v>32</v>
      </c>
      <c r="H7454" t="s">
        <v>33</v>
      </c>
      <c r="I7454" t="s">
        <v>1029</v>
      </c>
      <c r="J7454" t="s">
        <v>66</v>
      </c>
      <c r="AB7454" t="s">
        <v>47</v>
      </c>
      <c r="AC7454" t="s">
        <v>87</v>
      </c>
    </row>
    <row r="7455" spans="1:30" x14ac:dyDescent="0.35">
      <c r="A7455" s="7">
        <v>43297</v>
      </c>
      <c r="B7455" t="s">
        <v>30</v>
      </c>
      <c r="C7455">
        <v>303</v>
      </c>
      <c r="D7455">
        <v>5</v>
      </c>
      <c r="E7455">
        <v>2</v>
      </c>
      <c r="F7455" t="s">
        <v>1170</v>
      </c>
      <c r="G7455" t="s">
        <v>32</v>
      </c>
      <c r="H7455" t="s">
        <v>33</v>
      </c>
      <c r="I7455" t="s">
        <v>72</v>
      </c>
      <c r="J7455" t="s">
        <v>66</v>
      </c>
      <c r="AB7455" t="s">
        <v>47</v>
      </c>
      <c r="AC7455" t="s">
        <v>87</v>
      </c>
    </row>
    <row r="7456" spans="1:30" x14ac:dyDescent="0.35">
      <c r="A7456" s="7">
        <v>43297</v>
      </c>
      <c r="B7456" t="s">
        <v>30</v>
      </c>
      <c r="C7456">
        <v>303</v>
      </c>
      <c r="D7456">
        <v>8</v>
      </c>
      <c r="E7456">
        <v>2</v>
      </c>
      <c r="F7456" t="s">
        <v>1170</v>
      </c>
      <c r="G7456" t="s">
        <v>32</v>
      </c>
      <c r="H7456" t="s">
        <v>33</v>
      </c>
      <c r="I7456" t="s">
        <v>72</v>
      </c>
      <c r="J7456" t="s">
        <v>56</v>
      </c>
      <c r="AB7456" t="s">
        <v>47</v>
      </c>
      <c r="AC7456" t="s">
        <v>87</v>
      </c>
    </row>
    <row r="7457" spans="1:29" x14ac:dyDescent="0.35">
      <c r="A7457" s="7">
        <v>43297</v>
      </c>
      <c r="B7457" t="s">
        <v>30</v>
      </c>
      <c r="C7457">
        <v>401</v>
      </c>
      <c r="D7457">
        <v>2</v>
      </c>
      <c r="E7457">
        <v>1</v>
      </c>
      <c r="F7457" t="s">
        <v>1170</v>
      </c>
      <c r="G7457" t="s">
        <v>32</v>
      </c>
      <c r="H7457" t="s">
        <v>33</v>
      </c>
      <c r="I7457" t="s">
        <v>72</v>
      </c>
      <c r="J7457" t="s">
        <v>56</v>
      </c>
      <c r="AB7457" t="s">
        <v>47</v>
      </c>
      <c r="AC7457" t="s">
        <v>87</v>
      </c>
    </row>
    <row r="7458" spans="1:29" x14ac:dyDescent="0.35">
      <c r="A7458" s="7">
        <v>43297</v>
      </c>
      <c r="B7458" t="s">
        <v>30</v>
      </c>
      <c r="C7458">
        <v>501</v>
      </c>
      <c r="D7458">
        <v>3</v>
      </c>
      <c r="E7458">
        <v>1</v>
      </c>
      <c r="F7458" t="s">
        <v>1170</v>
      </c>
      <c r="G7458" t="s">
        <v>32</v>
      </c>
      <c r="H7458" t="s">
        <v>33</v>
      </c>
      <c r="I7458" t="s">
        <v>72</v>
      </c>
      <c r="J7458" t="s">
        <v>56</v>
      </c>
      <c r="AB7458" t="s">
        <v>47</v>
      </c>
      <c r="AC7458" t="s">
        <v>87</v>
      </c>
    </row>
    <row r="7459" spans="1:29" x14ac:dyDescent="0.35">
      <c r="A7459" s="7">
        <v>43297</v>
      </c>
      <c r="B7459" t="s">
        <v>30</v>
      </c>
      <c r="C7459">
        <v>501</v>
      </c>
      <c r="D7459">
        <v>6</v>
      </c>
      <c r="E7459">
        <v>1</v>
      </c>
      <c r="F7459" t="s">
        <v>1170</v>
      </c>
      <c r="G7459" t="s">
        <v>32</v>
      </c>
      <c r="H7459" t="s">
        <v>33</v>
      </c>
      <c r="I7459" t="s">
        <v>72</v>
      </c>
      <c r="J7459" t="s">
        <v>56</v>
      </c>
      <c r="AB7459" t="s">
        <v>47</v>
      </c>
      <c r="AC7459" t="s">
        <v>87</v>
      </c>
    </row>
    <row r="7460" spans="1:29" x14ac:dyDescent="0.35">
      <c r="A7460" s="7">
        <v>43297</v>
      </c>
      <c r="B7460" t="s">
        <v>30</v>
      </c>
      <c r="C7460">
        <v>501</v>
      </c>
      <c r="D7460">
        <v>10</v>
      </c>
      <c r="E7460">
        <v>2</v>
      </c>
      <c r="F7460" t="s">
        <v>1170</v>
      </c>
      <c r="G7460" t="s">
        <v>32</v>
      </c>
      <c r="H7460" t="s">
        <v>33</v>
      </c>
      <c r="I7460" t="s">
        <v>72</v>
      </c>
      <c r="J7460" t="s">
        <v>66</v>
      </c>
      <c r="AB7460" t="s">
        <v>47</v>
      </c>
      <c r="AC7460" t="s">
        <v>87</v>
      </c>
    </row>
    <row r="7461" spans="1:29" x14ac:dyDescent="0.35">
      <c r="A7461" s="7">
        <v>43297</v>
      </c>
      <c r="B7461" t="s">
        <v>30</v>
      </c>
      <c r="C7461">
        <v>503</v>
      </c>
      <c r="D7461">
        <v>2</v>
      </c>
      <c r="E7461">
        <v>1</v>
      </c>
      <c r="F7461" t="s">
        <v>1170</v>
      </c>
      <c r="G7461" t="s">
        <v>32</v>
      </c>
      <c r="H7461" t="s">
        <v>33</v>
      </c>
      <c r="I7461" t="s">
        <v>72</v>
      </c>
      <c r="J7461" t="s">
        <v>56</v>
      </c>
      <c r="AB7461" t="s">
        <v>47</v>
      </c>
      <c r="AC7461" t="s">
        <v>87</v>
      </c>
    </row>
    <row r="7462" spans="1:29" x14ac:dyDescent="0.35">
      <c r="A7462" s="7">
        <v>43297</v>
      </c>
      <c r="B7462" t="s">
        <v>30</v>
      </c>
      <c r="C7462">
        <v>503</v>
      </c>
      <c r="D7462">
        <v>6</v>
      </c>
      <c r="E7462">
        <v>1</v>
      </c>
      <c r="F7462" t="s">
        <v>1170</v>
      </c>
      <c r="G7462" t="s">
        <v>32</v>
      </c>
      <c r="H7462" t="s">
        <v>33</v>
      </c>
      <c r="I7462" t="s">
        <v>72</v>
      </c>
      <c r="J7462" t="s">
        <v>56</v>
      </c>
      <c r="AB7462" t="s">
        <v>47</v>
      </c>
      <c r="AC7462" t="s">
        <v>87</v>
      </c>
    </row>
    <row r="7463" spans="1:29" x14ac:dyDescent="0.35">
      <c r="A7463" s="7">
        <v>43297</v>
      </c>
      <c r="B7463" t="s">
        <v>30</v>
      </c>
      <c r="C7463">
        <v>503</v>
      </c>
      <c r="D7463">
        <v>8</v>
      </c>
      <c r="E7463">
        <v>1</v>
      </c>
      <c r="F7463" t="s">
        <v>1170</v>
      </c>
      <c r="G7463" t="s">
        <v>32</v>
      </c>
      <c r="H7463" t="s">
        <v>33</v>
      </c>
      <c r="I7463" t="s">
        <v>72</v>
      </c>
      <c r="J7463" t="s">
        <v>66</v>
      </c>
      <c r="AB7463" t="s">
        <v>47</v>
      </c>
      <c r="AC7463" t="s">
        <v>87</v>
      </c>
    </row>
    <row r="7464" spans="1:29" x14ac:dyDescent="0.35">
      <c r="A7464" s="7">
        <v>43297</v>
      </c>
      <c r="B7464" t="s">
        <v>30</v>
      </c>
      <c r="C7464">
        <v>303</v>
      </c>
      <c r="D7464">
        <v>1</v>
      </c>
      <c r="E7464">
        <v>1</v>
      </c>
      <c r="F7464" t="s">
        <v>1170</v>
      </c>
      <c r="G7464" t="s">
        <v>32</v>
      </c>
      <c r="H7464" t="s">
        <v>33</v>
      </c>
      <c r="I7464" t="s">
        <v>59</v>
      </c>
      <c r="AB7464" t="s">
        <v>47</v>
      </c>
      <c r="AC7464" t="s">
        <v>87</v>
      </c>
    </row>
    <row r="7465" spans="1:29" x14ac:dyDescent="0.35">
      <c r="A7465" s="7">
        <v>43297</v>
      </c>
      <c r="B7465" t="s">
        <v>30</v>
      </c>
      <c r="C7465">
        <v>303</v>
      </c>
      <c r="D7465">
        <v>2</v>
      </c>
      <c r="E7465">
        <v>1</v>
      </c>
      <c r="F7465" t="s">
        <v>1170</v>
      </c>
      <c r="G7465" t="s">
        <v>32</v>
      </c>
      <c r="H7465" t="s">
        <v>33</v>
      </c>
      <c r="I7465" t="s">
        <v>59</v>
      </c>
      <c r="AB7465" t="s">
        <v>47</v>
      </c>
      <c r="AC7465" t="s">
        <v>87</v>
      </c>
    </row>
    <row r="7466" spans="1:29" x14ac:dyDescent="0.35">
      <c r="A7466" s="7">
        <v>43297</v>
      </c>
      <c r="B7466" t="s">
        <v>30</v>
      </c>
      <c r="C7466">
        <v>303</v>
      </c>
      <c r="D7466">
        <v>2</v>
      </c>
      <c r="E7466">
        <v>2</v>
      </c>
      <c r="F7466" t="s">
        <v>1170</v>
      </c>
      <c r="G7466" t="s">
        <v>32</v>
      </c>
      <c r="H7466" t="s">
        <v>33</v>
      </c>
      <c r="I7466" t="s">
        <v>59</v>
      </c>
      <c r="AB7466" t="s">
        <v>47</v>
      </c>
      <c r="AC7466" t="s">
        <v>87</v>
      </c>
    </row>
    <row r="7467" spans="1:29" x14ac:dyDescent="0.35">
      <c r="A7467" s="7">
        <v>43297</v>
      </c>
      <c r="B7467" t="s">
        <v>30</v>
      </c>
      <c r="C7467">
        <v>303</v>
      </c>
      <c r="D7467">
        <v>4</v>
      </c>
      <c r="E7467">
        <v>1</v>
      </c>
      <c r="F7467" t="s">
        <v>1170</v>
      </c>
      <c r="G7467" t="s">
        <v>32</v>
      </c>
      <c r="H7467" t="s">
        <v>33</v>
      </c>
      <c r="I7467" t="s">
        <v>59</v>
      </c>
      <c r="AB7467" t="s">
        <v>47</v>
      </c>
      <c r="AC7467" t="s">
        <v>87</v>
      </c>
    </row>
    <row r="7468" spans="1:29" x14ac:dyDescent="0.35">
      <c r="A7468" s="7">
        <v>43297</v>
      </c>
      <c r="B7468" t="s">
        <v>30</v>
      </c>
      <c r="C7468">
        <v>303</v>
      </c>
      <c r="D7468">
        <v>5</v>
      </c>
      <c r="E7468">
        <v>1</v>
      </c>
      <c r="F7468" t="s">
        <v>1170</v>
      </c>
      <c r="G7468" t="s">
        <v>32</v>
      </c>
      <c r="H7468" t="s">
        <v>33</v>
      </c>
      <c r="I7468" t="s">
        <v>59</v>
      </c>
      <c r="AB7468" t="s">
        <v>47</v>
      </c>
      <c r="AC7468" t="s">
        <v>87</v>
      </c>
    </row>
    <row r="7469" spans="1:29" x14ac:dyDescent="0.35">
      <c r="A7469" s="7">
        <v>43297</v>
      </c>
      <c r="B7469" t="s">
        <v>30</v>
      </c>
      <c r="C7469">
        <v>303</v>
      </c>
      <c r="D7469">
        <v>8</v>
      </c>
      <c r="E7469">
        <v>1</v>
      </c>
      <c r="F7469" t="s">
        <v>1170</v>
      </c>
      <c r="G7469" t="s">
        <v>32</v>
      </c>
      <c r="H7469" t="s">
        <v>33</v>
      </c>
      <c r="I7469" t="s">
        <v>59</v>
      </c>
      <c r="AB7469" t="s">
        <v>47</v>
      </c>
      <c r="AC7469" t="s">
        <v>87</v>
      </c>
    </row>
    <row r="7470" spans="1:29" x14ac:dyDescent="0.35">
      <c r="A7470" s="7">
        <v>43297</v>
      </c>
      <c r="B7470" t="s">
        <v>30</v>
      </c>
      <c r="C7470">
        <v>303</v>
      </c>
      <c r="D7470">
        <v>9</v>
      </c>
      <c r="E7470">
        <v>1</v>
      </c>
      <c r="F7470" t="s">
        <v>1170</v>
      </c>
      <c r="G7470" t="s">
        <v>32</v>
      </c>
      <c r="H7470" t="s">
        <v>33</v>
      </c>
      <c r="I7470" t="s">
        <v>59</v>
      </c>
      <c r="AB7470" t="s">
        <v>47</v>
      </c>
      <c r="AC7470" t="s">
        <v>87</v>
      </c>
    </row>
    <row r="7471" spans="1:29" x14ac:dyDescent="0.35">
      <c r="A7471" s="7">
        <v>43297</v>
      </c>
      <c r="B7471" t="s">
        <v>30</v>
      </c>
      <c r="C7471">
        <v>303</v>
      </c>
      <c r="D7471">
        <v>10</v>
      </c>
      <c r="E7471">
        <v>2</v>
      </c>
      <c r="F7471" t="s">
        <v>1170</v>
      </c>
      <c r="G7471" t="s">
        <v>32</v>
      </c>
      <c r="H7471" t="s">
        <v>33</v>
      </c>
      <c r="I7471" t="s">
        <v>59</v>
      </c>
      <c r="AB7471" t="s">
        <v>47</v>
      </c>
      <c r="AC7471" t="s">
        <v>87</v>
      </c>
    </row>
    <row r="7472" spans="1:29" x14ac:dyDescent="0.35">
      <c r="A7472" s="7">
        <v>43297</v>
      </c>
      <c r="B7472" t="s">
        <v>30</v>
      </c>
      <c r="C7472">
        <v>401</v>
      </c>
      <c r="D7472">
        <v>9</v>
      </c>
      <c r="E7472">
        <v>1</v>
      </c>
      <c r="F7472" t="s">
        <v>1170</v>
      </c>
      <c r="G7472" t="s">
        <v>32</v>
      </c>
      <c r="H7472" t="s">
        <v>33</v>
      </c>
      <c r="I7472" t="s">
        <v>59</v>
      </c>
      <c r="AB7472" t="s">
        <v>47</v>
      </c>
      <c r="AC7472" t="s">
        <v>87</v>
      </c>
    </row>
    <row r="7473" spans="1:30" x14ac:dyDescent="0.35">
      <c r="A7473" s="7">
        <v>43297</v>
      </c>
      <c r="B7473" t="s">
        <v>30</v>
      </c>
      <c r="C7473">
        <v>501</v>
      </c>
      <c r="D7473">
        <v>9</v>
      </c>
      <c r="E7473">
        <v>1</v>
      </c>
      <c r="F7473" t="s">
        <v>1170</v>
      </c>
      <c r="G7473" t="s">
        <v>32</v>
      </c>
      <c r="H7473" t="s">
        <v>33</v>
      </c>
      <c r="I7473" t="s">
        <v>59</v>
      </c>
      <c r="AB7473" t="s">
        <v>47</v>
      </c>
      <c r="AC7473" t="s">
        <v>87</v>
      </c>
    </row>
    <row r="7474" spans="1:30" x14ac:dyDescent="0.35">
      <c r="A7474" s="7">
        <v>43297</v>
      </c>
      <c r="B7474" t="s">
        <v>30</v>
      </c>
      <c r="C7474">
        <v>503</v>
      </c>
      <c r="D7474">
        <v>1</v>
      </c>
      <c r="E7474">
        <v>1</v>
      </c>
      <c r="F7474" t="s">
        <v>1170</v>
      </c>
      <c r="G7474" t="s">
        <v>32</v>
      </c>
      <c r="H7474" t="s">
        <v>33</v>
      </c>
      <c r="I7474" t="s">
        <v>59</v>
      </c>
      <c r="AB7474" t="s">
        <v>47</v>
      </c>
      <c r="AC7474" t="s">
        <v>87</v>
      </c>
    </row>
    <row r="7475" spans="1:30" x14ac:dyDescent="0.35">
      <c r="A7475" s="7">
        <v>43297</v>
      </c>
      <c r="B7475" t="s">
        <v>30</v>
      </c>
      <c r="C7475">
        <v>503</v>
      </c>
      <c r="D7475">
        <v>1</v>
      </c>
      <c r="E7475">
        <v>2</v>
      </c>
      <c r="F7475" t="s">
        <v>1170</v>
      </c>
      <c r="G7475" t="s">
        <v>32</v>
      </c>
      <c r="H7475" t="s">
        <v>33</v>
      </c>
      <c r="I7475" t="s">
        <v>59</v>
      </c>
      <c r="AB7475" t="s">
        <v>47</v>
      </c>
      <c r="AC7475" t="s">
        <v>87</v>
      </c>
    </row>
    <row r="7476" spans="1:30" x14ac:dyDescent="0.35">
      <c r="A7476" s="7">
        <v>43297</v>
      </c>
      <c r="B7476" t="s">
        <v>30</v>
      </c>
      <c r="C7476">
        <v>503</v>
      </c>
      <c r="D7476">
        <v>3</v>
      </c>
      <c r="E7476">
        <v>1</v>
      </c>
      <c r="F7476" t="s">
        <v>1170</v>
      </c>
      <c r="G7476" t="s">
        <v>32</v>
      </c>
      <c r="H7476" t="s">
        <v>33</v>
      </c>
      <c r="I7476" t="s">
        <v>59</v>
      </c>
      <c r="AB7476" t="s">
        <v>47</v>
      </c>
      <c r="AC7476" t="s">
        <v>87</v>
      </c>
    </row>
    <row r="7477" spans="1:30" x14ac:dyDescent="0.35">
      <c r="A7477" s="7">
        <v>43297</v>
      </c>
      <c r="B7477" t="s">
        <v>30</v>
      </c>
      <c r="C7477">
        <v>503</v>
      </c>
      <c r="D7477">
        <v>3</v>
      </c>
      <c r="E7477">
        <v>2</v>
      </c>
      <c r="F7477" t="s">
        <v>1170</v>
      </c>
      <c r="G7477" t="s">
        <v>32</v>
      </c>
      <c r="H7477" t="s">
        <v>33</v>
      </c>
      <c r="I7477" t="s">
        <v>59</v>
      </c>
      <c r="AB7477" t="s">
        <v>47</v>
      </c>
      <c r="AC7477" t="s">
        <v>87</v>
      </c>
    </row>
    <row r="7478" spans="1:30" x14ac:dyDescent="0.35">
      <c r="A7478" s="7">
        <v>43297</v>
      </c>
      <c r="B7478" t="s">
        <v>30</v>
      </c>
      <c r="C7478">
        <v>503</v>
      </c>
      <c r="D7478">
        <v>5</v>
      </c>
      <c r="E7478">
        <v>1</v>
      </c>
      <c r="F7478" t="s">
        <v>1170</v>
      </c>
      <c r="G7478" t="s">
        <v>32</v>
      </c>
      <c r="H7478" t="s">
        <v>33</v>
      </c>
      <c r="I7478" t="s">
        <v>59</v>
      </c>
      <c r="AB7478" t="s">
        <v>47</v>
      </c>
      <c r="AC7478" t="s">
        <v>87</v>
      </c>
    </row>
    <row r="7479" spans="1:30" x14ac:dyDescent="0.35">
      <c r="A7479" s="7">
        <v>43297</v>
      </c>
      <c r="B7479" t="s">
        <v>30</v>
      </c>
      <c r="C7479">
        <v>503</v>
      </c>
      <c r="D7479">
        <v>7</v>
      </c>
      <c r="E7479">
        <v>1</v>
      </c>
      <c r="F7479" t="s">
        <v>1170</v>
      </c>
      <c r="G7479" t="s">
        <v>32</v>
      </c>
      <c r="H7479" t="s">
        <v>33</v>
      </c>
      <c r="I7479" t="s">
        <v>59</v>
      </c>
      <c r="AB7479" t="s">
        <v>47</v>
      </c>
      <c r="AC7479" t="s">
        <v>87</v>
      </c>
    </row>
    <row r="7480" spans="1:30" x14ac:dyDescent="0.35">
      <c r="A7480" s="7">
        <v>43297</v>
      </c>
      <c r="B7480" t="s">
        <v>30</v>
      </c>
      <c r="C7480">
        <v>503</v>
      </c>
      <c r="D7480">
        <v>7</v>
      </c>
      <c r="E7480">
        <v>2</v>
      </c>
      <c r="F7480" t="s">
        <v>1170</v>
      </c>
      <c r="G7480" t="s">
        <v>32</v>
      </c>
      <c r="H7480" t="s">
        <v>33</v>
      </c>
      <c r="I7480" t="s">
        <v>59</v>
      </c>
      <c r="AB7480" t="s">
        <v>47</v>
      </c>
      <c r="AC7480" t="s">
        <v>87</v>
      </c>
    </row>
    <row r="7481" spans="1:30" x14ac:dyDescent="0.35">
      <c r="A7481" s="7">
        <v>43297</v>
      </c>
      <c r="B7481" t="s">
        <v>30</v>
      </c>
      <c r="C7481">
        <v>503</v>
      </c>
      <c r="D7481">
        <v>10</v>
      </c>
      <c r="E7481">
        <v>2</v>
      </c>
      <c r="F7481" t="s">
        <v>1170</v>
      </c>
      <c r="G7481" t="s">
        <v>32</v>
      </c>
      <c r="H7481" t="s">
        <v>33</v>
      </c>
      <c r="I7481" t="s">
        <v>94</v>
      </c>
      <c r="J7481" t="s">
        <v>44</v>
      </c>
      <c r="K7481" t="s">
        <v>36</v>
      </c>
      <c r="L7481" t="s">
        <v>37</v>
      </c>
      <c r="M7481">
        <v>0</v>
      </c>
      <c r="N7481">
        <v>0</v>
      </c>
      <c r="O7481">
        <v>1023</v>
      </c>
      <c r="Q7481">
        <f>47-22</f>
        <v>25</v>
      </c>
      <c r="R7481" t="s">
        <v>38</v>
      </c>
      <c r="AB7481" t="s">
        <v>47</v>
      </c>
      <c r="AC7481" t="s">
        <v>87</v>
      </c>
    </row>
    <row r="7482" spans="1:30" x14ac:dyDescent="0.35">
      <c r="A7482" s="7">
        <v>43298</v>
      </c>
      <c r="B7482" t="s">
        <v>30</v>
      </c>
      <c r="C7482">
        <v>303</v>
      </c>
      <c r="D7482">
        <v>1</v>
      </c>
      <c r="E7482">
        <v>1</v>
      </c>
      <c r="F7482" t="s">
        <v>1170</v>
      </c>
      <c r="G7482" t="s">
        <v>32</v>
      </c>
      <c r="H7482" t="s">
        <v>33</v>
      </c>
      <c r="I7482" t="s">
        <v>43</v>
      </c>
      <c r="J7482" t="s">
        <v>44</v>
      </c>
      <c r="K7482" t="s">
        <v>88</v>
      </c>
      <c r="L7482" t="s">
        <v>45</v>
      </c>
      <c r="M7482">
        <v>0</v>
      </c>
      <c r="N7482">
        <v>0</v>
      </c>
      <c r="O7482">
        <v>1006</v>
      </c>
      <c r="P7482">
        <v>1005</v>
      </c>
      <c r="Q7482">
        <f>36-24</f>
        <v>12</v>
      </c>
      <c r="R7482" t="s">
        <v>46</v>
      </c>
      <c r="S7482" t="s">
        <v>39</v>
      </c>
      <c r="AB7482" t="s">
        <v>47</v>
      </c>
      <c r="AC7482" t="s">
        <v>41</v>
      </c>
    </row>
    <row r="7483" spans="1:30" x14ac:dyDescent="0.35">
      <c r="A7483" s="7">
        <v>43298</v>
      </c>
      <c r="B7483" t="s">
        <v>30</v>
      </c>
      <c r="C7483">
        <v>303</v>
      </c>
      <c r="D7483">
        <v>7</v>
      </c>
      <c r="E7483">
        <v>1</v>
      </c>
      <c r="F7483" t="s">
        <v>1170</v>
      </c>
      <c r="G7483" t="s">
        <v>32</v>
      </c>
      <c r="H7483" t="s">
        <v>33</v>
      </c>
      <c r="I7483" t="s">
        <v>43</v>
      </c>
      <c r="J7483" t="s">
        <v>44</v>
      </c>
      <c r="K7483" t="s">
        <v>36</v>
      </c>
      <c r="L7483" t="s">
        <v>45</v>
      </c>
      <c r="M7483">
        <v>0</v>
      </c>
      <c r="N7483">
        <v>0</v>
      </c>
      <c r="O7483">
        <v>2913</v>
      </c>
      <c r="P7483">
        <v>2912</v>
      </c>
      <c r="Q7483">
        <f>44-24</f>
        <v>20</v>
      </c>
      <c r="R7483" t="s">
        <v>46</v>
      </c>
      <c r="S7483" t="s">
        <v>39</v>
      </c>
      <c r="AB7483" t="s">
        <v>47</v>
      </c>
      <c r="AC7483" t="s">
        <v>41</v>
      </c>
    </row>
    <row r="7484" spans="1:30" x14ac:dyDescent="0.35">
      <c r="A7484" s="7">
        <v>43298</v>
      </c>
      <c r="B7484" t="s">
        <v>30</v>
      </c>
      <c r="C7484">
        <v>303</v>
      </c>
      <c r="D7484">
        <v>9</v>
      </c>
      <c r="E7484">
        <v>2</v>
      </c>
      <c r="F7484" t="s">
        <v>1170</v>
      </c>
      <c r="G7484" t="s">
        <v>32</v>
      </c>
      <c r="H7484" t="s">
        <v>33</v>
      </c>
      <c r="I7484" t="s">
        <v>43</v>
      </c>
      <c r="J7484" t="s">
        <v>35</v>
      </c>
      <c r="K7484" t="s">
        <v>88</v>
      </c>
      <c r="L7484" t="s">
        <v>45</v>
      </c>
      <c r="M7484">
        <v>0</v>
      </c>
      <c r="N7484">
        <v>1</v>
      </c>
      <c r="O7484">
        <v>1221</v>
      </c>
      <c r="P7484">
        <v>1220</v>
      </c>
      <c r="Q7484">
        <f>36-24</f>
        <v>12</v>
      </c>
      <c r="R7484" t="s">
        <v>46</v>
      </c>
      <c r="S7484" t="s">
        <v>39</v>
      </c>
      <c r="AB7484" t="s">
        <v>47</v>
      </c>
      <c r="AC7484" t="s">
        <v>41</v>
      </c>
    </row>
    <row r="7485" spans="1:30" x14ac:dyDescent="0.35">
      <c r="A7485" s="7">
        <v>43298</v>
      </c>
      <c r="B7485" t="s">
        <v>30</v>
      </c>
      <c r="C7485">
        <v>401</v>
      </c>
      <c r="D7485">
        <v>6</v>
      </c>
      <c r="E7485">
        <v>1</v>
      </c>
      <c r="F7485" t="s">
        <v>1170</v>
      </c>
      <c r="G7485" t="s">
        <v>32</v>
      </c>
      <c r="H7485" t="s">
        <v>33</v>
      </c>
      <c r="I7485" t="s">
        <v>43</v>
      </c>
      <c r="J7485" t="s">
        <v>44</v>
      </c>
      <c r="K7485" t="s">
        <v>36</v>
      </c>
      <c r="L7485" t="s">
        <v>37</v>
      </c>
      <c r="M7485">
        <v>0</v>
      </c>
      <c r="N7485">
        <v>0</v>
      </c>
      <c r="O7485">
        <v>2911</v>
      </c>
      <c r="P7485">
        <v>2910</v>
      </c>
      <c r="R7485" t="s">
        <v>38</v>
      </c>
      <c r="AB7485" t="s">
        <v>47</v>
      </c>
      <c r="AC7485" t="s">
        <v>41</v>
      </c>
      <c r="AD7485" t="s">
        <v>1221</v>
      </c>
    </row>
    <row r="7486" spans="1:30" x14ac:dyDescent="0.35">
      <c r="A7486" s="7">
        <v>43298</v>
      </c>
      <c r="B7486" t="s">
        <v>30</v>
      </c>
      <c r="C7486">
        <v>401</v>
      </c>
      <c r="D7486">
        <v>9</v>
      </c>
      <c r="E7486">
        <v>1</v>
      </c>
      <c r="F7486" t="s">
        <v>1170</v>
      </c>
      <c r="G7486" t="s">
        <v>32</v>
      </c>
      <c r="H7486" t="s">
        <v>33</v>
      </c>
      <c r="I7486" t="s">
        <v>43</v>
      </c>
      <c r="J7486" t="s">
        <v>35</v>
      </c>
      <c r="K7486" t="s">
        <v>88</v>
      </c>
      <c r="L7486" t="s">
        <v>37</v>
      </c>
      <c r="M7486">
        <v>0</v>
      </c>
      <c r="N7486">
        <v>1</v>
      </c>
      <c r="O7486">
        <v>1146</v>
      </c>
      <c r="P7486">
        <v>1145</v>
      </c>
      <c r="Q7486">
        <f>33.5-24</f>
        <v>9.5</v>
      </c>
      <c r="R7486" t="s">
        <v>64</v>
      </c>
      <c r="AB7486" t="s">
        <v>47</v>
      </c>
      <c r="AC7486" t="s">
        <v>41</v>
      </c>
    </row>
    <row r="7487" spans="1:30" x14ac:dyDescent="0.35">
      <c r="A7487" s="7">
        <v>43298</v>
      </c>
      <c r="B7487" t="s">
        <v>30</v>
      </c>
      <c r="C7487">
        <v>401</v>
      </c>
      <c r="D7487">
        <v>10</v>
      </c>
      <c r="E7487">
        <v>1</v>
      </c>
      <c r="F7487" t="s">
        <v>1170</v>
      </c>
      <c r="G7487" t="s">
        <v>32</v>
      </c>
      <c r="H7487" t="s">
        <v>33</v>
      </c>
      <c r="I7487" t="s">
        <v>43</v>
      </c>
      <c r="J7487" t="s">
        <v>44</v>
      </c>
      <c r="K7487" t="s">
        <v>36</v>
      </c>
      <c r="L7487" t="s">
        <v>37</v>
      </c>
      <c r="M7487">
        <v>0</v>
      </c>
      <c r="N7487">
        <v>0</v>
      </c>
      <c r="O7487">
        <v>1022</v>
      </c>
      <c r="P7487">
        <v>2812</v>
      </c>
      <c r="R7487" t="s">
        <v>38</v>
      </c>
      <c r="Z7487" t="s">
        <v>102</v>
      </c>
      <c r="AB7487" t="s">
        <v>47</v>
      </c>
      <c r="AC7487" t="s">
        <v>41</v>
      </c>
    </row>
    <row r="7488" spans="1:30" x14ac:dyDescent="0.35">
      <c r="A7488" s="7">
        <v>43298</v>
      </c>
      <c r="B7488" t="s">
        <v>30</v>
      </c>
      <c r="C7488">
        <v>501</v>
      </c>
      <c r="D7488">
        <v>2</v>
      </c>
      <c r="E7488">
        <v>1</v>
      </c>
      <c r="F7488" t="s">
        <v>1170</v>
      </c>
      <c r="G7488" t="s">
        <v>32</v>
      </c>
      <c r="H7488" t="s">
        <v>33</v>
      </c>
      <c r="I7488" t="s">
        <v>43</v>
      </c>
      <c r="J7488" t="s">
        <v>44</v>
      </c>
      <c r="K7488" t="s">
        <v>36</v>
      </c>
      <c r="L7488" t="s">
        <v>45</v>
      </c>
      <c r="M7488">
        <v>0</v>
      </c>
      <c r="N7488">
        <v>0</v>
      </c>
      <c r="O7488">
        <v>2953</v>
      </c>
      <c r="P7488">
        <v>2952</v>
      </c>
      <c r="Q7488">
        <f>35-17.5</f>
        <v>17.5</v>
      </c>
      <c r="R7488" t="s">
        <v>1028</v>
      </c>
      <c r="S7488" t="s">
        <v>102</v>
      </c>
      <c r="AB7488" t="s">
        <v>47</v>
      </c>
      <c r="AC7488" t="s">
        <v>41</v>
      </c>
    </row>
    <row r="7489" spans="1:30" x14ac:dyDescent="0.35">
      <c r="A7489" s="7">
        <v>43298</v>
      </c>
      <c r="B7489" t="s">
        <v>30</v>
      </c>
      <c r="C7489">
        <v>501</v>
      </c>
      <c r="D7489">
        <v>6</v>
      </c>
      <c r="E7489">
        <v>1</v>
      </c>
      <c r="F7489" t="s">
        <v>1170</v>
      </c>
      <c r="G7489" t="s">
        <v>32</v>
      </c>
      <c r="H7489" t="s">
        <v>33</v>
      </c>
      <c r="I7489" t="s">
        <v>43</v>
      </c>
      <c r="J7489" t="s">
        <v>44</v>
      </c>
      <c r="K7489" t="s">
        <v>113</v>
      </c>
      <c r="L7489" t="s">
        <v>45</v>
      </c>
      <c r="M7489">
        <v>0</v>
      </c>
      <c r="N7489">
        <v>0</v>
      </c>
      <c r="O7489">
        <v>1002</v>
      </c>
      <c r="P7489">
        <v>1001</v>
      </c>
      <c r="Q7489">
        <f>37-21</f>
        <v>16</v>
      </c>
      <c r="R7489" t="s">
        <v>46</v>
      </c>
      <c r="S7489" t="s">
        <v>39</v>
      </c>
      <c r="AB7489" t="s">
        <v>47</v>
      </c>
      <c r="AC7489" t="s">
        <v>41</v>
      </c>
    </row>
    <row r="7490" spans="1:30" x14ac:dyDescent="0.35">
      <c r="A7490" s="7">
        <v>43298</v>
      </c>
      <c r="B7490" t="s">
        <v>30</v>
      </c>
      <c r="C7490">
        <v>501</v>
      </c>
      <c r="D7490">
        <v>9</v>
      </c>
      <c r="E7490">
        <v>2</v>
      </c>
      <c r="F7490" t="s">
        <v>1170</v>
      </c>
      <c r="G7490" t="s">
        <v>32</v>
      </c>
      <c r="H7490" t="s">
        <v>33</v>
      </c>
      <c r="I7490" t="s">
        <v>43</v>
      </c>
      <c r="J7490" t="s">
        <v>35</v>
      </c>
      <c r="K7490" t="s">
        <v>113</v>
      </c>
      <c r="L7490" t="s">
        <v>37</v>
      </c>
      <c r="M7490">
        <v>0</v>
      </c>
      <c r="N7490">
        <v>1</v>
      </c>
      <c r="O7490">
        <v>1018</v>
      </c>
      <c r="P7490">
        <v>1014</v>
      </c>
      <c r="R7490" t="s">
        <v>64</v>
      </c>
      <c r="AB7490" t="s">
        <v>47</v>
      </c>
      <c r="AC7490" t="s">
        <v>41</v>
      </c>
    </row>
    <row r="7491" spans="1:30" x14ac:dyDescent="0.35">
      <c r="A7491" s="7">
        <v>43298</v>
      </c>
      <c r="B7491" t="s">
        <v>30</v>
      </c>
      <c r="C7491">
        <v>503</v>
      </c>
      <c r="D7491">
        <v>9</v>
      </c>
      <c r="E7491">
        <v>1</v>
      </c>
      <c r="F7491" t="s">
        <v>1170</v>
      </c>
      <c r="G7491" t="s">
        <v>32</v>
      </c>
      <c r="H7491" t="s">
        <v>33</v>
      </c>
      <c r="I7491" t="s">
        <v>43</v>
      </c>
      <c r="J7491" t="s">
        <v>35</v>
      </c>
      <c r="K7491" t="s">
        <v>113</v>
      </c>
      <c r="L7491" t="s">
        <v>37</v>
      </c>
      <c r="M7491">
        <v>0</v>
      </c>
      <c r="N7491">
        <v>1</v>
      </c>
      <c r="O7491">
        <v>1223</v>
      </c>
      <c r="P7491">
        <v>1222</v>
      </c>
      <c r="Q7491">
        <f>37-23</f>
        <v>14</v>
      </c>
      <c r="R7491" t="s">
        <v>64</v>
      </c>
      <c r="AB7491" t="s">
        <v>47</v>
      </c>
      <c r="AC7491" t="s">
        <v>41</v>
      </c>
      <c r="AD7491" t="s">
        <v>1222</v>
      </c>
    </row>
    <row r="7492" spans="1:30" x14ac:dyDescent="0.35">
      <c r="A7492" s="7">
        <v>43298</v>
      </c>
      <c r="B7492" t="s">
        <v>30</v>
      </c>
      <c r="C7492">
        <v>401</v>
      </c>
      <c r="D7492">
        <v>8</v>
      </c>
      <c r="E7492">
        <v>1</v>
      </c>
      <c r="F7492" t="s">
        <v>1170</v>
      </c>
      <c r="G7492" t="s">
        <v>32</v>
      </c>
      <c r="H7492" t="s">
        <v>33</v>
      </c>
      <c r="I7492" t="s">
        <v>58</v>
      </c>
      <c r="J7492" t="s">
        <v>44</v>
      </c>
      <c r="K7492" t="s">
        <v>36</v>
      </c>
      <c r="L7492" t="s">
        <v>45</v>
      </c>
      <c r="M7492">
        <v>0</v>
      </c>
      <c r="N7492">
        <v>0</v>
      </c>
      <c r="O7492">
        <v>2811</v>
      </c>
      <c r="Q7492">
        <f>48-24</f>
        <v>24</v>
      </c>
      <c r="R7492" t="s">
        <v>46</v>
      </c>
      <c r="S7492" t="s">
        <v>39</v>
      </c>
      <c r="Z7492" t="s">
        <v>102</v>
      </c>
      <c r="AB7492" t="s">
        <v>47</v>
      </c>
      <c r="AC7492" t="s">
        <v>41</v>
      </c>
    </row>
    <row r="7493" spans="1:30" x14ac:dyDescent="0.35">
      <c r="A7493" s="7">
        <v>43298</v>
      </c>
      <c r="B7493" t="s">
        <v>30</v>
      </c>
      <c r="C7493">
        <v>501</v>
      </c>
      <c r="D7493">
        <v>4</v>
      </c>
      <c r="E7493">
        <v>1</v>
      </c>
      <c r="F7493" t="s">
        <v>1170</v>
      </c>
      <c r="G7493" t="s">
        <v>32</v>
      </c>
      <c r="H7493" t="s">
        <v>33</v>
      </c>
      <c r="I7493" t="s">
        <v>58</v>
      </c>
      <c r="J7493" t="s">
        <v>44</v>
      </c>
      <c r="K7493" t="s">
        <v>36</v>
      </c>
      <c r="L7493" t="s">
        <v>45</v>
      </c>
      <c r="M7493">
        <v>0</v>
      </c>
      <c r="N7493">
        <v>0</v>
      </c>
      <c r="O7493">
        <v>2818</v>
      </c>
      <c r="Q7493">
        <f>48-21</f>
        <v>27</v>
      </c>
      <c r="R7493" t="s">
        <v>1028</v>
      </c>
      <c r="S7493" t="s">
        <v>102</v>
      </c>
      <c r="AB7493" t="s">
        <v>47</v>
      </c>
      <c r="AC7493" t="s">
        <v>41</v>
      </c>
      <c r="AD7493" t="s">
        <v>1223</v>
      </c>
    </row>
    <row r="7494" spans="1:30" x14ac:dyDescent="0.35">
      <c r="A7494" s="7">
        <v>43298</v>
      </c>
      <c r="B7494" t="s">
        <v>30</v>
      </c>
      <c r="C7494">
        <v>503</v>
      </c>
      <c r="D7494">
        <v>5</v>
      </c>
      <c r="E7494">
        <v>1</v>
      </c>
      <c r="F7494" t="s">
        <v>1170</v>
      </c>
      <c r="G7494" t="s">
        <v>32</v>
      </c>
      <c r="H7494" t="s">
        <v>33</v>
      </c>
      <c r="I7494" t="s">
        <v>58</v>
      </c>
      <c r="J7494" t="s">
        <v>44</v>
      </c>
      <c r="K7494" t="s">
        <v>36</v>
      </c>
      <c r="L7494" t="s">
        <v>45</v>
      </c>
      <c r="M7494">
        <v>0</v>
      </c>
      <c r="N7494">
        <v>0</v>
      </c>
      <c r="O7494">
        <v>2908</v>
      </c>
      <c r="Q7494">
        <f>49-25</f>
        <v>24</v>
      </c>
      <c r="R7494" t="s">
        <v>1035</v>
      </c>
      <c r="S7494" t="s">
        <v>102</v>
      </c>
      <c r="Z7494" t="s">
        <v>102</v>
      </c>
      <c r="AB7494" t="s">
        <v>47</v>
      </c>
      <c r="AC7494" t="s">
        <v>41</v>
      </c>
    </row>
    <row r="7495" spans="1:30" x14ac:dyDescent="0.35">
      <c r="A7495" s="7">
        <v>43298</v>
      </c>
      <c r="B7495" t="s">
        <v>30</v>
      </c>
      <c r="C7495">
        <v>401</v>
      </c>
      <c r="D7495">
        <v>8</v>
      </c>
      <c r="E7495">
        <v>2</v>
      </c>
      <c r="F7495" t="s">
        <v>1170</v>
      </c>
      <c r="G7495" t="s">
        <v>32</v>
      </c>
      <c r="H7495" t="s">
        <v>33</v>
      </c>
      <c r="I7495" t="s">
        <v>1029</v>
      </c>
      <c r="J7495" t="s">
        <v>56</v>
      </c>
      <c r="AB7495" t="s">
        <v>47</v>
      </c>
      <c r="AC7495" t="s">
        <v>41</v>
      </c>
    </row>
    <row r="7496" spans="1:30" x14ac:dyDescent="0.35">
      <c r="A7496" s="7">
        <v>43298</v>
      </c>
      <c r="B7496" t="s">
        <v>30</v>
      </c>
      <c r="C7496">
        <v>303</v>
      </c>
      <c r="D7496">
        <v>3</v>
      </c>
      <c r="E7496">
        <v>1</v>
      </c>
      <c r="F7496" t="s">
        <v>1170</v>
      </c>
      <c r="G7496" t="s">
        <v>32</v>
      </c>
      <c r="H7496" t="s">
        <v>33</v>
      </c>
      <c r="I7496" t="s">
        <v>72</v>
      </c>
      <c r="J7496" t="s">
        <v>66</v>
      </c>
      <c r="AB7496" t="s">
        <v>47</v>
      </c>
      <c r="AC7496" t="s">
        <v>41</v>
      </c>
    </row>
    <row r="7497" spans="1:30" x14ac:dyDescent="0.35">
      <c r="A7497" s="7">
        <v>43298</v>
      </c>
      <c r="B7497" t="s">
        <v>30</v>
      </c>
      <c r="C7497">
        <v>303</v>
      </c>
      <c r="D7497">
        <v>4</v>
      </c>
      <c r="E7497">
        <v>1</v>
      </c>
      <c r="F7497" t="s">
        <v>1170</v>
      </c>
      <c r="G7497" t="s">
        <v>32</v>
      </c>
      <c r="H7497" t="s">
        <v>33</v>
      </c>
      <c r="I7497" t="s">
        <v>72</v>
      </c>
      <c r="J7497" t="s">
        <v>66</v>
      </c>
      <c r="AB7497" t="s">
        <v>47</v>
      </c>
      <c r="AC7497" t="s">
        <v>41</v>
      </c>
    </row>
    <row r="7498" spans="1:30" x14ac:dyDescent="0.35">
      <c r="A7498" s="7">
        <v>43298</v>
      </c>
      <c r="B7498" t="s">
        <v>30</v>
      </c>
      <c r="C7498">
        <v>501</v>
      </c>
      <c r="D7498">
        <v>1</v>
      </c>
      <c r="E7498">
        <v>2</v>
      </c>
      <c r="F7498" t="s">
        <v>1170</v>
      </c>
      <c r="G7498" t="s">
        <v>32</v>
      </c>
      <c r="H7498" t="s">
        <v>33</v>
      </c>
      <c r="I7498" t="s">
        <v>72</v>
      </c>
      <c r="J7498" t="s">
        <v>56</v>
      </c>
      <c r="AB7498" t="s">
        <v>47</v>
      </c>
      <c r="AC7498" t="s">
        <v>87</v>
      </c>
    </row>
    <row r="7499" spans="1:30" x14ac:dyDescent="0.35">
      <c r="A7499" s="7">
        <v>43298</v>
      </c>
      <c r="B7499" t="s">
        <v>30</v>
      </c>
      <c r="C7499">
        <v>501</v>
      </c>
      <c r="D7499">
        <v>6</v>
      </c>
      <c r="E7499">
        <v>2</v>
      </c>
      <c r="F7499" t="s">
        <v>1170</v>
      </c>
      <c r="G7499" t="s">
        <v>32</v>
      </c>
      <c r="H7499" t="s">
        <v>33</v>
      </c>
      <c r="I7499" t="s">
        <v>72</v>
      </c>
      <c r="J7499" t="s">
        <v>66</v>
      </c>
      <c r="AB7499" t="s">
        <v>47</v>
      </c>
      <c r="AC7499" t="s">
        <v>41</v>
      </c>
    </row>
    <row r="7500" spans="1:30" x14ac:dyDescent="0.35">
      <c r="A7500" s="7">
        <v>43298</v>
      </c>
      <c r="B7500" t="s">
        <v>30</v>
      </c>
      <c r="C7500">
        <v>501</v>
      </c>
      <c r="D7500">
        <v>8</v>
      </c>
      <c r="E7500">
        <v>1</v>
      </c>
      <c r="F7500" t="s">
        <v>1170</v>
      </c>
      <c r="G7500" t="s">
        <v>32</v>
      </c>
      <c r="H7500" t="s">
        <v>33</v>
      </c>
      <c r="I7500" t="s">
        <v>72</v>
      </c>
      <c r="J7500" t="s">
        <v>56</v>
      </c>
      <c r="AB7500" t="s">
        <v>47</v>
      </c>
      <c r="AC7500" t="s">
        <v>41</v>
      </c>
    </row>
    <row r="7501" spans="1:30" x14ac:dyDescent="0.35">
      <c r="A7501" s="7">
        <v>43298</v>
      </c>
      <c r="B7501" t="s">
        <v>30</v>
      </c>
      <c r="C7501">
        <v>503</v>
      </c>
      <c r="D7501">
        <v>2</v>
      </c>
      <c r="E7501">
        <v>1</v>
      </c>
      <c r="F7501" t="s">
        <v>1170</v>
      </c>
      <c r="G7501" t="s">
        <v>32</v>
      </c>
      <c r="H7501" t="s">
        <v>33</v>
      </c>
      <c r="I7501" t="s">
        <v>72</v>
      </c>
      <c r="J7501" t="s">
        <v>66</v>
      </c>
      <c r="AB7501" t="s">
        <v>47</v>
      </c>
      <c r="AC7501" t="s">
        <v>41</v>
      </c>
    </row>
    <row r="7502" spans="1:30" x14ac:dyDescent="0.35">
      <c r="A7502" s="7">
        <v>43298</v>
      </c>
      <c r="B7502" t="s">
        <v>30</v>
      </c>
      <c r="C7502">
        <v>503</v>
      </c>
      <c r="D7502">
        <v>2</v>
      </c>
      <c r="E7502">
        <v>2</v>
      </c>
      <c r="F7502" t="s">
        <v>1170</v>
      </c>
      <c r="G7502" t="s">
        <v>32</v>
      </c>
      <c r="H7502" t="s">
        <v>33</v>
      </c>
      <c r="I7502" t="s">
        <v>72</v>
      </c>
      <c r="J7502" t="s">
        <v>66</v>
      </c>
      <c r="AB7502" t="s">
        <v>47</v>
      </c>
      <c r="AC7502" t="s">
        <v>41</v>
      </c>
    </row>
    <row r="7503" spans="1:30" x14ac:dyDescent="0.35">
      <c r="A7503" s="7">
        <v>43298</v>
      </c>
      <c r="B7503" t="s">
        <v>30</v>
      </c>
      <c r="C7503">
        <v>503</v>
      </c>
      <c r="D7503">
        <v>4</v>
      </c>
      <c r="E7503">
        <v>1</v>
      </c>
      <c r="F7503" t="s">
        <v>1170</v>
      </c>
      <c r="G7503" t="s">
        <v>32</v>
      </c>
      <c r="H7503" t="s">
        <v>33</v>
      </c>
      <c r="I7503" t="s">
        <v>72</v>
      </c>
      <c r="J7503" t="s">
        <v>56</v>
      </c>
      <c r="AB7503" t="s">
        <v>47</v>
      </c>
      <c r="AC7503" t="s">
        <v>41</v>
      </c>
    </row>
    <row r="7504" spans="1:30" x14ac:dyDescent="0.35">
      <c r="A7504" s="7">
        <v>43298</v>
      </c>
      <c r="B7504" t="s">
        <v>30</v>
      </c>
      <c r="C7504">
        <v>503</v>
      </c>
      <c r="D7504">
        <v>10</v>
      </c>
      <c r="E7504">
        <v>1</v>
      </c>
      <c r="F7504" t="s">
        <v>1170</v>
      </c>
      <c r="G7504" t="s">
        <v>32</v>
      </c>
      <c r="H7504" t="s">
        <v>33</v>
      </c>
      <c r="I7504" t="s">
        <v>72</v>
      </c>
      <c r="J7504" t="s">
        <v>56</v>
      </c>
      <c r="AB7504" t="s">
        <v>47</v>
      </c>
      <c r="AC7504" t="s">
        <v>41</v>
      </c>
    </row>
    <row r="7505" spans="1:29" x14ac:dyDescent="0.35">
      <c r="A7505" s="7">
        <v>43298</v>
      </c>
      <c r="B7505" t="s">
        <v>30</v>
      </c>
      <c r="C7505">
        <v>303</v>
      </c>
      <c r="D7505">
        <v>2</v>
      </c>
      <c r="E7505">
        <v>1</v>
      </c>
      <c r="F7505" t="s">
        <v>1170</v>
      </c>
      <c r="G7505" t="s">
        <v>32</v>
      </c>
      <c r="H7505" t="s">
        <v>33</v>
      </c>
      <c r="I7505" t="s">
        <v>59</v>
      </c>
      <c r="AB7505" t="s">
        <v>47</v>
      </c>
      <c r="AC7505" t="s">
        <v>41</v>
      </c>
    </row>
    <row r="7506" spans="1:29" x14ac:dyDescent="0.35">
      <c r="A7506" s="7">
        <v>43298</v>
      </c>
      <c r="B7506" t="s">
        <v>30</v>
      </c>
      <c r="C7506">
        <v>303</v>
      </c>
      <c r="D7506">
        <v>4</v>
      </c>
      <c r="E7506">
        <v>1</v>
      </c>
      <c r="F7506" t="s">
        <v>1170</v>
      </c>
      <c r="G7506" t="s">
        <v>32</v>
      </c>
      <c r="H7506" t="s">
        <v>33</v>
      </c>
      <c r="I7506" t="s">
        <v>59</v>
      </c>
      <c r="AB7506" t="s">
        <v>47</v>
      </c>
      <c r="AC7506" t="s">
        <v>41</v>
      </c>
    </row>
    <row r="7507" spans="1:29" x14ac:dyDescent="0.35">
      <c r="A7507" s="7">
        <v>43298</v>
      </c>
      <c r="B7507" t="s">
        <v>30</v>
      </c>
      <c r="C7507">
        <v>303</v>
      </c>
      <c r="D7507">
        <v>9</v>
      </c>
      <c r="E7507">
        <v>1</v>
      </c>
      <c r="F7507" t="s">
        <v>1170</v>
      </c>
      <c r="G7507" t="s">
        <v>32</v>
      </c>
      <c r="H7507" t="s">
        <v>33</v>
      </c>
      <c r="I7507" t="s">
        <v>59</v>
      </c>
      <c r="AB7507" t="s">
        <v>47</v>
      </c>
      <c r="AC7507" t="s">
        <v>41</v>
      </c>
    </row>
    <row r="7508" spans="1:29" x14ac:dyDescent="0.35">
      <c r="A7508" s="7">
        <v>43298</v>
      </c>
      <c r="B7508" t="s">
        <v>30</v>
      </c>
      <c r="C7508">
        <v>303</v>
      </c>
      <c r="D7508">
        <v>10</v>
      </c>
      <c r="E7508">
        <v>1</v>
      </c>
      <c r="F7508" t="s">
        <v>1170</v>
      </c>
      <c r="G7508" t="s">
        <v>32</v>
      </c>
      <c r="H7508" t="s">
        <v>33</v>
      </c>
      <c r="I7508" t="s">
        <v>59</v>
      </c>
      <c r="AB7508" t="s">
        <v>47</v>
      </c>
      <c r="AC7508" t="s">
        <v>41</v>
      </c>
    </row>
    <row r="7509" spans="1:29" x14ac:dyDescent="0.35">
      <c r="A7509" s="7">
        <v>43298</v>
      </c>
      <c r="B7509" t="s">
        <v>30</v>
      </c>
      <c r="C7509">
        <v>501</v>
      </c>
      <c r="D7509">
        <v>1</v>
      </c>
      <c r="E7509">
        <v>1</v>
      </c>
      <c r="F7509" t="s">
        <v>1170</v>
      </c>
      <c r="G7509" t="s">
        <v>32</v>
      </c>
      <c r="H7509" t="s">
        <v>33</v>
      </c>
      <c r="I7509" t="s">
        <v>59</v>
      </c>
      <c r="AB7509" t="s">
        <v>47</v>
      </c>
      <c r="AC7509" t="s">
        <v>87</v>
      </c>
    </row>
    <row r="7510" spans="1:29" x14ac:dyDescent="0.35">
      <c r="A7510" s="7">
        <v>43298</v>
      </c>
      <c r="B7510" t="s">
        <v>30</v>
      </c>
      <c r="C7510">
        <v>501</v>
      </c>
      <c r="D7510">
        <v>9</v>
      </c>
      <c r="E7510">
        <v>1</v>
      </c>
      <c r="F7510" t="s">
        <v>1170</v>
      </c>
      <c r="G7510" t="s">
        <v>32</v>
      </c>
      <c r="H7510" t="s">
        <v>33</v>
      </c>
      <c r="I7510" t="s">
        <v>59</v>
      </c>
      <c r="J7510" t="s">
        <v>56</v>
      </c>
      <c r="AB7510" t="s">
        <v>47</v>
      </c>
      <c r="AC7510" t="s">
        <v>41</v>
      </c>
    </row>
    <row r="7511" spans="1:29" x14ac:dyDescent="0.35">
      <c r="A7511" s="7">
        <v>43298</v>
      </c>
      <c r="B7511" t="s">
        <v>30</v>
      </c>
      <c r="C7511">
        <v>503</v>
      </c>
      <c r="D7511">
        <v>1</v>
      </c>
      <c r="E7511">
        <v>1</v>
      </c>
      <c r="F7511" t="s">
        <v>1170</v>
      </c>
      <c r="G7511" t="s">
        <v>32</v>
      </c>
      <c r="H7511" t="s">
        <v>33</v>
      </c>
      <c r="I7511" t="s">
        <v>59</v>
      </c>
      <c r="AB7511" t="s">
        <v>47</v>
      </c>
      <c r="AC7511" t="s">
        <v>41</v>
      </c>
    </row>
    <row r="7512" spans="1:29" x14ac:dyDescent="0.35">
      <c r="A7512" s="7">
        <v>43298</v>
      </c>
      <c r="B7512" t="s">
        <v>30</v>
      </c>
      <c r="C7512">
        <v>503</v>
      </c>
      <c r="D7512">
        <v>8</v>
      </c>
      <c r="E7512">
        <v>1</v>
      </c>
      <c r="F7512" t="s">
        <v>1170</v>
      </c>
      <c r="G7512" t="s">
        <v>32</v>
      </c>
      <c r="H7512" t="s">
        <v>33</v>
      </c>
      <c r="I7512" t="s">
        <v>94</v>
      </c>
      <c r="J7512" t="s">
        <v>44</v>
      </c>
      <c r="K7512" t="s">
        <v>36</v>
      </c>
      <c r="L7512" t="s">
        <v>45</v>
      </c>
      <c r="M7512">
        <v>0</v>
      </c>
      <c r="N7512">
        <v>0</v>
      </c>
      <c r="O7512">
        <v>1023</v>
      </c>
      <c r="Q7512">
        <f>47-23</f>
        <v>24</v>
      </c>
      <c r="R7512" t="s">
        <v>38</v>
      </c>
      <c r="AB7512" t="s">
        <v>47</v>
      </c>
      <c r="AC7512" t="s">
        <v>41</v>
      </c>
    </row>
    <row r="7513" spans="1:29" x14ac:dyDescent="0.35">
      <c r="A7513" s="7">
        <v>43299</v>
      </c>
      <c r="B7513" t="s">
        <v>30</v>
      </c>
      <c r="C7513">
        <v>303</v>
      </c>
      <c r="D7513">
        <v>1</v>
      </c>
      <c r="E7513">
        <v>1</v>
      </c>
      <c r="F7513" t="s">
        <v>1170</v>
      </c>
      <c r="G7513" t="s">
        <v>32</v>
      </c>
      <c r="H7513" t="s">
        <v>33</v>
      </c>
      <c r="I7513" t="s">
        <v>43</v>
      </c>
      <c r="J7513" t="s">
        <v>92</v>
      </c>
      <c r="M7513">
        <v>0</v>
      </c>
      <c r="N7513">
        <v>0</v>
      </c>
      <c r="O7513">
        <v>1116</v>
      </c>
      <c r="P7513">
        <v>1183</v>
      </c>
      <c r="AB7513" t="s">
        <v>47</v>
      </c>
      <c r="AC7513" t="s">
        <v>41</v>
      </c>
    </row>
    <row r="7514" spans="1:29" x14ac:dyDescent="0.35">
      <c r="A7514" s="7">
        <v>43299</v>
      </c>
      <c r="B7514" t="s">
        <v>30</v>
      </c>
      <c r="C7514">
        <v>303</v>
      </c>
      <c r="D7514">
        <v>2</v>
      </c>
      <c r="E7514">
        <v>1</v>
      </c>
      <c r="F7514" t="s">
        <v>1170</v>
      </c>
      <c r="G7514" t="s">
        <v>32</v>
      </c>
      <c r="H7514" t="s">
        <v>33</v>
      </c>
      <c r="I7514" t="s">
        <v>43</v>
      </c>
      <c r="J7514" t="s">
        <v>44</v>
      </c>
      <c r="K7514" t="s">
        <v>36</v>
      </c>
      <c r="L7514" t="s">
        <v>45</v>
      </c>
      <c r="M7514">
        <v>0</v>
      </c>
      <c r="N7514">
        <v>0</v>
      </c>
      <c r="O7514">
        <v>2903</v>
      </c>
      <c r="P7514">
        <v>2901</v>
      </c>
      <c r="R7514" t="s">
        <v>46</v>
      </c>
      <c r="S7514" t="s">
        <v>39</v>
      </c>
      <c r="AB7514" t="s">
        <v>47</v>
      </c>
      <c r="AC7514" t="s">
        <v>41</v>
      </c>
    </row>
    <row r="7515" spans="1:29" x14ac:dyDescent="0.35">
      <c r="A7515" s="7">
        <v>43299</v>
      </c>
      <c r="B7515" t="s">
        <v>30</v>
      </c>
      <c r="C7515">
        <v>303</v>
      </c>
      <c r="D7515">
        <v>4</v>
      </c>
      <c r="E7515">
        <v>1</v>
      </c>
      <c r="F7515" t="s">
        <v>1170</v>
      </c>
      <c r="G7515" t="s">
        <v>32</v>
      </c>
      <c r="H7515" t="s">
        <v>33</v>
      </c>
      <c r="I7515" t="s">
        <v>43</v>
      </c>
      <c r="J7515" t="s">
        <v>44</v>
      </c>
      <c r="K7515" t="s">
        <v>88</v>
      </c>
      <c r="L7515" t="s">
        <v>45</v>
      </c>
      <c r="M7515">
        <v>0</v>
      </c>
      <c r="N7515">
        <v>0</v>
      </c>
      <c r="O7515">
        <v>1006</v>
      </c>
      <c r="P7515">
        <v>1005</v>
      </c>
      <c r="Q7515">
        <f>28-19</f>
        <v>9</v>
      </c>
      <c r="R7515" t="s">
        <v>46</v>
      </c>
      <c r="S7515" t="s">
        <v>39</v>
      </c>
      <c r="AB7515" t="s">
        <v>47</v>
      </c>
      <c r="AC7515" t="s">
        <v>41</v>
      </c>
    </row>
    <row r="7516" spans="1:29" x14ac:dyDescent="0.35">
      <c r="A7516" s="7">
        <v>43299</v>
      </c>
      <c r="B7516" t="s">
        <v>30</v>
      </c>
      <c r="C7516">
        <v>303</v>
      </c>
      <c r="D7516">
        <v>5</v>
      </c>
      <c r="E7516">
        <v>1</v>
      </c>
      <c r="F7516" t="s">
        <v>1170</v>
      </c>
      <c r="G7516" t="s">
        <v>32</v>
      </c>
      <c r="H7516" t="s">
        <v>33</v>
      </c>
      <c r="I7516" t="s">
        <v>43</v>
      </c>
      <c r="J7516" t="s">
        <v>35</v>
      </c>
      <c r="K7516" t="s">
        <v>36</v>
      </c>
      <c r="L7516" t="s">
        <v>45</v>
      </c>
      <c r="M7516">
        <v>0</v>
      </c>
      <c r="N7516">
        <v>1</v>
      </c>
      <c r="O7516">
        <v>1275</v>
      </c>
      <c r="P7516">
        <v>1274</v>
      </c>
      <c r="R7516" t="s">
        <v>46</v>
      </c>
      <c r="AB7516" t="s">
        <v>47</v>
      </c>
      <c r="AC7516" t="s">
        <v>41</v>
      </c>
    </row>
    <row r="7517" spans="1:29" x14ac:dyDescent="0.35">
      <c r="A7517" s="7">
        <v>43299</v>
      </c>
      <c r="B7517" t="s">
        <v>30</v>
      </c>
      <c r="C7517">
        <v>303</v>
      </c>
      <c r="D7517">
        <v>6</v>
      </c>
      <c r="E7517">
        <v>1</v>
      </c>
      <c r="F7517" t="s">
        <v>1170</v>
      </c>
      <c r="G7517" t="s">
        <v>32</v>
      </c>
      <c r="H7517" t="s">
        <v>33</v>
      </c>
      <c r="I7517" t="s">
        <v>43</v>
      </c>
      <c r="J7517" t="s">
        <v>44</v>
      </c>
      <c r="K7517" t="s">
        <v>113</v>
      </c>
      <c r="L7517" t="s">
        <v>37</v>
      </c>
      <c r="M7517">
        <v>0</v>
      </c>
      <c r="N7517">
        <v>0</v>
      </c>
      <c r="O7517">
        <v>1004</v>
      </c>
      <c r="P7517">
        <v>1003</v>
      </c>
      <c r="Q7517">
        <f>31-18</f>
        <v>13</v>
      </c>
      <c r="R7517" t="s">
        <v>46</v>
      </c>
      <c r="S7517" t="s">
        <v>39</v>
      </c>
      <c r="AB7517" t="s">
        <v>47</v>
      </c>
      <c r="AC7517" t="s">
        <v>41</v>
      </c>
    </row>
    <row r="7518" spans="1:29" x14ac:dyDescent="0.35">
      <c r="A7518" s="7">
        <v>43299</v>
      </c>
      <c r="B7518" t="s">
        <v>30</v>
      </c>
      <c r="C7518">
        <v>303</v>
      </c>
      <c r="D7518">
        <v>7</v>
      </c>
      <c r="E7518">
        <v>1</v>
      </c>
      <c r="F7518" t="s">
        <v>1170</v>
      </c>
      <c r="G7518" t="s">
        <v>32</v>
      </c>
      <c r="H7518" t="s">
        <v>33</v>
      </c>
      <c r="I7518" t="s">
        <v>43</v>
      </c>
      <c r="J7518" t="s">
        <v>35</v>
      </c>
      <c r="K7518" t="s">
        <v>36</v>
      </c>
      <c r="L7518" t="s">
        <v>37</v>
      </c>
      <c r="M7518">
        <v>0</v>
      </c>
      <c r="N7518">
        <v>1</v>
      </c>
      <c r="O7518">
        <v>1225</v>
      </c>
      <c r="P7518">
        <v>1224</v>
      </c>
      <c r="Q7518">
        <f>31-18</f>
        <v>13</v>
      </c>
      <c r="R7518" t="s">
        <v>64</v>
      </c>
      <c r="AB7518" t="s">
        <v>47</v>
      </c>
      <c r="AC7518" t="s">
        <v>41</v>
      </c>
    </row>
    <row r="7519" spans="1:29" x14ac:dyDescent="0.35">
      <c r="A7519" s="7">
        <v>43299</v>
      </c>
      <c r="B7519" t="s">
        <v>30</v>
      </c>
      <c r="C7519">
        <v>303</v>
      </c>
      <c r="D7519">
        <v>8</v>
      </c>
      <c r="E7519">
        <v>1</v>
      </c>
      <c r="F7519" t="s">
        <v>1170</v>
      </c>
      <c r="G7519" t="s">
        <v>32</v>
      </c>
      <c r="H7519" t="s">
        <v>33</v>
      </c>
      <c r="I7519" t="s">
        <v>43</v>
      </c>
      <c r="J7519" t="s">
        <v>44</v>
      </c>
      <c r="K7519" t="s">
        <v>88</v>
      </c>
      <c r="L7519" t="s">
        <v>45</v>
      </c>
      <c r="M7519">
        <v>0</v>
      </c>
      <c r="N7519">
        <v>0</v>
      </c>
      <c r="O7519">
        <v>1221</v>
      </c>
      <c r="P7519">
        <v>1220</v>
      </c>
      <c r="Q7519">
        <f>26-18</f>
        <v>8</v>
      </c>
      <c r="R7519" t="s">
        <v>46</v>
      </c>
      <c r="S7519" t="s">
        <v>39</v>
      </c>
      <c r="AB7519" t="s">
        <v>47</v>
      </c>
      <c r="AC7519" t="s">
        <v>41</v>
      </c>
    </row>
    <row r="7520" spans="1:29" x14ac:dyDescent="0.35">
      <c r="A7520" s="7">
        <v>43299</v>
      </c>
      <c r="B7520" t="s">
        <v>30</v>
      </c>
      <c r="C7520">
        <v>303</v>
      </c>
      <c r="D7520">
        <v>9</v>
      </c>
      <c r="E7520">
        <v>1</v>
      </c>
      <c r="F7520" t="s">
        <v>1170</v>
      </c>
      <c r="G7520" t="s">
        <v>32</v>
      </c>
      <c r="H7520" t="s">
        <v>33</v>
      </c>
      <c r="I7520" t="s">
        <v>43</v>
      </c>
      <c r="J7520" t="s">
        <v>35</v>
      </c>
      <c r="K7520" t="s">
        <v>88</v>
      </c>
      <c r="L7520" t="s">
        <v>45</v>
      </c>
      <c r="M7520">
        <v>0</v>
      </c>
      <c r="N7520">
        <v>1</v>
      </c>
      <c r="O7520">
        <v>1256</v>
      </c>
      <c r="P7520">
        <v>1255</v>
      </c>
      <c r="Q7520">
        <f>29-17</f>
        <v>12</v>
      </c>
      <c r="R7520" t="s">
        <v>46</v>
      </c>
      <c r="S7520" t="s">
        <v>39</v>
      </c>
      <c r="AB7520" t="s">
        <v>47</v>
      </c>
      <c r="AC7520" t="s">
        <v>41</v>
      </c>
    </row>
    <row r="7521" spans="1:30" x14ac:dyDescent="0.35">
      <c r="A7521" s="7">
        <v>43299</v>
      </c>
      <c r="B7521" t="s">
        <v>30</v>
      </c>
      <c r="C7521">
        <v>303</v>
      </c>
      <c r="D7521">
        <v>9</v>
      </c>
      <c r="E7521">
        <v>2</v>
      </c>
      <c r="F7521" t="s">
        <v>1170</v>
      </c>
      <c r="G7521" t="s">
        <v>32</v>
      </c>
      <c r="H7521" t="s">
        <v>33</v>
      </c>
      <c r="I7521" t="s">
        <v>43</v>
      </c>
      <c r="J7521" t="s">
        <v>44</v>
      </c>
      <c r="K7521" t="s">
        <v>36</v>
      </c>
      <c r="L7521" t="s">
        <v>45</v>
      </c>
      <c r="M7521">
        <v>0</v>
      </c>
      <c r="N7521">
        <v>0</v>
      </c>
      <c r="O7521">
        <v>2913</v>
      </c>
      <c r="P7521">
        <v>2912</v>
      </c>
      <c r="Q7521">
        <f>33-18</f>
        <v>15</v>
      </c>
      <c r="R7521" t="s">
        <v>79</v>
      </c>
      <c r="S7521" t="s">
        <v>39</v>
      </c>
      <c r="AB7521" t="s">
        <v>47</v>
      </c>
      <c r="AC7521" t="s">
        <v>41</v>
      </c>
    </row>
    <row r="7522" spans="1:30" x14ac:dyDescent="0.35">
      <c r="A7522" s="7">
        <v>43299</v>
      </c>
      <c r="B7522" t="s">
        <v>30</v>
      </c>
      <c r="C7522">
        <v>303</v>
      </c>
      <c r="D7522">
        <v>10</v>
      </c>
      <c r="E7522">
        <v>1</v>
      </c>
      <c r="F7522" t="s">
        <v>1170</v>
      </c>
      <c r="G7522" t="s">
        <v>32</v>
      </c>
      <c r="H7522" t="s">
        <v>33</v>
      </c>
      <c r="I7522" t="s">
        <v>43</v>
      </c>
      <c r="J7522" t="s">
        <v>44</v>
      </c>
      <c r="K7522" t="s">
        <v>113</v>
      </c>
      <c r="L7522" t="s">
        <v>45</v>
      </c>
      <c r="M7522">
        <v>0</v>
      </c>
      <c r="N7522">
        <v>0</v>
      </c>
      <c r="O7522">
        <v>1182</v>
      </c>
      <c r="P7522">
        <v>1181</v>
      </c>
      <c r="Q7522">
        <f>31-17</f>
        <v>14</v>
      </c>
      <c r="R7522" t="s">
        <v>46</v>
      </c>
      <c r="AB7522" t="s">
        <v>47</v>
      </c>
      <c r="AC7522" t="s">
        <v>41</v>
      </c>
    </row>
    <row r="7523" spans="1:30" x14ac:dyDescent="0.35">
      <c r="A7523" s="7">
        <v>43299</v>
      </c>
      <c r="B7523" t="s">
        <v>30</v>
      </c>
      <c r="C7523">
        <v>401</v>
      </c>
      <c r="D7523">
        <v>4</v>
      </c>
      <c r="E7523">
        <v>1</v>
      </c>
      <c r="F7523" t="s">
        <v>1170</v>
      </c>
      <c r="G7523" t="s">
        <v>32</v>
      </c>
      <c r="H7523" t="s">
        <v>33</v>
      </c>
      <c r="I7523" t="s">
        <v>43</v>
      </c>
      <c r="J7523" t="s">
        <v>44</v>
      </c>
      <c r="K7523" t="s">
        <v>36</v>
      </c>
      <c r="L7523" t="s">
        <v>37</v>
      </c>
      <c r="M7523">
        <v>0</v>
      </c>
      <c r="N7523">
        <v>0</v>
      </c>
      <c r="O7523">
        <v>2911</v>
      </c>
      <c r="P7523">
        <v>2910</v>
      </c>
      <c r="Q7523">
        <f>38-23</f>
        <v>15</v>
      </c>
      <c r="R7523" t="s">
        <v>64</v>
      </c>
      <c r="AB7523" t="s">
        <v>47</v>
      </c>
      <c r="AC7523" t="s">
        <v>41</v>
      </c>
      <c r="AD7523" t="s">
        <v>1221</v>
      </c>
    </row>
    <row r="7524" spans="1:30" x14ac:dyDescent="0.35">
      <c r="A7524" s="7">
        <v>43299</v>
      </c>
      <c r="B7524" t="s">
        <v>30</v>
      </c>
      <c r="C7524">
        <v>401</v>
      </c>
      <c r="D7524">
        <v>6</v>
      </c>
      <c r="E7524">
        <v>1</v>
      </c>
      <c r="F7524" t="s">
        <v>1170</v>
      </c>
      <c r="G7524" t="s">
        <v>32</v>
      </c>
      <c r="H7524" t="s">
        <v>33</v>
      </c>
      <c r="I7524" t="s">
        <v>43</v>
      </c>
      <c r="J7524" t="s">
        <v>44</v>
      </c>
      <c r="K7524" t="s">
        <v>36</v>
      </c>
      <c r="L7524" t="s">
        <v>37</v>
      </c>
      <c r="M7524">
        <v>0</v>
      </c>
      <c r="N7524">
        <v>0</v>
      </c>
      <c r="O7524">
        <v>1022</v>
      </c>
      <c r="P7524">
        <v>2812</v>
      </c>
      <c r="R7524" t="s">
        <v>38</v>
      </c>
      <c r="Z7524" t="s">
        <v>102</v>
      </c>
      <c r="AB7524" t="s">
        <v>47</v>
      </c>
      <c r="AC7524" t="s">
        <v>41</v>
      </c>
    </row>
    <row r="7525" spans="1:30" x14ac:dyDescent="0.35">
      <c r="A7525" s="7">
        <v>43299</v>
      </c>
      <c r="B7525" t="s">
        <v>30</v>
      </c>
      <c r="C7525">
        <v>401</v>
      </c>
      <c r="D7525">
        <v>8</v>
      </c>
      <c r="E7525">
        <v>1</v>
      </c>
      <c r="F7525" t="s">
        <v>1170</v>
      </c>
      <c r="G7525" t="s">
        <v>32</v>
      </c>
      <c r="H7525" t="s">
        <v>33</v>
      </c>
      <c r="I7525" t="s">
        <v>43</v>
      </c>
      <c r="J7525" t="s">
        <v>92</v>
      </c>
      <c r="K7525" t="s">
        <v>88</v>
      </c>
      <c r="M7525">
        <v>0</v>
      </c>
      <c r="N7525">
        <v>0</v>
      </c>
      <c r="O7525">
        <v>1146</v>
      </c>
      <c r="P7525">
        <v>1145</v>
      </c>
      <c r="Q7525">
        <f>35-22</f>
        <v>13</v>
      </c>
      <c r="AB7525" t="s">
        <v>47</v>
      </c>
      <c r="AC7525" t="s">
        <v>41</v>
      </c>
    </row>
    <row r="7526" spans="1:30" x14ac:dyDescent="0.35">
      <c r="A7526" s="7">
        <v>43299</v>
      </c>
      <c r="B7526" t="s">
        <v>30</v>
      </c>
      <c r="C7526">
        <v>501</v>
      </c>
      <c r="D7526">
        <v>5</v>
      </c>
      <c r="E7526">
        <v>1</v>
      </c>
      <c r="F7526" t="s">
        <v>1170</v>
      </c>
      <c r="G7526" t="s">
        <v>32</v>
      </c>
      <c r="H7526" t="s">
        <v>33</v>
      </c>
      <c r="I7526" t="s">
        <v>43</v>
      </c>
      <c r="J7526" t="s">
        <v>44</v>
      </c>
      <c r="K7526" t="s">
        <v>36</v>
      </c>
      <c r="L7526" t="s">
        <v>45</v>
      </c>
      <c r="M7526">
        <v>0</v>
      </c>
      <c r="N7526">
        <v>0</v>
      </c>
      <c r="O7526">
        <v>2953</v>
      </c>
      <c r="P7526">
        <v>2952</v>
      </c>
      <c r="Q7526">
        <f>32-13</f>
        <v>19</v>
      </c>
      <c r="R7526" t="s">
        <v>1021</v>
      </c>
      <c r="S7526" t="s">
        <v>102</v>
      </c>
      <c r="AB7526" t="s">
        <v>47</v>
      </c>
      <c r="AC7526" t="s">
        <v>41</v>
      </c>
      <c r="AD7526" t="s">
        <v>1224</v>
      </c>
    </row>
    <row r="7527" spans="1:30" x14ac:dyDescent="0.35">
      <c r="A7527" s="7">
        <v>43299</v>
      </c>
      <c r="B7527" t="s">
        <v>30</v>
      </c>
      <c r="C7527">
        <v>501</v>
      </c>
      <c r="D7527">
        <v>6</v>
      </c>
      <c r="E7527">
        <v>1</v>
      </c>
      <c r="F7527" t="s">
        <v>1170</v>
      </c>
      <c r="G7527" t="s">
        <v>32</v>
      </c>
      <c r="H7527" t="s">
        <v>33</v>
      </c>
      <c r="I7527" t="s">
        <v>43</v>
      </c>
      <c r="J7527" t="s">
        <v>44</v>
      </c>
      <c r="K7527" t="s">
        <v>88</v>
      </c>
      <c r="L7527" t="s">
        <v>45</v>
      </c>
      <c r="M7527">
        <v>0</v>
      </c>
      <c r="N7527">
        <v>0</v>
      </c>
      <c r="O7527">
        <v>1104</v>
      </c>
      <c r="P7527">
        <v>1103</v>
      </c>
      <c r="Q7527">
        <f>23-13</f>
        <v>10</v>
      </c>
      <c r="R7527" t="s">
        <v>46</v>
      </c>
      <c r="S7527" t="s">
        <v>39</v>
      </c>
      <c r="AB7527" t="s">
        <v>47</v>
      </c>
      <c r="AC7527" t="s">
        <v>41</v>
      </c>
    </row>
    <row r="7528" spans="1:30" x14ac:dyDescent="0.35">
      <c r="A7528" s="7">
        <v>43299</v>
      </c>
      <c r="B7528" t="s">
        <v>30</v>
      </c>
      <c r="C7528">
        <v>503</v>
      </c>
      <c r="D7528">
        <v>2</v>
      </c>
      <c r="E7528">
        <v>1</v>
      </c>
      <c r="F7528" t="s">
        <v>1170</v>
      </c>
      <c r="G7528" t="s">
        <v>32</v>
      </c>
      <c r="H7528" t="s">
        <v>33</v>
      </c>
      <c r="I7528" t="s">
        <v>43</v>
      </c>
      <c r="J7528" t="s">
        <v>35</v>
      </c>
      <c r="K7528" t="s">
        <v>113</v>
      </c>
      <c r="L7528" t="s">
        <v>45</v>
      </c>
      <c r="M7528">
        <v>0</v>
      </c>
      <c r="N7528">
        <v>1</v>
      </c>
      <c r="O7528">
        <v>1248</v>
      </c>
      <c r="P7528">
        <v>1247</v>
      </c>
      <c r="Q7528">
        <f>35.5-20</f>
        <v>15.5</v>
      </c>
      <c r="R7528" t="s">
        <v>46</v>
      </c>
      <c r="S7528" t="s">
        <v>39</v>
      </c>
      <c r="AB7528" t="s">
        <v>47</v>
      </c>
      <c r="AC7528" t="s">
        <v>41</v>
      </c>
    </row>
    <row r="7529" spans="1:30" x14ac:dyDescent="0.35">
      <c r="A7529" s="7">
        <v>43299</v>
      </c>
      <c r="B7529" t="s">
        <v>30</v>
      </c>
      <c r="C7529">
        <v>503</v>
      </c>
      <c r="D7529">
        <v>2</v>
      </c>
      <c r="E7529">
        <v>2</v>
      </c>
      <c r="F7529" t="s">
        <v>1170</v>
      </c>
      <c r="G7529" t="s">
        <v>32</v>
      </c>
      <c r="H7529" t="s">
        <v>33</v>
      </c>
      <c r="I7529" t="s">
        <v>43</v>
      </c>
      <c r="J7529" t="s">
        <v>35</v>
      </c>
      <c r="K7529" t="s">
        <v>113</v>
      </c>
      <c r="L7529" t="s">
        <v>45</v>
      </c>
      <c r="M7529">
        <v>0</v>
      </c>
      <c r="N7529">
        <v>1</v>
      </c>
      <c r="O7529">
        <v>1255</v>
      </c>
      <c r="P7529">
        <v>1254</v>
      </c>
      <c r="Q7529">
        <f>32.5-19.5</f>
        <v>13</v>
      </c>
      <c r="R7529" t="s">
        <v>1021</v>
      </c>
      <c r="S7529" t="s">
        <v>102</v>
      </c>
      <c r="AB7529" t="s">
        <v>47</v>
      </c>
      <c r="AC7529" t="s">
        <v>41</v>
      </c>
      <c r="AD7529" t="s">
        <v>1225</v>
      </c>
    </row>
    <row r="7530" spans="1:30" x14ac:dyDescent="0.35">
      <c r="A7530" s="7">
        <v>43299</v>
      </c>
      <c r="B7530" t="s">
        <v>30</v>
      </c>
      <c r="C7530">
        <v>401</v>
      </c>
      <c r="D7530">
        <v>7</v>
      </c>
      <c r="E7530">
        <v>2</v>
      </c>
      <c r="F7530" t="s">
        <v>1170</v>
      </c>
      <c r="G7530" t="s">
        <v>32</v>
      </c>
      <c r="H7530" t="s">
        <v>33</v>
      </c>
      <c r="I7530" t="s">
        <v>58</v>
      </c>
      <c r="J7530" t="s">
        <v>35</v>
      </c>
      <c r="K7530" t="s">
        <v>88</v>
      </c>
      <c r="L7530" t="s">
        <v>37</v>
      </c>
      <c r="M7530">
        <v>0</v>
      </c>
      <c r="N7530">
        <v>1</v>
      </c>
      <c r="O7530">
        <v>1007</v>
      </c>
      <c r="Q7530">
        <f>37-19</f>
        <v>18</v>
      </c>
      <c r="R7530" t="s">
        <v>46</v>
      </c>
      <c r="S7530" t="s">
        <v>39</v>
      </c>
      <c r="Z7530" t="s">
        <v>102</v>
      </c>
      <c r="AB7530" t="s">
        <v>47</v>
      </c>
      <c r="AC7530" t="s">
        <v>41</v>
      </c>
    </row>
    <row r="7531" spans="1:30" x14ac:dyDescent="0.35">
      <c r="A7531" s="7">
        <v>43299</v>
      </c>
      <c r="B7531" t="s">
        <v>30</v>
      </c>
      <c r="C7531">
        <v>501</v>
      </c>
      <c r="D7531">
        <v>1</v>
      </c>
      <c r="E7531">
        <v>2</v>
      </c>
      <c r="F7531" t="s">
        <v>1170</v>
      </c>
      <c r="G7531" t="s">
        <v>32</v>
      </c>
      <c r="H7531" t="s">
        <v>33</v>
      </c>
      <c r="I7531" t="s">
        <v>58</v>
      </c>
      <c r="J7531" t="s">
        <v>44</v>
      </c>
      <c r="K7531" t="s">
        <v>36</v>
      </c>
      <c r="L7531" t="s">
        <v>45</v>
      </c>
      <c r="M7531">
        <v>0</v>
      </c>
      <c r="N7531">
        <v>0</v>
      </c>
      <c r="O7531">
        <v>2818</v>
      </c>
      <c r="R7531" t="s">
        <v>1028</v>
      </c>
      <c r="S7531" t="s">
        <v>102</v>
      </c>
      <c r="AB7531" t="s">
        <v>47</v>
      </c>
      <c r="AC7531" t="s">
        <v>41</v>
      </c>
    </row>
    <row r="7532" spans="1:30" x14ac:dyDescent="0.35">
      <c r="A7532" s="7">
        <v>43299</v>
      </c>
      <c r="B7532" t="s">
        <v>30</v>
      </c>
      <c r="C7532">
        <v>303</v>
      </c>
      <c r="D7532">
        <v>3</v>
      </c>
      <c r="E7532">
        <v>1</v>
      </c>
      <c r="F7532" t="s">
        <v>1170</v>
      </c>
      <c r="G7532" t="s">
        <v>32</v>
      </c>
      <c r="H7532" t="s">
        <v>33</v>
      </c>
      <c r="I7532" t="s">
        <v>72</v>
      </c>
      <c r="J7532" t="s">
        <v>56</v>
      </c>
      <c r="AB7532" t="s">
        <v>47</v>
      </c>
      <c r="AC7532" t="s">
        <v>41</v>
      </c>
    </row>
    <row r="7533" spans="1:30" x14ac:dyDescent="0.35">
      <c r="A7533" s="7">
        <v>43299</v>
      </c>
      <c r="B7533" t="s">
        <v>30</v>
      </c>
      <c r="C7533">
        <v>501</v>
      </c>
      <c r="D7533">
        <v>1</v>
      </c>
      <c r="E7533">
        <v>1</v>
      </c>
      <c r="F7533" t="s">
        <v>1170</v>
      </c>
      <c r="G7533" t="s">
        <v>32</v>
      </c>
      <c r="H7533" t="s">
        <v>33</v>
      </c>
      <c r="I7533" t="s">
        <v>72</v>
      </c>
      <c r="J7533" t="s">
        <v>56</v>
      </c>
      <c r="AB7533" t="s">
        <v>47</v>
      </c>
      <c r="AC7533" t="s">
        <v>41</v>
      </c>
    </row>
    <row r="7534" spans="1:30" x14ac:dyDescent="0.35">
      <c r="A7534" s="7">
        <v>43299</v>
      </c>
      <c r="B7534" t="s">
        <v>30</v>
      </c>
      <c r="C7534">
        <v>501</v>
      </c>
      <c r="D7534">
        <v>9</v>
      </c>
      <c r="E7534">
        <v>1</v>
      </c>
      <c r="F7534" t="s">
        <v>1170</v>
      </c>
      <c r="G7534" t="s">
        <v>32</v>
      </c>
      <c r="H7534" t="s">
        <v>33</v>
      </c>
      <c r="I7534" t="s">
        <v>72</v>
      </c>
      <c r="J7534" t="s">
        <v>56</v>
      </c>
      <c r="AB7534" t="s">
        <v>47</v>
      </c>
      <c r="AC7534" t="s">
        <v>41</v>
      </c>
    </row>
    <row r="7535" spans="1:30" x14ac:dyDescent="0.35">
      <c r="A7535" s="7">
        <v>43299</v>
      </c>
      <c r="B7535" t="s">
        <v>30</v>
      </c>
      <c r="C7535">
        <v>501</v>
      </c>
      <c r="D7535">
        <v>10</v>
      </c>
      <c r="E7535">
        <v>1</v>
      </c>
      <c r="F7535" t="s">
        <v>1170</v>
      </c>
      <c r="G7535" t="s">
        <v>32</v>
      </c>
      <c r="H7535" t="s">
        <v>33</v>
      </c>
      <c r="I7535" t="s">
        <v>72</v>
      </c>
      <c r="J7535" t="s">
        <v>56</v>
      </c>
      <c r="AB7535" t="s">
        <v>47</v>
      </c>
      <c r="AC7535" t="s">
        <v>41</v>
      </c>
    </row>
    <row r="7536" spans="1:30" x14ac:dyDescent="0.35">
      <c r="A7536" s="7">
        <v>43299</v>
      </c>
      <c r="B7536" t="s">
        <v>30</v>
      </c>
      <c r="C7536">
        <v>503</v>
      </c>
      <c r="D7536">
        <v>3</v>
      </c>
      <c r="E7536">
        <v>1</v>
      </c>
      <c r="F7536" t="s">
        <v>1170</v>
      </c>
      <c r="G7536" t="s">
        <v>32</v>
      </c>
      <c r="H7536" t="s">
        <v>33</v>
      </c>
      <c r="I7536" t="s">
        <v>72</v>
      </c>
      <c r="J7536" t="s">
        <v>56</v>
      </c>
      <c r="AB7536" t="s">
        <v>47</v>
      </c>
      <c r="AC7536" t="s">
        <v>41</v>
      </c>
    </row>
    <row r="7537" spans="1:29" x14ac:dyDescent="0.35">
      <c r="A7537" s="7">
        <v>43299</v>
      </c>
      <c r="B7537" t="s">
        <v>30</v>
      </c>
      <c r="C7537">
        <v>503</v>
      </c>
      <c r="D7537">
        <v>4</v>
      </c>
      <c r="E7537">
        <v>1</v>
      </c>
      <c r="F7537" t="s">
        <v>1170</v>
      </c>
      <c r="G7537" t="s">
        <v>32</v>
      </c>
      <c r="H7537" t="s">
        <v>33</v>
      </c>
      <c r="I7537" t="s">
        <v>72</v>
      </c>
      <c r="J7537" t="s">
        <v>56</v>
      </c>
      <c r="AB7537" t="s">
        <v>47</v>
      </c>
      <c r="AC7537" t="s">
        <v>41</v>
      </c>
    </row>
    <row r="7538" spans="1:29" x14ac:dyDescent="0.35">
      <c r="A7538" s="7">
        <v>43299</v>
      </c>
      <c r="B7538" t="s">
        <v>30</v>
      </c>
      <c r="C7538">
        <v>401</v>
      </c>
      <c r="D7538">
        <v>7</v>
      </c>
      <c r="E7538">
        <v>1</v>
      </c>
      <c r="F7538" t="s">
        <v>1170</v>
      </c>
      <c r="G7538" t="s">
        <v>32</v>
      </c>
      <c r="H7538" t="s">
        <v>33</v>
      </c>
      <c r="I7538" t="s">
        <v>59</v>
      </c>
      <c r="AB7538" t="s">
        <v>47</v>
      </c>
      <c r="AC7538" t="s">
        <v>41</v>
      </c>
    </row>
    <row r="7539" spans="1:29" x14ac:dyDescent="0.35">
      <c r="A7539" s="7">
        <v>43299</v>
      </c>
      <c r="B7539" t="s">
        <v>30</v>
      </c>
      <c r="C7539">
        <v>401</v>
      </c>
      <c r="D7539">
        <v>9</v>
      </c>
      <c r="E7539">
        <v>1</v>
      </c>
      <c r="F7539" t="s">
        <v>1170</v>
      </c>
      <c r="G7539" t="s">
        <v>32</v>
      </c>
      <c r="H7539" t="s">
        <v>33</v>
      </c>
      <c r="I7539" t="s">
        <v>59</v>
      </c>
      <c r="AB7539" t="s">
        <v>47</v>
      </c>
      <c r="AC7539" t="s">
        <v>41</v>
      </c>
    </row>
    <row r="7540" spans="1:29" x14ac:dyDescent="0.35">
      <c r="A7540" s="7">
        <v>43299</v>
      </c>
      <c r="B7540" t="s">
        <v>30</v>
      </c>
      <c r="C7540">
        <v>401</v>
      </c>
      <c r="D7540">
        <v>10</v>
      </c>
      <c r="E7540">
        <v>1</v>
      </c>
      <c r="F7540" t="s">
        <v>1170</v>
      </c>
      <c r="G7540" t="s">
        <v>32</v>
      </c>
      <c r="H7540" t="s">
        <v>33</v>
      </c>
      <c r="I7540" t="s">
        <v>59</v>
      </c>
      <c r="AB7540" t="s">
        <v>47</v>
      </c>
      <c r="AC7540" t="s">
        <v>41</v>
      </c>
    </row>
    <row r="7541" spans="1:29" x14ac:dyDescent="0.35">
      <c r="A7541" s="7">
        <v>43299</v>
      </c>
      <c r="B7541" t="s">
        <v>30</v>
      </c>
      <c r="C7541">
        <v>501</v>
      </c>
      <c r="D7541">
        <v>3</v>
      </c>
      <c r="E7541">
        <v>1</v>
      </c>
      <c r="F7541" t="s">
        <v>1170</v>
      </c>
      <c r="G7541" t="s">
        <v>32</v>
      </c>
      <c r="H7541" t="s">
        <v>33</v>
      </c>
      <c r="I7541" t="s">
        <v>59</v>
      </c>
      <c r="AB7541" t="s">
        <v>47</v>
      </c>
      <c r="AC7541" t="s">
        <v>41</v>
      </c>
    </row>
    <row r="7542" spans="1:29" x14ac:dyDescent="0.35">
      <c r="A7542" s="7">
        <v>43299</v>
      </c>
      <c r="B7542" t="s">
        <v>30</v>
      </c>
      <c r="C7542">
        <v>501</v>
      </c>
      <c r="D7542">
        <v>4</v>
      </c>
      <c r="E7542">
        <v>1</v>
      </c>
      <c r="F7542" t="s">
        <v>1170</v>
      </c>
      <c r="G7542" t="s">
        <v>32</v>
      </c>
      <c r="H7542" t="s">
        <v>33</v>
      </c>
      <c r="I7542" t="s">
        <v>59</v>
      </c>
      <c r="AB7542" t="s">
        <v>47</v>
      </c>
      <c r="AC7542" t="s">
        <v>41</v>
      </c>
    </row>
    <row r="7543" spans="1:29" x14ac:dyDescent="0.35">
      <c r="A7543" s="7">
        <v>43299</v>
      </c>
      <c r="B7543" t="s">
        <v>30</v>
      </c>
      <c r="C7543">
        <v>501</v>
      </c>
      <c r="D7543">
        <v>7</v>
      </c>
      <c r="E7543">
        <v>1</v>
      </c>
      <c r="F7543" t="s">
        <v>1170</v>
      </c>
      <c r="G7543" t="s">
        <v>32</v>
      </c>
      <c r="H7543" t="s">
        <v>33</v>
      </c>
      <c r="I7543" t="s">
        <v>59</v>
      </c>
      <c r="AB7543" t="s">
        <v>47</v>
      </c>
      <c r="AC7543" t="s">
        <v>41</v>
      </c>
    </row>
    <row r="7544" spans="1:29" x14ac:dyDescent="0.35">
      <c r="A7544" s="7">
        <v>43299</v>
      </c>
      <c r="B7544" t="s">
        <v>30</v>
      </c>
      <c r="C7544">
        <v>501</v>
      </c>
      <c r="D7544">
        <v>8</v>
      </c>
      <c r="E7544">
        <v>1</v>
      </c>
      <c r="F7544" t="s">
        <v>1170</v>
      </c>
      <c r="G7544" t="s">
        <v>32</v>
      </c>
      <c r="H7544" t="s">
        <v>33</v>
      </c>
      <c r="I7544" t="s">
        <v>59</v>
      </c>
      <c r="AB7544" t="s">
        <v>47</v>
      </c>
      <c r="AC7544" t="s">
        <v>41</v>
      </c>
    </row>
    <row r="7545" spans="1:29" x14ac:dyDescent="0.35">
      <c r="A7545" s="7">
        <v>43299</v>
      </c>
      <c r="B7545" t="s">
        <v>30</v>
      </c>
      <c r="C7545">
        <v>503</v>
      </c>
      <c r="D7545">
        <v>1</v>
      </c>
      <c r="E7545">
        <v>1</v>
      </c>
      <c r="F7545" t="s">
        <v>1170</v>
      </c>
      <c r="G7545" t="s">
        <v>32</v>
      </c>
      <c r="H7545" t="s">
        <v>33</v>
      </c>
      <c r="I7545" t="s">
        <v>59</v>
      </c>
      <c r="AB7545" t="s">
        <v>47</v>
      </c>
      <c r="AC7545" t="s">
        <v>41</v>
      </c>
    </row>
    <row r="7546" spans="1:29" x14ac:dyDescent="0.35">
      <c r="A7546" s="7">
        <v>43299</v>
      </c>
      <c r="B7546" t="s">
        <v>30</v>
      </c>
      <c r="C7546">
        <v>503</v>
      </c>
      <c r="D7546">
        <v>1</v>
      </c>
      <c r="E7546">
        <v>2</v>
      </c>
      <c r="F7546" t="s">
        <v>1170</v>
      </c>
      <c r="G7546" t="s">
        <v>32</v>
      </c>
      <c r="H7546" t="s">
        <v>33</v>
      </c>
      <c r="I7546" t="s">
        <v>59</v>
      </c>
      <c r="AB7546" t="s">
        <v>47</v>
      </c>
      <c r="AC7546" t="s">
        <v>41</v>
      </c>
    </row>
    <row r="7547" spans="1:29" x14ac:dyDescent="0.35">
      <c r="A7547" s="7">
        <v>43299</v>
      </c>
      <c r="B7547" t="s">
        <v>30</v>
      </c>
      <c r="C7547">
        <v>503</v>
      </c>
      <c r="D7547">
        <v>5</v>
      </c>
      <c r="E7547">
        <v>1</v>
      </c>
      <c r="F7547" t="s">
        <v>1170</v>
      </c>
      <c r="G7547" t="s">
        <v>32</v>
      </c>
      <c r="H7547" t="s">
        <v>33</v>
      </c>
      <c r="I7547" t="s">
        <v>59</v>
      </c>
      <c r="AB7547" t="s">
        <v>47</v>
      </c>
      <c r="AC7547" t="s">
        <v>41</v>
      </c>
    </row>
    <row r="7548" spans="1:29" x14ac:dyDescent="0.35">
      <c r="A7548" s="7">
        <v>43299</v>
      </c>
      <c r="B7548" t="s">
        <v>30</v>
      </c>
      <c r="C7548">
        <v>503</v>
      </c>
      <c r="D7548">
        <v>7</v>
      </c>
      <c r="E7548">
        <v>1</v>
      </c>
      <c r="F7548" t="s">
        <v>1170</v>
      </c>
      <c r="G7548" t="s">
        <v>32</v>
      </c>
      <c r="H7548" t="s">
        <v>33</v>
      </c>
      <c r="I7548" t="s">
        <v>59</v>
      </c>
      <c r="AB7548" t="s">
        <v>47</v>
      </c>
      <c r="AC7548" t="s">
        <v>41</v>
      </c>
    </row>
    <row r="7549" spans="1:29" x14ac:dyDescent="0.35">
      <c r="A7549" s="7">
        <v>43299</v>
      </c>
      <c r="B7549" t="s">
        <v>30</v>
      </c>
      <c r="C7549">
        <v>503</v>
      </c>
      <c r="D7549">
        <v>9</v>
      </c>
      <c r="E7549">
        <v>1</v>
      </c>
      <c r="F7549" t="s">
        <v>1170</v>
      </c>
      <c r="G7549" t="s">
        <v>32</v>
      </c>
      <c r="H7549" t="s">
        <v>33</v>
      </c>
      <c r="I7549" t="s">
        <v>94</v>
      </c>
      <c r="J7549" t="s">
        <v>44</v>
      </c>
      <c r="K7549" t="s">
        <v>36</v>
      </c>
      <c r="L7549" t="s">
        <v>37</v>
      </c>
      <c r="M7549">
        <v>0</v>
      </c>
      <c r="N7549">
        <v>0</v>
      </c>
      <c r="O7549">
        <v>1023</v>
      </c>
      <c r="Q7549">
        <f>41.5-17</f>
        <v>24.5</v>
      </c>
      <c r="R7549" t="s">
        <v>38</v>
      </c>
      <c r="AB7549" t="s">
        <v>47</v>
      </c>
      <c r="AC7549" t="s">
        <v>41</v>
      </c>
    </row>
    <row r="7550" spans="1:29" x14ac:dyDescent="0.35">
      <c r="A7550" s="7">
        <v>43300</v>
      </c>
      <c r="B7550" t="s">
        <v>30</v>
      </c>
      <c r="C7550">
        <v>701</v>
      </c>
      <c r="D7550">
        <v>3</v>
      </c>
      <c r="E7550">
        <v>1</v>
      </c>
      <c r="F7550" t="s">
        <v>1170</v>
      </c>
      <c r="G7550" t="s">
        <v>32</v>
      </c>
      <c r="H7550" t="s">
        <v>33</v>
      </c>
      <c r="I7550" t="s">
        <v>43</v>
      </c>
      <c r="J7550" t="s">
        <v>44</v>
      </c>
      <c r="K7550" t="s">
        <v>36</v>
      </c>
      <c r="L7550" t="s">
        <v>45</v>
      </c>
      <c r="M7550">
        <v>0</v>
      </c>
      <c r="N7550">
        <v>0</v>
      </c>
      <c r="O7550">
        <v>2471</v>
      </c>
      <c r="P7550">
        <v>2470</v>
      </c>
      <c r="Q7550">
        <f>40-18.25</f>
        <v>21.75</v>
      </c>
      <c r="R7550" t="s">
        <v>77</v>
      </c>
      <c r="S7550" t="s">
        <v>39</v>
      </c>
      <c r="AB7550" t="s">
        <v>47</v>
      </c>
      <c r="AC7550" t="s">
        <v>41</v>
      </c>
    </row>
    <row r="7551" spans="1:29" x14ac:dyDescent="0.35">
      <c r="A7551" s="7">
        <v>43300</v>
      </c>
      <c r="B7551" t="s">
        <v>30</v>
      </c>
      <c r="C7551">
        <v>701</v>
      </c>
      <c r="D7551">
        <v>8</v>
      </c>
      <c r="E7551">
        <v>1</v>
      </c>
      <c r="F7551" t="s">
        <v>1170</v>
      </c>
      <c r="G7551" t="s">
        <v>32</v>
      </c>
      <c r="H7551" t="s">
        <v>33</v>
      </c>
      <c r="I7551" t="s">
        <v>43</v>
      </c>
      <c r="J7551" t="s">
        <v>44</v>
      </c>
      <c r="K7551" t="s">
        <v>88</v>
      </c>
      <c r="L7551" t="s">
        <v>45</v>
      </c>
      <c r="M7551">
        <v>0</v>
      </c>
      <c r="N7551">
        <v>0</v>
      </c>
      <c r="O7551">
        <v>1246</v>
      </c>
      <c r="P7551">
        <v>1245</v>
      </c>
      <c r="Q7551">
        <f>40.5-27</f>
        <v>13.5</v>
      </c>
      <c r="R7551" t="s">
        <v>46</v>
      </c>
      <c r="S7551" t="s">
        <v>39</v>
      </c>
      <c r="AB7551" t="s">
        <v>47</v>
      </c>
      <c r="AC7551" t="s">
        <v>41</v>
      </c>
    </row>
    <row r="7552" spans="1:29" x14ac:dyDescent="0.35">
      <c r="A7552" s="7">
        <v>43300</v>
      </c>
      <c r="B7552" t="s">
        <v>30</v>
      </c>
      <c r="C7552">
        <v>701</v>
      </c>
      <c r="D7552">
        <v>8</v>
      </c>
      <c r="E7552">
        <v>2</v>
      </c>
      <c r="F7552" t="s">
        <v>1170</v>
      </c>
      <c r="G7552" t="s">
        <v>32</v>
      </c>
      <c r="H7552" t="s">
        <v>33</v>
      </c>
      <c r="I7552" t="s">
        <v>43</v>
      </c>
      <c r="J7552" t="s">
        <v>35</v>
      </c>
      <c r="K7552" t="s">
        <v>88</v>
      </c>
      <c r="L7552" t="s">
        <v>45</v>
      </c>
      <c r="M7552">
        <v>0</v>
      </c>
      <c r="N7552">
        <v>1</v>
      </c>
      <c r="O7552">
        <v>1219</v>
      </c>
      <c r="P7552">
        <v>1218</v>
      </c>
      <c r="Q7552">
        <f>29-20</f>
        <v>9</v>
      </c>
      <c r="R7552" t="s">
        <v>46</v>
      </c>
      <c r="S7552" t="s">
        <v>39</v>
      </c>
      <c r="AB7552" t="s">
        <v>47</v>
      </c>
      <c r="AC7552" t="s">
        <v>41</v>
      </c>
    </row>
    <row r="7553" spans="1:29" x14ac:dyDescent="0.35">
      <c r="A7553" s="7">
        <v>43300</v>
      </c>
      <c r="B7553" t="s">
        <v>30</v>
      </c>
      <c r="C7553">
        <v>703</v>
      </c>
      <c r="D7553">
        <v>1</v>
      </c>
      <c r="E7553">
        <v>1</v>
      </c>
      <c r="F7553" t="s">
        <v>1170</v>
      </c>
      <c r="G7553" t="s">
        <v>32</v>
      </c>
      <c r="H7553" t="s">
        <v>33</v>
      </c>
      <c r="I7553" t="s">
        <v>43</v>
      </c>
      <c r="J7553" t="s">
        <v>44</v>
      </c>
      <c r="K7553" t="s">
        <v>113</v>
      </c>
      <c r="L7553" t="s">
        <v>37</v>
      </c>
      <c r="M7553">
        <v>0</v>
      </c>
      <c r="N7553">
        <v>0</v>
      </c>
      <c r="O7553">
        <v>1068</v>
      </c>
      <c r="P7553">
        <v>1067</v>
      </c>
      <c r="Q7553">
        <f>20.5-9</f>
        <v>11.5</v>
      </c>
      <c r="R7553" t="s">
        <v>64</v>
      </c>
      <c r="AB7553" t="s">
        <v>47</v>
      </c>
      <c r="AC7553" t="s">
        <v>41</v>
      </c>
    </row>
    <row r="7554" spans="1:29" x14ac:dyDescent="0.35">
      <c r="A7554" s="7">
        <v>43300</v>
      </c>
      <c r="B7554" t="s">
        <v>30</v>
      </c>
      <c r="C7554">
        <v>703</v>
      </c>
      <c r="D7554">
        <v>1</v>
      </c>
      <c r="E7554">
        <v>2</v>
      </c>
      <c r="F7554" t="s">
        <v>1170</v>
      </c>
      <c r="G7554" t="s">
        <v>32</v>
      </c>
      <c r="H7554" t="s">
        <v>33</v>
      </c>
      <c r="I7554" t="s">
        <v>43</v>
      </c>
      <c r="J7554" t="s">
        <v>44</v>
      </c>
      <c r="K7554" t="s">
        <v>88</v>
      </c>
      <c r="L7554" t="s">
        <v>45</v>
      </c>
      <c r="M7554">
        <v>0</v>
      </c>
      <c r="N7554">
        <v>0</v>
      </c>
      <c r="O7554">
        <v>1043</v>
      </c>
      <c r="P7554">
        <v>1042</v>
      </c>
      <c r="Q7554">
        <f>26.5-15.5</f>
        <v>11</v>
      </c>
      <c r="R7554" t="s">
        <v>46</v>
      </c>
      <c r="AB7554" t="s">
        <v>47</v>
      </c>
      <c r="AC7554" t="s">
        <v>41</v>
      </c>
    </row>
    <row r="7555" spans="1:29" x14ac:dyDescent="0.35">
      <c r="A7555" s="7">
        <v>43300</v>
      </c>
      <c r="B7555" t="s">
        <v>30</v>
      </c>
      <c r="C7555">
        <v>703</v>
      </c>
      <c r="D7555">
        <v>3</v>
      </c>
      <c r="E7555">
        <v>1</v>
      </c>
      <c r="F7555" t="s">
        <v>1170</v>
      </c>
      <c r="G7555" t="s">
        <v>32</v>
      </c>
      <c r="H7555" t="s">
        <v>33</v>
      </c>
      <c r="I7555" t="s">
        <v>43</v>
      </c>
      <c r="J7555" t="s">
        <v>44</v>
      </c>
      <c r="K7555" t="s">
        <v>113</v>
      </c>
      <c r="L7555" t="s">
        <v>37</v>
      </c>
      <c r="M7555">
        <v>0</v>
      </c>
      <c r="N7555">
        <v>0</v>
      </c>
      <c r="O7555">
        <v>1100</v>
      </c>
      <c r="P7555">
        <v>1099</v>
      </c>
      <c r="Q7555">
        <f>22.5-10</f>
        <v>12.5</v>
      </c>
      <c r="R7555" t="s">
        <v>64</v>
      </c>
      <c r="AB7555" t="s">
        <v>47</v>
      </c>
      <c r="AC7555" t="s">
        <v>41</v>
      </c>
    </row>
    <row r="7556" spans="1:29" x14ac:dyDescent="0.35">
      <c r="A7556" s="7">
        <v>43300</v>
      </c>
      <c r="B7556" t="s">
        <v>30</v>
      </c>
      <c r="C7556">
        <v>703</v>
      </c>
      <c r="D7556">
        <v>3</v>
      </c>
      <c r="E7556">
        <v>2</v>
      </c>
      <c r="F7556" t="s">
        <v>1170</v>
      </c>
      <c r="G7556" t="s">
        <v>32</v>
      </c>
      <c r="H7556" t="s">
        <v>33</v>
      </c>
      <c r="I7556" t="s">
        <v>43</v>
      </c>
      <c r="J7556" t="s">
        <v>35</v>
      </c>
      <c r="K7556" t="s">
        <v>88</v>
      </c>
      <c r="L7556" t="s">
        <v>37</v>
      </c>
      <c r="M7556">
        <v>0</v>
      </c>
      <c r="N7556">
        <v>1</v>
      </c>
      <c r="O7556">
        <v>1273</v>
      </c>
      <c r="P7556">
        <v>1272</v>
      </c>
      <c r="Q7556">
        <f>25.5-11.5</f>
        <v>14</v>
      </c>
      <c r="R7556" t="s">
        <v>64</v>
      </c>
      <c r="AB7556" t="s">
        <v>47</v>
      </c>
      <c r="AC7556" t="s">
        <v>41</v>
      </c>
    </row>
    <row r="7557" spans="1:29" x14ac:dyDescent="0.35">
      <c r="A7557" s="7">
        <v>43300</v>
      </c>
      <c r="B7557" t="s">
        <v>30</v>
      </c>
      <c r="C7557">
        <v>703</v>
      </c>
      <c r="D7557">
        <v>6</v>
      </c>
      <c r="E7557">
        <v>1</v>
      </c>
      <c r="F7557" t="s">
        <v>1170</v>
      </c>
      <c r="G7557" t="s">
        <v>32</v>
      </c>
      <c r="H7557" t="s">
        <v>33</v>
      </c>
      <c r="I7557" t="s">
        <v>43</v>
      </c>
      <c r="J7557" t="s">
        <v>44</v>
      </c>
      <c r="K7557" t="s">
        <v>88</v>
      </c>
      <c r="L7557" t="s">
        <v>37</v>
      </c>
      <c r="M7557">
        <v>0</v>
      </c>
      <c r="N7557">
        <v>0</v>
      </c>
      <c r="O7557">
        <v>1029</v>
      </c>
      <c r="P7557">
        <v>1028</v>
      </c>
      <c r="Q7557">
        <f>30-14.5</f>
        <v>15.5</v>
      </c>
      <c r="R7557" t="s">
        <v>64</v>
      </c>
      <c r="AB7557" t="s">
        <v>47</v>
      </c>
      <c r="AC7557" t="s">
        <v>41</v>
      </c>
    </row>
    <row r="7558" spans="1:29" x14ac:dyDescent="0.35">
      <c r="A7558" s="7">
        <v>43300</v>
      </c>
      <c r="B7558" t="s">
        <v>30</v>
      </c>
      <c r="C7558">
        <v>703</v>
      </c>
      <c r="D7558">
        <v>9</v>
      </c>
      <c r="E7558">
        <v>1</v>
      </c>
      <c r="F7558" t="s">
        <v>1170</v>
      </c>
      <c r="G7558" t="s">
        <v>32</v>
      </c>
      <c r="H7558" t="s">
        <v>33</v>
      </c>
      <c r="I7558" t="s">
        <v>43</v>
      </c>
      <c r="J7558" t="s">
        <v>44</v>
      </c>
      <c r="K7558" t="s">
        <v>36</v>
      </c>
      <c r="L7558" t="s">
        <v>45</v>
      </c>
      <c r="M7558">
        <v>0</v>
      </c>
      <c r="N7558">
        <v>0</v>
      </c>
      <c r="O7558">
        <v>2469</v>
      </c>
      <c r="P7558">
        <v>2468</v>
      </c>
      <c r="Q7558">
        <f>32-15</f>
        <v>17</v>
      </c>
      <c r="R7558" t="s">
        <v>1028</v>
      </c>
      <c r="S7558" t="s">
        <v>102</v>
      </c>
      <c r="AB7558" t="s">
        <v>47</v>
      </c>
      <c r="AC7558" t="s">
        <v>41</v>
      </c>
    </row>
    <row r="7559" spans="1:29" x14ac:dyDescent="0.35">
      <c r="A7559" s="7">
        <v>43300</v>
      </c>
      <c r="B7559" t="s">
        <v>30</v>
      </c>
      <c r="C7559">
        <v>703</v>
      </c>
      <c r="D7559">
        <v>9</v>
      </c>
      <c r="E7559">
        <v>2</v>
      </c>
      <c r="F7559" t="s">
        <v>1170</v>
      </c>
      <c r="G7559" t="s">
        <v>32</v>
      </c>
      <c r="H7559" t="s">
        <v>33</v>
      </c>
      <c r="I7559" t="s">
        <v>43</v>
      </c>
      <c r="J7559" t="s">
        <v>44</v>
      </c>
      <c r="K7559" t="s">
        <v>36</v>
      </c>
      <c r="L7559" t="s">
        <v>45</v>
      </c>
      <c r="M7559">
        <v>0</v>
      </c>
      <c r="N7559">
        <v>0</v>
      </c>
      <c r="O7559">
        <v>39771</v>
      </c>
      <c r="P7559">
        <v>39770</v>
      </c>
      <c r="Q7559">
        <f>37.75-15</f>
        <v>22.75</v>
      </c>
      <c r="R7559" t="s">
        <v>1028</v>
      </c>
      <c r="S7559" t="s">
        <v>102</v>
      </c>
      <c r="AB7559" t="s">
        <v>47</v>
      </c>
      <c r="AC7559" t="s">
        <v>41</v>
      </c>
    </row>
    <row r="7560" spans="1:29" x14ac:dyDescent="0.35">
      <c r="A7560" s="7">
        <v>43300</v>
      </c>
      <c r="B7560" t="s">
        <v>30</v>
      </c>
      <c r="C7560">
        <v>801</v>
      </c>
      <c r="D7560">
        <v>2</v>
      </c>
      <c r="E7560">
        <v>1</v>
      </c>
      <c r="F7560" t="s">
        <v>1170</v>
      </c>
      <c r="G7560" t="s">
        <v>32</v>
      </c>
      <c r="H7560" t="s">
        <v>33</v>
      </c>
      <c r="I7560" t="s">
        <v>43</v>
      </c>
      <c r="J7560" t="s">
        <v>44</v>
      </c>
      <c r="K7560" t="s">
        <v>36</v>
      </c>
      <c r="L7560" t="s">
        <v>45</v>
      </c>
      <c r="M7560">
        <v>0</v>
      </c>
      <c r="N7560">
        <v>0</v>
      </c>
      <c r="O7560">
        <v>2425</v>
      </c>
      <c r="P7560">
        <v>2424</v>
      </c>
      <c r="R7560" t="s">
        <v>1021</v>
      </c>
      <c r="S7560" t="s">
        <v>102</v>
      </c>
      <c r="AB7560" t="s">
        <v>47</v>
      </c>
      <c r="AC7560" t="s">
        <v>41</v>
      </c>
    </row>
    <row r="7561" spans="1:29" x14ac:dyDescent="0.35">
      <c r="A7561" s="7">
        <v>43300</v>
      </c>
      <c r="B7561" t="s">
        <v>30</v>
      </c>
      <c r="C7561">
        <v>801</v>
      </c>
      <c r="D7561">
        <v>9</v>
      </c>
      <c r="E7561">
        <v>1</v>
      </c>
      <c r="F7561" t="s">
        <v>1170</v>
      </c>
      <c r="G7561" t="s">
        <v>32</v>
      </c>
      <c r="H7561" t="s">
        <v>33</v>
      </c>
      <c r="I7561" t="s">
        <v>43</v>
      </c>
      <c r="J7561" t="s">
        <v>44</v>
      </c>
      <c r="K7561" t="s">
        <v>36</v>
      </c>
      <c r="L7561" t="s">
        <v>37</v>
      </c>
      <c r="M7561">
        <v>0</v>
      </c>
      <c r="N7561">
        <v>0</v>
      </c>
      <c r="O7561">
        <v>1072</v>
      </c>
      <c r="P7561">
        <v>1071</v>
      </c>
      <c r="Q7561">
        <f>38-20</f>
        <v>18</v>
      </c>
      <c r="R7561" t="s">
        <v>38</v>
      </c>
      <c r="AB7561" t="s">
        <v>47</v>
      </c>
      <c r="AC7561" t="s">
        <v>41</v>
      </c>
    </row>
    <row r="7562" spans="1:29" x14ac:dyDescent="0.35">
      <c r="A7562" s="7">
        <v>43300</v>
      </c>
      <c r="B7562" t="s">
        <v>30</v>
      </c>
      <c r="C7562">
        <v>803</v>
      </c>
      <c r="D7562">
        <v>6</v>
      </c>
      <c r="E7562">
        <v>1</v>
      </c>
      <c r="F7562" t="s">
        <v>1170</v>
      </c>
      <c r="G7562" t="s">
        <v>32</v>
      </c>
      <c r="H7562" t="s">
        <v>33</v>
      </c>
      <c r="I7562" t="s">
        <v>43</v>
      </c>
      <c r="J7562" t="s">
        <v>35</v>
      </c>
      <c r="K7562" t="s">
        <v>36</v>
      </c>
      <c r="L7562" t="s">
        <v>45</v>
      </c>
      <c r="M7562">
        <v>0</v>
      </c>
      <c r="N7562">
        <v>1</v>
      </c>
      <c r="O7562">
        <v>1217</v>
      </c>
      <c r="P7562">
        <v>1216</v>
      </c>
      <c r="R7562" t="s">
        <v>77</v>
      </c>
      <c r="S7562" t="s">
        <v>39</v>
      </c>
      <c r="AB7562" t="s">
        <v>47</v>
      </c>
      <c r="AC7562" t="s">
        <v>41</v>
      </c>
    </row>
    <row r="7563" spans="1:29" x14ac:dyDescent="0.35">
      <c r="A7563" s="7">
        <v>43300</v>
      </c>
      <c r="B7563" t="s">
        <v>30</v>
      </c>
      <c r="C7563">
        <v>901</v>
      </c>
      <c r="D7563">
        <v>8</v>
      </c>
      <c r="E7563">
        <v>1</v>
      </c>
      <c r="F7563" t="s">
        <v>1170</v>
      </c>
      <c r="G7563" t="s">
        <v>32</v>
      </c>
      <c r="H7563" t="s">
        <v>33</v>
      </c>
      <c r="I7563" t="s">
        <v>43</v>
      </c>
      <c r="J7563" t="s">
        <v>44</v>
      </c>
      <c r="K7563" t="s">
        <v>36</v>
      </c>
      <c r="L7563" t="s">
        <v>37</v>
      </c>
      <c r="M7563">
        <v>0</v>
      </c>
      <c r="N7563">
        <v>0</v>
      </c>
      <c r="O7563">
        <v>1174</v>
      </c>
      <c r="P7563">
        <v>1173</v>
      </c>
      <c r="R7563" t="s">
        <v>38</v>
      </c>
      <c r="AB7563" t="s">
        <v>47</v>
      </c>
      <c r="AC7563" t="s">
        <v>41</v>
      </c>
    </row>
    <row r="7564" spans="1:29" x14ac:dyDescent="0.35">
      <c r="A7564" s="7">
        <v>43300</v>
      </c>
      <c r="B7564" t="s">
        <v>30</v>
      </c>
      <c r="C7564">
        <v>701</v>
      </c>
      <c r="D7564">
        <v>10</v>
      </c>
      <c r="E7564">
        <v>1</v>
      </c>
      <c r="F7564" t="s">
        <v>1170</v>
      </c>
      <c r="G7564" t="s">
        <v>32</v>
      </c>
      <c r="H7564" t="s">
        <v>33</v>
      </c>
      <c r="I7564" t="s">
        <v>58</v>
      </c>
      <c r="J7564" t="s">
        <v>35</v>
      </c>
      <c r="K7564" t="s">
        <v>36</v>
      </c>
      <c r="L7564" t="s">
        <v>45</v>
      </c>
      <c r="M7564">
        <v>0</v>
      </c>
      <c r="N7564">
        <v>1</v>
      </c>
      <c r="O7564">
        <v>1271</v>
      </c>
      <c r="Q7564">
        <f>43-20</f>
        <v>23</v>
      </c>
      <c r="R7564" t="s">
        <v>46</v>
      </c>
      <c r="AB7564" t="s">
        <v>47</v>
      </c>
      <c r="AC7564" t="s">
        <v>41</v>
      </c>
    </row>
    <row r="7565" spans="1:29" x14ac:dyDescent="0.35">
      <c r="A7565" s="7">
        <v>43300</v>
      </c>
      <c r="B7565" t="s">
        <v>30</v>
      </c>
      <c r="C7565">
        <v>901</v>
      </c>
      <c r="D7565">
        <v>1</v>
      </c>
      <c r="E7565">
        <v>1</v>
      </c>
      <c r="F7565" t="s">
        <v>1170</v>
      </c>
      <c r="G7565" t="s">
        <v>32</v>
      </c>
      <c r="H7565" t="s">
        <v>33</v>
      </c>
      <c r="I7565" t="s">
        <v>65</v>
      </c>
      <c r="J7565" t="s">
        <v>92</v>
      </c>
      <c r="AB7565" t="s">
        <v>47</v>
      </c>
      <c r="AC7565" t="s">
        <v>41</v>
      </c>
    </row>
    <row r="7566" spans="1:29" x14ac:dyDescent="0.35">
      <c r="A7566" s="7">
        <v>43300</v>
      </c>
      <c r="B7566" t="s">
        <v>30</v>
      </c>
      <c r="C7566">
        <v>703</v>
      </c>
      <c r="D7566">
        <v>5</v>
      </c>
      <c r="E7566">
        <v>1</v>
      </c>
      <c r="F7566" t="s">
        <v>1170</v>
      </c>
      <c r="G7566" t="s">
        <v>32</v>
      </c>
      <c r="H7566" t="s">
        <v>33</v>
      </c>
      <c r="I7566" t="s">
        <v>72</v>
      </c>
      <c r="J7566" t="s">
        <v>56</v>
      </c>
      <c r="AB7566" t="s">
        <v>47</v>
      </c>
      <c r="AC7566" t="s">
        <v>41</v>
      </c>
    </row>
    <row r="7567" spans="1:29" x14ac:dyDescent="0.35">
      <c r="A7567" s="7">
        <v>43300</v>
      </c>
      <c r="B7567" t="s">
        <v>30</v>
      </c>
      <c r="C7567">
        <v>801</v>
      </c>
      <c r="D7567">
        <v>8</v>
      </c>
      <c r="E7567">
        <v>1</v>
      </c>
      <c r="F7567" t="s">
        <v>1170</v>
      </c>
      <c r="G7567" t="s">
        <v>32</v>
      </c>
      <c r="H7567" t="s">
        <v>33</v>
      </c>
      <c r="I7567" t="s">
        <v>72</v>
      </c>
      <c r="J7567" t="s">
        <v>56</v>
      </c>
      <c r="AB7567" t="s">
        <v>47</v>
      </c>
      <c r="AC7567" t="s">
        <v>41</v>
      </c>
    </row>
    <row r="7568" spans="1:29" x14ac:dyDescent="0.35">
      <c r="A7568" s="7">
        <v>43300</v>
      </c>
      <c r="B7568" t="s">
        <v>30</v>
      </c>
      <c r="C7568">
        <v>803</v>
      </c>
      <c r="D7568">
        <v>1</v>
      </c>
      <c r="E7568">
        <v>1</v>
      </c>
      <c r="F7568" t="s">
        <v>1170</v>
      </c>
      <c r="G7568" t="s">
        <v>32</v>
      </c>
      <c r="H7568" t="s">
        <v>33</v>
      </c>
      <c r="I7568" t="s">
        <v>84</v>
      </c>
      <c r="AB7568" t="s">
        <v>47</v>
      </c>
      <c r="AC7568" t="s">
        <v>41</v>
      </c>
    </row>
    <row r="7569" spans="1:29" x14ac:dyDescent="0.35">
      <c r="A7569" s="7">
        <v>43300</v>
      </c>
      <c r="B7569" t="s">
        <v>30</v>
      </c>
      <c r="C7569">
        <v>803</v>
      </c>
      <c r="D7569">
        <v>1</v>
      </c>
      <c r="E7569">
        <v>1</v>
      </c>
      <c r="F7569" t="s">
        <v>1170</v>
      </c>
      <c r="G7569" t="s">
        <v>32</v>
      </c>
      <c r="H7569" t="s">
        <v>33</v>
      </c>
      <c r="I7569" t="s">
        <v>84</v>
      </c>
      <c r="AB7569" t="s">
        <v>47</v>
      </c>
      <c r="AC7569" t="s">
        <v>41</v>
      </c>
    </row>
    <row r="7570" spans="1:29" x14ac:dyDescent="0.35">
      <c r="A7570" s="7">
        <v>43300</v>
      </c>
      <c r="B7570" t="s">
        <v>30</v>
      </c>
      <c r="C7570">
        <v>803</v>
      </c>
      <c r="D7570">
        <v>2</v>
      </c>
      <c r="E7570">
        <v>1</v>
      </c>
      <c r="F7570" t="s">
        <v>1170</v>
      </c>
      <c r="G7570" t="s">
        <v>32</v>
      </c>
      <c r="H7570" t="s">
        <v>33</v>
      </c>
      <c r="I7570" t="s">
        <v>84</v>
      </c>
      <c r="AB7570" t="s">
        <v>47</v>
      </c>
      <c r="AC7570" t="s">
        <v>41</v>
      </c>
    </row>
    <row r="7571" spans="1:29" x14ac:dyDescent="0.35">
      <c r="A7571" s="7">
        <v>43300</v>
      </c>
      <c r="B7571" t="s">
        <v>30</v>
      </c>
      <c r="C7571">
        <v>701</v>
      </c>
      <c r="D7571">
        <v>1</v>
      </c>
      <c r="E7571">
        <v>1</v>
      </c>
      <c r="F7571" t="s">
        <v>1170</v>
      </c>
      <c r="G7571" t="s">
        <v>32</v>
      </c>
      <c r="H7571" t="s">
        <v>33</v>
      </c>
      <c r="I7571" t="s">
        <v>59</v>
      </c>
      <c r="AB7571" t="s">
        <v>47</v>
      </c>
      <c r="AC7571" t="s">
        <v>41</v>
      </c>
    </row>
    <row r="7572" spans="1:29" x14ac:dyDescent="0.35">
      <c r="A7572" s="7">
        <v>43300</v>
      </c>
      <c r="B7572" t="s">
        <v>30</v>
      </c>
      <c r="C7572">
        <v>701</v>
      </c>
      <c r="D7572">
        <v>6</v>
      </c>
      <c r="E7572">
        <v>1</v>
      </c>
      <c r="F7572" t="s">
        <v>1170</v>
      </c>
      <c r="G7572" t="s">
        <v>32</v>
      </c>
      <c r="H7572" t="s">
        <v>33</v>
      </c>
      <c r="I7572" t="s">
        <v>59</v>
      </c>
      <c r="AB7572" t="s">
        <v>47</v>
      </c>
      <c r="AC7572" t="s">
        <v>41</v>
      </c>
    </row>
    <row r="7573" spans="1:29" x14ac:dyDescent="0.35">
      <c r="A7573" s="7">
        <v>43300</v>
      </c>
      <c r="B7573" t="s">
        <v>30</v>
      </c>
      <c r="C7573">
        <v>701</v>
      </c>
      <c r="D7573">
        <v>6</v>
      </c>
      <c r="E7573">
        <v>2</v>
      </c>
      <c r="F7573" t="s">
        <v>1170</v>
      </c>
      <c r="G7573" t="s">
        <v>32</v>
      </c>
      <c r="H7573" t="s">
        <v>33</v>
      </c>
      <c r="I7573" t="s">
        <v>59</v>
      </c>
      <c r="AB7573" t="s">
        <v>47</v>
      </c>
      <c r="AC7573" t="s">
        <v>41</v>
      </c>
    </row>
    <row r="7574" spans="1:29" x14ac:dyDescent="0.35">
      <c r="A7574" s="7">
        <v>43300</v>
      </c>
      <c r="B7574" t="s">
        <v>30</v>
      </c>
      <c r="C7574">
        <v>701</v>
      </c>
      <c r="D7574">
        <v>7</v>
      </c>
      <c r="E7574">
        <v>1</v>
      </c>
      <c r="F7574" t="s">
        <v>1170</v>
      </c>
      <c r="G7574" t="s">
        <v>32</v>
      </c>
      <c r="H7574" t="s">
        <v>33</v>
      </c>
      <c r="I7574" t="s">
        <v>59</v>
      </c>
      <c r="AB7574" t="s">
        <v>47</v>
      </c>
      <c r="AC7574" t="s">
        <v>41</v>
      </c>
    </row>
    <row r="7575" spans="1:29" x14ac:dyDescent="0.35">
      <c r="A7575" s="7">
        <v>43300</v>
      </c>
      <c r="B7575" t="s">
        <v>30</v>
      </c>
      <c r="C7575">
        <v>701</v>
      </c>
      <c r="D7575">
        <v>9</v>
      </c>
      <c r="E7575">
        <v>1</v>
      </c>
      <c r="F7575" t="s">
        <v>1170</v>
      </c>
      <c r="G7575" t="s">
        <v>32</v>
      </c>
      <c r="H7575" t="s">
        <v>33</v>
      </c>
      <c r="I7575" t="s">
        <v>59</v>
      </c>
      <c r="AB7575" t="s">
        <v>47</v>
      </c>
      <c r="AC7575" t="s">
        <v>41</v>
      </c>
    </row>
    <row r="7576" spans="1:29" x14ac:dyDescent="0.35">
      <c r="A7576" s="7">
        <v>43300</v>
      </c>
      <c r="B7576" t="s">
        <v>30</v>
      </c>
      <c r="C7576">
        <v>701</v>
      </c>
      <c r="D7576">
        <v>9</v>
      </c>
      <c r="E7576">
        <v>2</v>
      </c>
      <c r="F7576" t="s">
        <v>1170</v>
      </c>
      <c r="G7576" t="s">
        <v>32</v>
      </c>
      <c r="H7576" t="s">
        <v>33</v>
      </c>
      <c r="I7576" t="s">
        <v>59</v>
      </c>
      <c r="AB7576" t="s">
        <v>47</v>
      </c>
      <c r="AC7576" t="s">
        <v>41</v>
      </c>
    </row>
    <row r="7577" spans="1:29" x14ac:dyDescent="0.35">
      <c r="A7577" s="7">
        <v>43300</v>
      </c>
      <c r="B7577" t="s">
        <v>30</v>
      </c>
      <c r="C7577">
        <v>703</v>
      </c>
      <c r="D7577">
        <v>2</v>
      </c>
      <c r="E7577">
        <v>1</v>
      </c>
      <c r="F7577" t="s">
        <v>1170</v>
      </c>
      <c r="G7577" t="s">
        <v>32</v>
      </c>
      <c r="H7577" t="s">
        <v>33</v>
      </c>
      <c r="I7577" t="s">
        <v>59</v>
      </c>
      <c r="AB7577" t="s">
        <v>47</v>
      </c>
      <c r="AC7577" t="s">
        <v>41</v>
      </c>
    </row>
    <row r="7578" spans="1:29" x14ac:dyDescent="0.35">
      <c r="A7578" s="7">
        <v>43300</v>
      </c>
      <c r="B7578" t="s">
        <v>30</v>
      </c>
      <c r="C7578">
        <v>703</v>
      </c>
      <c r="D7578">
        <v>2</v>
      </c>
      <c r="E7578">
        <v>2</v>
      </c>
      <c r="F7578" t="s">
        <v>1170</v>
      </c>
      <c r="G7578" t="s">
        <v>32</v>
      </c>
      <c r="H7578" t="s">
        <v>33</v>
      </c>
      <c r="I7578" t="s">
        <v>59</v>
      </c>
      <c r="AB7578" t="s">
        <v>47</v>
      </c>
      <c r="AC7578" t="s">
        <v>41</v>
      </c>
    </row>
    <row r="7579" spans="1:29" x14ac:dyDescent="0.35">
      <c r="A7579" s="7">
        <v>43300</v>
      </c>
      <c r="B7579" t="s">
        <v>30</v>
      </c>
      <c r="C7579">
        <v>703</v>
      </c>
      <c r="D7579">
        <v>4</v>
      </c>
      <c r="E7579">
        <v>1</v>
      </c>
      <c r="F7579" t="s">
        <v>1170</v>
      </c>
      <c r="G7579" t="s">
        <v>32</v>
      </c>
      <c r="H7579" t="s">
        <v>33</v>
      </c>
      <c r="I7579" t="s">
        <v>59</v>
      </c>
      <c r="AB7579" t="s">
        <v>47</v>
      </c>
      <c r="AC7579" t="s">
        <v>41</v>
      </c>
    </row>
    <row r="7580" spans="1:29" x14ac:dyDescent="0.35">
      <c r="A7580" s="7">
        <v>43300</v>
      </c>
      <c r="B7580" t="s">
        <v>30</v>
      </c>
      <c r="C7580">
        <v>703</v>
      </c>
      <c r="D7580">
        <v>4</v>
      </c>
      <c r="E7580">
        <v>2</v>
      </c>
      <c r="F7580" t="s">
        <v>1170</v>
      </c>
      <c r="G7580" t="s">
        <v>32</v>
      </c>
      <c r="H7580" t="s">
        <v>33</v>
      </c>
      <c r="I7580" t="s">
        <v>59</v>
      </c>
      <c r="AB7580" t="s">
        <v>47</v>
      </c>
      <c r="AC7580" t="s">
        <v>41</v>
      </c>
    </row>
    <row r="7581" spans="1:29" x14ac:dyDescent="0.35">
      <c r="A7581" s="7">
        <v>43300</v>
      </c>
      <c r="B7581" t="s">
        <v>30</v>
      </c>
      <c r="C7581">
        <v>803</v>
      </c>
      <c r="D7581">
        <v>3</v>
      </c>
      <c r="E7581">
        <v>1</v>
      </c>
      <c r="F7581" t="s">
        <v>1170</v>
      </c>
      <c r="G7581" t="s">
        <v>32</v>
      </c>
      <c r="H7581" t="s">
        <v>33</v>
      </c>
      <c r="I7581" t="s">
        <v>59</v>
      </c>
      <c r="AB7581" t="s">
        <v>47</v>
      </c>
      <c r="AC7581" t="s">
        <v>41</v>
      </c>
    </row>
    <row r="7582" spans="1:29" x14ac:dyDescent="0.35">
      <c r="A7582" s="7">
        <v>43300</v>
      </c>
      <c r="B7582" t="s">
        <v>30</v>
      </c>
      <c r="C7582">
        <v>803</v>
      </c>
      <c r="D7582">
        <v>4</v>
      </c>
      <c r="E7582">
        <v>1</v>
      </c>
      <c r="F7582" t="s">
        <v>1170</v>
      </c>
      <c r="G7582" t="s">
        <v>32</v>
      </c>
      <c r="H7582" t="s">
        <v>33</v>
      </c>
      <c r="I7582" t="s">
        <v>59</v>
      </c>
      <c r="AB7582" t="s">
        <v>47</v>
      </c>
      <c r="AC7582" t="s">
        <v>41</v>
      </c>
    </row>
    <row r="7583" spans="1:29" x14ac:dyDescent="0.35">
      <c r="A7583" s="7">
        <v>43300</v>
      </c>
      <c r="B7583" t="s">
        <v>30</v>
      </c>
      <c r="C7583">
        <v>803</v>
      </c>
      <c r="D7583">
        <v>4</v>
      </c>
      <c r="E7583">
        <v>2</v>
      </c>
      <c r="F7583" t="s">
        <v>1170</v>
      </c>
      <c r="G7583" t="s">
        <v>32</v>
      </c>
      <c r="H7583" t="s">
        <v>33</v>
      </c>
      <c r="I7583" t="s">
        <v>59</v>
      </c>
      <c r="AB7583" t="s">
        <v>47</v>
      </c>
      <c r="AC7583" t="s">
        <v>41</v>
      </c>
    </row>
    <row r="7584" spans="1:29" x14ac:dyDescent="0.35">
      <c r="A7584" s="7">
        <v>43300</v>
      </c>
      <c r="B7584" t="s">
        <v>30</v>
      </c>
      <c r="C7584">
        <v>803</v>
      </c>
      <c r="D7584">
        <v>5</v>
      </c>
      <c r="E7584">
        <v>1</v>
      </c>
      <c r="F7584" t="s">
        <v>1170</v>
      </c>
      <c r="G7584" t="s">
        <v>32</v>
      </c>
      <c r="H7584" t="s">
        <v>33</v>
      </c>
      <c r="I7584" t="s">
        <v>59</v>
      </c>
      <c r="AB7584" t="s">
        <v>47</v>
      </c>
      <c r="AC7584" t="s">
        <v>41</v>
      </c>
    </row>
    <row r="7585" spans="1:30" x14ac:dyDescent="0.35">
      <c r="A7585" s="7">
        <v>43300</v>
      </c>
      <c r="B7585" t="s">
        <v>30</v>
      </c>
      <c r="C7585">
        <v>803</v>
      </c>
      <c r="D7585">
        <v>7</v>
      </c>
      <c r="E7585">
        <v>1</v>
      </c>
      <c r="F7585" t="s">
        <v>1170</v>
      </c>
      <c r="G7585" t="s">
        <v>32</v>
      </c>
      <c r="H7585" t="s">
        <v>33</v>
      </c>
      <c r="I7585" t="s">
        <v>59</v>
      </c>
      <c r="AB7585" t="s">
        <v>47</v>
      </c>
      <c r="AC7585" t="s">
        <v>41</v>
      </c>
    </row>
    <row r="7586" spans="1:30" x14ac:dyDescent="0.35">
      <c r="A7586" s="7">
        <v>43300</v>
      </c>
      <c r="B7586" t="s">
        <v>30</v>
      </c>
      <c r="C7586">
        <v>803</v>
      </c>
      <c r="D7586">
        <v>8</v>
      </c>
      <c r="E7586">
        <v>1</v>
      </c>
      <c r="F7586" t="s">
        <v>1170</v>
      </c>
      <c r="G7586" t="s">
        <v>32</v>
      </c>
      <c r="H7586" t="s">
        <v>33</v>
      </c>
      <c r="I7586" t="s">
        <v>59</v>
      </c>
      <c r="AB7586" t="s">
        <v>47</v>
      </c>
      <c r="AC7586" t="s">
        <v>41</v>
      </c>
    </row>
    <row r="7587" spans="1:30" x14ac:dyDescent="0.35">
      <c r="A7587" s="7">
        <v>43300</v>
      </c>
      <c r="B7587" t="s">
        <v>30</v>
      </c>
      <c r="C7587">
        <v>803</v>
      </c>
      <c r="D7587">
        <v>9</v>
      </c>
      <c r="E7587">
        <v>1</v>
      </c>
      <c r="F7587" t="s">
        <v>1170</v>
      </c>
      <c r="G7587" t="s">
        <v>32</v>
      </c>
      <c r="H7587" t="s">
        <v>33</v>
      </c>
      <c r="I7587" t="s">
        <v>59</v>
      </c>
      <c r="AB7587" t="s">
        <v>47</v>
      </c>
      <c r="AC7587" t="s">
        <v>41</v>
      </c>
    </row>
    <row r="7588" spans="1:30" x14ac:dyDescent="0.35">
      <c r="A7588" s="7">
        <v>43300</v>
      </c>
      <c r="B7588" t="s">
        <v>30</v>
      </c>
      <c r="C7588">
        <v>803</v>
      </c>
      <c r="D7588">
        <v>9</v>
      </c>
      <c r="E7588">
        <v>2</v>
      </c>
      <c r="F7588" t="s">
        <v>1170</v>
      </c>
      <c r="G7588" t="s">
        <v>32</v>
      </c>
      <c r="H7588" t="s">
        <v>33</v>
      </c>
      <c r="I7588" t="s">
        <v>59</v>
      </c>
      <c r="AB7588" t="s">
        <v>47</v>
      </c>
      <c r="AC7588" t="s">
        <v>41</v>
      </c>
    </row>
    <row r="7589" spans="1:30" x14ac:dyDescent="0.35">
      <c r="A7589" s="7">
        <v>43300</v>
      </c>
      <c r="B7589" t="s">
        <v>30</v>
      </c>
      <c r="C7589">
        <v>803</v>
      </c>
      <c r="D7589">
        <v>10</v>
      </c>
      <c r="E7589">
        <v>1</v>
      </c>
      <c r="F7589" t="s">
        <v>1170</v>
      </c>
      <c r="G7589" t="s">
        <v>32</v>
      </c>
      <c r="H7589" t="s">
        <v>33</v>
      </c>
      <c r="I7589" t="s">
        <v>59</v>
      </c>
      <c r="AB7589" t="s">
        <v>47</v>
      </c>
      <c r="AC7589" t="s">
        <v>41</v>
      </c>
    </row>
    <row r="7590" spans="1:30" x14ac:dyDescent="0.35">
      <c r="A7590" s="7">
        <v>43300</v>
      </c>
      <c r="B7590" t="s">
        <v>30</v>
      </c>
      <c r="C7590">
        <v>701</v>
      </c>
      <c r="D7590">
        <v>3</v>
      </c>
      <c r="E7590">
        <v>2</v>
      </c>
      <c r="F7590" t="s">
        <v>1170</v>
      </c>
      <c r="G7590" t="s">
        <v>32</v>
      </c>
      <c r="H7590" t="s">
        <v>33</v>
      </c>
      <c r="I7590" t="s">
        <v>94</v>
      </c>
      <c r="J7590" t="s">
        <v>35</v>
      </c>
      <c r="K7590" t="s">
        <v>36</v>
      </c>
      <c r="L7590" t="s">
        <v>37</v>
      </c>
      <c r="M7590">
        <v>0</v>
      </c>
      <c r="N7590">
        <v>1</v>
      </c>
      <c r="O7590">
        <v>1013</v>
      </c>
      <c r="Q7590">
        <f>40-19</f>
        <v>21</v>
      </c>
      <c r="R7590" t="s">
        <v>38</v>
      </c>
      <c r="AB7590" t="s">
        <v>47</v>
      </c>
      <c r="AC7590" t="s">
        <v>41</v>
      </c>
      <c r="AD7590" t="s">
        <v>1226</v>
      </c>
    </row>
    <row r="7591" spans="1:30" x14ac:dyDescent="0.35">
      <c r="A7591" s="7">
        <v>43300</v>
      </c>
      <c r="B7591" t="s">
        <v>30</v>
      </c>
      <c r="C7591">
        <v>701</v>
      </c>
      <c r="D7591">
        <v>5</v>
      </c>
      <c r="E7591">
        <v>1</v>
      </c>
      <c r="F7591" t="s">
        <v>1170</v>
      </c>
      <c r="G7591" t="s">
        <v>32</v>
      </c>
      <c r="H7591" t="s">
        <v>33</v>
      </c>
      <c r="I7591" t="s">
        <v>94</v>
      </c>
      <c r="J7591" t="s">
        <v>92</v>
      </c>
      <c r="AB7591" t="s">
        <v>47</v>
      </c>
      <c r="AC7591" t="s">
        <v>41</v>
      </c>
    </row>
    <row r="7592" spans="1:30" x14ac:dyDescent="0.35">
      <c r="A7592" s="7">
        <v>43301</v>
      </c>
      <c r="B7592" t="s">
        <v>30</v>
      </c>
      <c r="C7592">
        <v>701</v>
      </c>
      <c r="D7592">
        <v>1</v>
      </c>
      <c r="E7592">
        <v>1</v>
      </c>
      <c r="F7592" t="s">
        <v>1170</v>
      </c>
      <c r="G7592" t="s">
        <v>32</v>
      </c>
      <c r="H7592" t="s">
        <v>33</v>
      </c>
      <c r="I7592" t="s">
        <v>43</v>
      </c>
      <c r="J7592" t="s">
        <v>44</v>
      </c>
      <c r="K7592" t="s">
        <v>113</v>
      </c>
      <c r="L7592" t="s">
        <v>45</v>
      </c>
      <c r="M7592">
        <v>0</v>
      </c>
      <c r="N7592">
        <v>0</v>
      </c>
      <c r="O7592">
        <v>1043</v>
      </c>
      <c r="P7592">
        <v>1042</v>
      </c>
      <c r="Q7592">
        <f>34-20</f>
        <v>14</v>
      </c>
      <c r="R7592" t="s">
        <v>77</v>
      </c>
      <c r="S7592" t="s">
        <v>39</v>
      </c>
      <c r="AB7592" t="s">
        <v>47</v>
      </c>
      <c r="AC7592" t="s">
        <v>41</v>
      </c>
    </row>
    <row r="7593" spans="1:30" x14ac:dyDescent="0.35">
      <c r="A7593" s="7">
        <v>43301</v>
      </c>
      <c r="B7593" t="s">
        <v>30</v>
      </c>
      <c r="C7593">
        <v>701</v>
      </c>
      <c r="D7593">
        <v>1</v>
      </c>
      <c r="E7593">
        <v>2</v>
      </c>
      <c r="F7593" t="s">
        <v>1170</v>
      </c>
      <c r="G7593" t="s">
        <v>32</v>
      </c>
      <c r="H7593" t="s">
        <v>33</v>
      </c>
      <c r="I7593" t="s">
        <v>43</v>
      </c>
      <c r="J7593" t="s">
        <v>35</v>
      </c>
      <c r="K7593" t="s">
        <v>113</v>
      </c>
      <c r="L7593" t="s">
        <v>37</v>
      </c>
      <c r="M7593">
        <v>0</v>
      </c>
      <c r="N7593">
        <v>1</v>
      </c>
      <c r="O7593">
        <v>1215</v>
      </c>
      <c r="P7593">
        <v>1214</v>
      </c>
      <c r="R7593" t="s">
        <v>64</v>
      </c>
      <c r="AB7593" t="s">
        <v>47</v>
      </c>
      <c r="AC7593" t="s">
        <v>41</v>
      </c>
    </row>
    <row r="7594" spans="1:30" x14ac:dyDescent="0.35">
      <c r="A7594" s="7">
        <v>43301</v>
      </c>
      <c r="B7594" t="s">
        <v>30</v>
      </c>
      <c r="C7594">
        <v>701</v>
      </c>
      <c r="D7594">
        <v>3</v>
      </c>
      <c r="E7594">
        <v>1</v>
      </c>
      <c r="F7594" t="s">
        <v>1170</v>
      </c>
      <c r="G7594" t="s">
        <v>32</v>
      </c>
      <c r="H7594" t="s">
        <v>33</v>
      </c>
      <c r="I7594" t="s">
        <v>43</v>
      </c>
      <c r="J7594" t="s">
        <v>92</v>
      </c>
      <c r="K7594" t="s">
        <v>88</v>
      </c>
      <c r="M7594">
        <v>0</v>
      </c>
      <c r="N7594">
        <v>0</v>
      </c>
      <c r="O7594">
        <v>1246</v>
      </c>
      <c r="P7594">
        <v>1245</v>
      </c>
      <c r="Q7594">
        <f>38-24</f>
        <v>14</v>
      </c>
      <c r="AB7594" t="s">
        <v>47</v>
      </c>
      <c r="AC7594" t="s">
        <v>41</v>
      </c>
    </row>
    <row r="7595" spans="1:30" x14ac:dyDescent="0.35">
      <c r="A7595" s="7">
        <v>43301</v>
      </c>
      <c r="B7595" t="s">
        <v>30</v>
      </c>
      <c r="C7595">
        <v>701</v>
      </c>
      <c r="D7595">
        <v>4</v>
      </c>
      <c r="E7595">
        <v>1</v>
      </c>
      <c r="F7595" t="s">
        <v>1170</v>
      </c>
      <c r="G7595" t="s">
        <v>32</v>
      </c>
      <c r="H7595" t="s">
        <v>33</v>
      </c>
      <c r="I7595" t="s">
        <v>43</v>
      </c>
      <c r="J7595" t="s">
        <v>44</v>
      </c>
      <c r="K7595" t="s">
        <v>88</v>
      </c>
      <c r="L7595" t="s">
        <v>45</v>
      </c>
      <c r="M7595">
        <v>0</v>
      </c>
      <c r="N7595">
        <v>0</v>
      </c>
      <c r="O7595">
        <v>1219</v>
      </c>
      <c r="P7595">
        <v>1218</v>
      </c>
      <c r="Q7595">
        <f>40-25</f>
        <v>15</v>
      </c>
      <c r="R7595" t="s">
        <v>46</v>
      </c>
      <c r="S7595" t="s">
        <v>39</v>
      </c>
      <c r="AB7595" t="s">
        <v>47</v>
      </c>
      <c r="AC7595" t="s">
        <v>41</v>
      </c>
    </row>
    <row r="7596" spans="1:30" x14ac:dyDescent="0.35">
      <c r="A7596" s="7">
        <v>43301</v>
      </c>
      <c r="B7596" t="s">
        <v>30</v>
      </c>
      <c r="C7596">
        <v>701</v>
      </c>
      <c r="D7596">
        <v>5</v>
      </c>
      <c r="E7596">
        <v>1</v>
      </c>
      <c r="F7596" t="s">
        <v>1170</v>
      </c>
      <c r="G7596" t="s">
        <v>32</v>
      </c>
      <c r="H7596" t="s">
        <v>33</v>
      </c>
      <c r="I7596" t="s">
        <v>43</v>
      </c>
      <c r="J7596" t="s">
        <v>35</v>
      </c>
      <c r="K7596" t="s">
        <v>88</v>
      </c>
      <c r="L7596" t="s">
        <v>37</v>
      </c>
      <c r="M7596">
        <v>0</v>
      </c>
      <c r="N7596">
        <v>1</v>
      </c>
      <c r="O7596">
        <v>1270</v>
      </c>
      <c r="P7596">
        <v>1269</v>
      </c>
      <c r="R7596" t="s">
        <v>64</v>
      </c>
      <c r="AB7596" t="s">
        <v>47</v>
      </c>
      <c r="AC7596" t="s">
        <v>41</v>
      </c>
    </row>
    <row r="7597" spans="1:30" x14ac:dyDescent="0.35">
      <c r="A7597" s="7">
        <v>43301</v>
      </c>
      <c r="B7597" t="s">
        <v>30</v>
      </c>
      <c r="C7597">
        <v>701</v>
      </c>
      <c r="D7597">
        <v>7</v>
      </c>
      <c r="E7597">
        <v>1</v>
      </c>
      <c r="F7597" t="s">
        <v>1170</v>
      </c>
      <c r="G7597" t="s">
        <v>32</v>
      </c>
      <c r="H7597" t="s">
        <v>33</v>
      </c>
      <c r="I7597" t="s">
        <v>43</v>
      </c>
      <c r="J7597" t="s">
        <v>44</v>
      </c>
      <c r="K7597" t="s">
        <v>36</v>
      </c>
      <c r="L7597" t="s">
        <v>45</v>
      </c>
      <c r="M7597">
        <v>0</v>
      </c>
      <c r="N7597">
        <v>0</v>
      </c>
      <c r="O7597">
        <v>2471</v>
      </c>
      <c r="P7597">
        <v>2470</v>
      </c>
      <c r="Q7597">
        <f>49-26</f>
        <v>23</v>
      </c>
      <c r="R7597" t="s">
        <v>77</v>
      </c>
      <c r="S7597" t="s">
        <v>39</v>
      </c>
      <c r="AB7597" t="s">
        <v>47</v>
      </c>
      <c r="AC7597" t="s">
        <v>41</v>
      </c>
    </row>
    <row r="7598" spans="1:30" x14ac:dyDescent="0.35">
      <c r="A7598" s="7">
        <v>43301</v>
      </c>
      <c r="B7598" t="s">
        <v>30</v>
      </c>
      <c r="C7598">
        <v>701</v>
      </c>
      <c r="D7598">
        <v>7</v>
      </c>
      <c r="E7598">
        <v>2</v>
      </c>
      <c r="F7598" t="s">
        <v>1170</v>
      </c>
      <c r="G7598" t="s">
        <v>32</v>
      </c>
      <c r="H7598" t="s">
        <v>33</v>
      </c>
      <c r="I7598" t="s">
        <v>43</v>
      </c>
      <c r="J7598" t="s">
        <v>44</v>
      </c>
      <c r="K7598" t="s">
        <v>36</v>
      </c>
      <c r="L7598" t="s">
        <v>45</v>
      </c>
      <c r="M7598">
        <v>0</v>
      </c>
      <c r="N7598">
        <v>0</v>
      </c>
      <c r="O7598">
        <v>1045</v>
      </c>
      <c r="P7598">
        <v>1044</v>
      </c>
      <c r="Q7598">
        <f>41-25</f>
        <v>16</v>
      </c>
      <c r="R7598" t="s">
        <v>46</v>
      </c>
      <c r="S7598" t="s">
        <v>39</v>
      </c>
      <c r="AB7598" t="s">
        <v>47</v>
      </c>
      <c r="AC7598" t="s">
        <v>41</v>
      </c>
    </row>
    <row r="7599" spans="1:30" x14ac:dyDescent="0.35">
      <c r="A7599" s="7">
        <v>43301</v>
      </c>
      <c r="B7599" t="s">
        <v>30</v>
      </c>
      <c r="C7599">
        <v>701</v>
      </c>
      <c r="D7599">
        <v>9</v>
      </c>
      <c r="E7599">
        <v>1</v>
      </c>
      <c r="F7599" t="s">
        <v>1170</v>
      </c>
      <c r="G7599" t="s">
        <v>32</v>
      </c>
      <c r="H7599" t="s">
        <v>33</v>
      </c>
      <c r="I7599" t="s">
        <v>43</v>
      </c>
      <c r="J7599" t="s">
        <v>44</v>
      </c>
      <c r="K7599" t="s">
        <v>36</v>
      </c>
      <c r="L7599" t="s">
        <v>45</v>
      </c>
      <c r="M7599">
        <v>0</v>
      </c>
      <c r="N7599">
        <v>0</v>
      </c>
      <c r="O7599">
        <v>2469</v>
      </c>
      <c r="P7599">
        <v>2468</v>
      </c>
      <c r="Q7599">
        <f>44-26</f>
        <v>18</v>
      </c>
      <c r="R7599" t="s">
        <v>77</v>
      </c>
      <c r="S7599" t="s">
        <v>39</v>
      </c>
      <c r="AB7599" t="s">
        <v>47</v>
      </c>
      <c r="AC7599" t="s">
        <v>41</v>
      </c>
    </row>
    <row r="7600" spans="1:30" x14ac:dyDescent="0.35">
      <c r="A7600" s="7">
        <v>43301</v>
      </c>
      <c r="B7600" t="s">
        <v>30</v>
      </c>
      <c r="C7600">
        <v>703</v>
      </c>
      <c r="D7600">
        <v>2</v>
      </c>
      <c r="E7600">
        <v>1</v>
      </c>
      <c r="F7600" t="s">
        <v>1170</v>
      </c>
      <c r="G7600" t="s">
        <v>32</v>
      </c>
      <c r="H7600" t="s">
        <v>33</v>
      </c>
      <c r="I7600" t="s">
        <v>43</v>
      </c>
      <c r="J7600" t="s">
        <v>44</v>
      </c>
      <c r="K7600" t="s">
        <v>88</v>
      </c>
      <c r="L7600" t="s">
        <v>37</v>
      </c>
      <c r="M7600">
        <v>0</v>
      </c>
      <c r="N7600">
        <v>0</v>
      </c>
      <c r="O7600">
        <v>1029</v>
      </c>
      <c r="P7600">
        <v>1028</v>
      </c>
      <c r="Q7600">
        <f>28-14</f>
        <v>14</v>
      </c>
      <c r="R7600" t="s">
        <v>64</v>
      </c>
      <c r="AB7600" t="s">
        <v>47</v>
      </c>
      <c r="AC7600" t="s">
        <v>41</v>
      </c>
    </row>
    <row r="7601" spans="1:30" x14ac:dyDescent="0.35">
      <c r="A7601" s="7">
        <v>43301</v>
      </c>
      <c r="B7601" t="s">
        <v>30</v>
      </c>
      <c r="C7601">
        <v>703</v>
      </c>
      <c r="D7601">
        <v>3</v>
      </c>
      <c r="E7601">
        <v>1</v>
      </c>
      <c r="F7601" t="s">
        <v>1170</v>
      </c>
      <c r="G7601" t="s">
        <v>32</v>
      </c>
      <c r="H7601" t="s">
        <v>33</v>
      </c>
      <c r="I7601" t="s">
        <v>43</v>
      </c>
      <c r="J7601" t="s">
        <v>44</v>
      </c>
      <c r="K7601" t="s">
        <v>36</v>
      </c>
      <c r="L7601" t="s">
        <v>45</v>
      </c>
      <c r="M7601">
        <v>0</v>
      </c>
      <c r="N7601">
        <v>0</v>
      </c>
      <c r="O7601">
        <v>39771</v>
      </c>
      <c r="P7601">
        <v>39770</v>
      </c>
      <c r="Q7601">
        <f>36-15</f>
        <v>21</v>
      </c>
      <c r="R7601" t="s">
        <v>79</v>
      </c>
      <c r="S7601" t="s">
        <v>39</v>
      </c>
      <c r="AB7601" t="s">
        <v>47</v>
      </c>
      <c r="AC7601" t="s">
        <v>41</v>
      </c>
      <c r="AD7601" t="s">
        <v>1227</v>
      </c>
    </row>
    <row r="7602" spans="1:30" x14ac:dyDescent="0.35">
      <c r="A7602" s="7">
        <v>43301</v>
      </c>
      <c r="B7602" t="s">
        <v>30</v>
      </c>
      <c r="C7602">
        <v>703</v>
      </c>
      <c r="D7602">
        <v>3</v>
      </c>
      <c r="E7602">
        <v>2</v>
      </c>
      <c r="F7602" t="s">
        <v>1170</v>
      </c>
      <c r="G7602" t="s">
        <v>32</v>
      </c>
      <c r="H7602" t="s">
        <v>33</v>
      </c>
      <c r="I7602" t="s">
        <v>43</v>
      </c>
      <c r="J7602" t="s">
        <v>44</v>
      </c>
      <c r="K7602" t="s">
        <v>88</v>
      </c>
      <c r="L7602" t="s">
        <v>37</v>
      </c>
      <c r="M7602">
        <v>0</v>
      </c>
      <c r="N7602">
        <v>0</v>
      </c>
      <c r="O7602">
        <v>1273</v>
      </c>
      <c r="P7602">
        <v>1272</v>
      </c>
      <c r="R7602" t="s">
        <v>64</v>
      </c>
      <c r="AB7602" t="s">
        <v>47</v>
      </c>
      <c r="AC7602" t="s">
        <v>41</v>
      </c>
    </row>
    <row r="7603" spans="1:30" x14ac:dyDescent="0.35">
      <c r="A7603" s="7">
        <v>43301</v>
      </c>
      <c r="B7603" t="s">
        <v>30</v>
      </c>
      <c r="C7603">
        <v>703</v>
      </c>
      <c r="D7603">
        <v>4</v>
      </c>
      <c r="E7603">
        <v>1</v>
      </c>
      <c r="F7603" t="s">
        <v>1170</v>
      </c>
      <c r="G7603" t="s">
        <v>32</v>
      </c>
      <c r="H7603" t="s">
        <v>33</v>
      </c>
      <c r="I7603" t="s">
        <v>43</v>
      </c>
      <c r="J7603" t="s">
        <v>44</v>
      </c>
      <c r="K7603" t="s">
        <v>113</v>
      </c>
      <c r="L7603" t="s">
        <v>37</v>
      </c>
      <c r="M7603">
        <v>0</v>
      </c>
      <c r="N7603">
        <v>0</v>
      </c>
      <c r="O7603">
        <v>1068</v>
      </c>
      <c r="P7603">
        <v>1067</v>
      </c>
      <c r="Q7603">
        <f>28-20</f>
        <v>8</v>
      </c>
      <c r="R7603" t="s">
        <v>38</v>
      </c>
      <c r="AB7603" t="s">
        <v>47</v>
      </c>
      <c r="AC7603" t="s">
        <v>41</v>
      </c>
      <c r="AD7603" t="s">
        <v>1228</v>
      </c>
    </row>
    <row r="7604" spans="1:30" x14ac:dyDescent="0.35">
      <c r="A7604" s="7">
        <v>43301</v>
      </c>
      <c r="B7604" t="s">
        <v>30</v>
      </c>
      <c r="C7604">
        <v>703</v>
      </c>
      <c r="D7604">
        <v>5</v>
      </c>
      <c r="E7604">
        <v>1</v>
      </c>
      <c r="F7604" t="s">
        <v>1170</v>
      </c>
      <c r="G7604" t="s">
        <v>32</v>
      </c>
      <c r="H7604" t="s">
        <v>33</v>
      </c>
      <c r="I7604" t="s">
        <v>43</v>
      </c>
      <c r="J7604" t="s">
        <v>44</v>
      </c>
      <c r="K7604" t="s">
        <v>113</v>
      </c>
      <c r="L7604" t="s">
        <v>37</v>
      </c>
      <c r="M7604">
        <v>0</v>
      </c>
      <c r="N7604">
        <v>0</v>
      </c>
      <c r="O7604">
        <v>1100</v>
      </c>
      <c r="P7604">
        <v>1099</v>
      </c>
      <c r="Q7604">
        <f>31-21</f>
        <v>10</v>
      </c>
      <c r="R7604" t="s">
        <v>64</v>
      </c>
      <c r="AB7604" t="s">
        <v>47</v>
      </c>
      <c r="AC7604" t="s">
        <v>41</v>
      </c>
      <c r="AD7604" t="s">
        <v>1229</v>
      </c>
    </row>
    <row r="7605" spans="1:30" x14ac:dyDescent="0.35">
      <c r="A7605" s="7">
        <v>43301</v>
      </c>
      <c r="B7605" t="s">
        <v>30</v>
      </c>
      <c r="C7605">
        <v>801</v>
      </c>
      <c r="D7605">
        <v>4</v>
      </c>
      <c r="E7605">
        <v>1</v>
      </c>
      <c r="F7605" t="s">
        <v>1170</v>
      </c>
      <c r="G7605" t="s">
        <v>32</v>
      </c>
      <c r="H7605" t="s">
        <v>33</v>
      </c>
      <c r="I7605" t="s">
        <v>43</v>
      </c>
      <c r="J7605" t="s">
        <v>44</v>
      </c>
      <c r="K7605" t="s">
        <v>36</v>
      </c>
      <c r="L7605" t="s">
        <v>37</v>
      </c>
      <c r="M7605">
        <v>0</v>
      </c>
      <c r="N7605">
        <v>0</v>
      </c>
      <c r="O7605">
        <v>1168</v>
      </c>
      <c r="P7605">
        <v>1167</v>
      </c>
      <c r="R7605" t="s">
        <v>38</v>
      </c>
      <c r="Z7605" t="s">
        <v>102</v>
      </c>
      <c r="AB7605" t="s">
        <v>47</v>
      </c>
      <c r="AC7605" t="s">
        <v>41</v>
      </c>
    </row>
    <row r="7606" spans="1:30" x14ac:dyDescent="0.35">
      <c r="A7606" s="7">
        <v>43301</v>
      </c>
      <c r="B7606" t="s">
        <v>30</v>
      </c>
      <c r="C7606">
        <v>801</v>
      </c>
      <c r="D7606">
        <v>6</v>
      </c>
      <c r="E7606">
        <v>1</v>
      </c>
      <c r="F7606" t="s">
        <v>1170</v>
      </c>
      <c r="G7606" t="s">
        <v>32</v>
      </c>
      <c r="H7606" t="s">
        <v>33</v>
      </c>
      <c r="I7606" t="s">
        <v>43</v>
      </c>
      <c r="J7606" t="s">
        <v>92</v>
      </c>
      <c r="AB7606" t="s">
        <v>47</v>
      </c>
      <c r="AC7606" t="s">
        <v>41</v>
      </c>
    </row>
    <row r="7607" spans="1:30" x14ac:dyDescent="0.35">
      <c r="A7607" s="7">
        <v>43301</v>
      </c>
      <c r="B7607" t="s">
        <v>30</v>
      </c>
      <c r="C7607">
        <v>801</v>
      </c>
      <c r="D7607">
        <v>7</v>
      </c>
      <c r="E7607">
        <v>1</v>
      </c>
      <c r="F7607" t="s">
        <v>1170</v>
      </c>
      <c r="G7607" t="s">
        <v>32</v>
      </c>
      <c r="H7607" t="s">
        <v>33</v>
      </c>
      <c r="I7607" t="s">
        <v>43</v>
      </c>
      <c r="J7607" t="s">
        <v>44</v>
      </c>
      <c r="K7607" t="s">
        <v>36</v>
      </c>
      <c r="L7607" t="s">
        <v>45</v>
      </c>
      <c r="M7607">
        <v>0</v>
      </c>
      <c r="N7607">
        <v>0</v>
      </c>
      <c r="O7607">
        <v>2425</v>
      </c>
      <c r="P7607">
        <v>2424</v>
      </c>
      <c r="Q7607">
        <f>30.5-10.5</f>
        <v>20</v>
      </c>
      <c r="R7607" t="s">
        <v>1021</v>
      </c>
      <c r="S7607" t="s">
        <v>102</v>
      </c>
      <c r="AB7607" t="s">
        <v>47</v>
      </c>
      <c r="AC7607" t="s">
        <v>41</v>
      </c>
    </row>
    <row r="7608" spans="1:30" x14ac:dyDescent="0.35">
      <c r="A7608" s="7">
        <v>43301</v>
      </c>
      <c r="B7608" t="s">
        <v>30</v>
      </c>
      <c r="C7608">
        <v>803</v>
      </c>
      <c r="D7608">
        <v>6</v>
      </c>
      <c r="E7608">
        <v>2</v>
      </c>
      <c r="F7608" t="s">
        <v>1170</v>
      </c>
      <c r="G7608" t="s">
        <v>32</v>
      </c>
      <c r="H7608" t="s">
        <v>33</v>
      </c>
      <c r="I7608" t="s">
        <v>43</v>
      </c>
      <c r="J7608" t="s">
        <v>92</v>
      </c>
      <c r="AB7608" t="s">
        <v>47</v>
      </c>
      <c r="AC7608" t="s">
        <v>41</v>
      </c>
    </row>
    <row r="7609" spans="1:30" x14ac:dyDescent="0.35">
      <c r="A7609" s="7">
        <v>43301</v>
      </c>
      <c r="B7609" t="s">
        <v>30</v>
      </c>
      <c r="C7609">
        <v>803</v>
      </c>
      <c r="D7609">
        <v>7</v>
      </c>
      <c r="E7609">
        <v>1</v>
      </c>
      <c r="F7609" t="s">
        <v>1170</v>
      </c>
      <c r="G7609" t="s">
        <v>32</v>
      </c>
      <c r="H7609" t="s">
        <v>33</v>
      </c>
      <c r="I7609" t="s">
        <v>43</v>
      </c>
      <c r="J7609" t="s">
        <v>44</v>
      </c>
      <c r="K7609" t="s">
        <v>36</v>
      </c>
      <c r="L7609" t="s">
        <v>45</v>
      </c>
      <c r="M7609">
        <v>0</v>
      </c>
      <c r="N7609">
        <v>0</v>
      </c>
      <c r="O7609">
        <v>1070</v>
      </c>
      <c r="P7609">
        <v>1069</v>
      </c>
      <c r="Q7609">
        <f>28-11</f>
        <v>17</v>
      </c>
      <c r="R7609" t="s">
        <v>79</v>
      </c>
      <c r="S7609" t="s">
        <v>39</v>
      </c>
      <c r="AB7609" t="s">
        <v>47</v>
      </c>
      <c r="AC7609" t="s">
        <v>41</v>
      </c>
    </row>
    <row r="7610" spans="1:30" x14ac:dyDescent="0.35">
      <c r="A7610" s="7">
        <v>43301</v>
      </c>
      <c r="B7610" t="s">
        <v>30</v>
      </c>
      <c r="C7610">
        <v>901</v>
      </c>
      <c r="D7610">
        <v>5</v>
      </c>
      <c r="E7610">
        <v>1</v>
      </c>
      <c r="F7610" t="s">
        <v>1170</v>
      </c>
      <c r="G7610" t="s">
        <v>32</v>
      </c>
      <c r="H7610" t="s">
        <v>33</v>
      </c>
      <c r="I7610" t="s">
        <v>43</v>
      </c>
      <c r="J7610" t="s">
        <v>35</v>
      </c>
      <c r="K7610" t="s">
        <v>36</v>
      </c>
      <c r="M7610">
        <v>0</v>
      </c>
      <c r="N7610">
        <v>1</v>
      </c>
      <c r="O7610">
        <v>1212</v>
      </c>
      <c r="P7610">
        <v>1211</v>
      </c>
      <c r="Q7610">
        <f>31-12</f>
        <v>19</v>
      </c>
      <c r="AB7610" t="s">
        <v>47</v>
      </c>
      <c r="AC7610" t="s">
        <v>41</v>
      </c>
    </row>
    <row r="7611" spans="1:30" x14ac:dyDescent="0.35">
      <c r="A7611" s="7">
        <v>43301</v>
      </c>
      <c r="B7611" t="s">
        <v>30</v>
      </c>
      <c r="C7611">
        <v>801</v>
      </c>
      <c r="D7611">
        <v>2</v>
      </c>
      <c r="E7611">
        <v>1</v>
      </c>
      <c r="F7611" t="s">
        <v>1170</v>
      </c>
      <c r="G7611" t="s">
        <v>32</v>
      </c>
      <c r="H7611" t="s">
        <v>33</v>
      </c>
      <c r="I7611" t="s">
        <v>34</v>
      </c>
      <c r="J7611" t="s">
        <v>44</v>
      </c>
      <c r="K7611" t="s">
        <v>36</v>
      </c>
      <c r="L7611" t="s">
        <v>37</v>
      </c>
      <c r="M7611">
        <v>0</v>
      </c>
      <c r="N7611">
        <v>0</v>
      </c>
      <c r="O7611">
        <v>1046</v>
      </c>
      <c r="Q7611">
        <f>200-125</f>
        <v>75</v>
      </c>
      <c r="R7611" t="s">
        <v>38</v>
      </c>
      <c r="AB7611" t="s">
        <v>47</v>
      </c>
      <c r="AC7611" t="s">
        <v>41</v>
      </c>
    </row>
    <row r="7612" spans="1:30" x14ac:dyDescent="0.35">
      <c r="A7612" s="7">
        <v>43301</v>
      </c>
      <c r="B7612" t="s">
        <v>30</v>
      </c>
      <c r="C7612">
        <v>801</v>
      </c>
      <c r="D7612">
        <v>3</v>
      </c>
      <c r="E7612">
        <v>1</v>
      </c>
      <c r="F7612" t="s">
        <v>1170</v>
      </c>
      <c r="G7612" t="s">
        <v>32</v>
      </c>
      <c r="H7612" t="s">
        <v>33</v>
      </c>
      <c r="I7612" t="s">
        <v>34</v>
      </c>
      <c r="J7612" t="s">
        <v>44</v>
      </c>
      <c r="K7612" t="s">
        <v>36</v>
      </c>
      <c r="L7612" t="s">
        <v>45</v>
      </c>
      <c r="M7612">
        <v>0</v>
      </c>
      <c r="N7612">
        <v>0</v>
      </c>
      <c r="O7612">
        <v>1089</v>
      </c>
      <c r="Q7612">
        <f>210-122</f>
        <v>88</v>
      </c>
      <c r="R7612" t="s">
        <v>1021</v>
      </c>
      <c r="S7612" t="s">
        <v>102</v>
      </c>
      <c r="AB7612" t="s">
        <v>47</v>
      </c>
      <c r="AC7612" t="s">
        <v>41</v>
      </c>
      <c r="AD7612" t="s">
        <v>1230</v>
      </c>
    </row>
    <row r="7613" spans="1:30" x14ac:dyDescent="0.35">
      <c r="A7613" s="7">
        <v>43301</v>
      </c>
      <c r="B7613" t="s">
        <v>30</v>
      </c>
      <c r="C7613">
        <v>803</v>
      </c>
      <c r="D7613">
        <v>10</v>
      </c>
      <c r="E7613">
        <v>2</v>
      </c>
      <c r="F7613" t="s">
        <v>1170</v>
      </c>
      <c r="G7613" t="s">
        <v>32</v>
      </c>
      <c r="H7613" t="s">
        <v>33</v>
      </c>
      <c r="I7613" t="s">
        <v>128</v>
      </c>
      <c r="J7613" t="s">
        <v>35</v>
      </c>
      <c r="K7613" t="s">
        <v>36</v>
      </c>
      <c r="L7613" t="s">
        <v>45</v>
      </c>
      <c r="M7613">
        <v>0</v>
      </c>
      <c r="N7613">
        <v>1</v>
      </c>
      <c r="O7613">
        <v>1203</v>
      </c>
      <c r="Q7613">
        <f>205-130</f>
        <v>75</v>
      </c>
      <c r="R7613" t="s">
        <v>46</v>
      </c>
      <c r="AB7613" t="s">
        <v>47</v>
      </c>
      <c r="AC7613" t="s">
        <v>41</v>
      </c>
    </row>
    <row r="7614" spans="1:30" x14ac:dyDescent="0.35">
      <c r="A7614" s="7">
        <v>43301</v>
      </c>
      <c r="B7614" t="s">
        <v>30</v>
      </c>
      <c r="C7614">
        <v>901</v>
      </c>
      <c r="D7614">
        <v>7</v>
      </c>
      <c r="E7614">
        <v>1</v>
      </c>
      <c r="F7614" t="s">
        <v>1170</v>
      </c>
      <c r="G7614" t="s">
        <v>32</v>
      </c>
      <c r="H7614" t="s">
        <v>33</v>
      </c>
      <c r="I7614" t="s">
        <v>65</v>
      </c>
      <c r="J7614" t="s">
        <v>35</v>
      </c>
      <c r="K7614" t="s">
        <v>36</v>
      </c>
      <c r="L7614" t="s">
        <v>37</v>
      </c>
      <c r="M7614">
        <v>0</v>
      </c>
      <c r="N7614">
        <v>1</v>
      </c>
      <c r="O7614">
        <v>1210</v>
      </c>
      <c r="Q7614">
        <f>265-130</f>
        <v>135</v>
      </c>
      <c r="R7614" t="s">
        <v>38</v>
      </c>
      <c r="AB7614" t="s">
        <v>47</v>
      </c>
      <c r="AC7614" t="s">
        <v>41</v>
      </c>
    </row>
    <row r="7615" spans="1:30" x14ac:dyDescent="0.35">
      <c r="A7615" s="7">
        <v>43301</v>
      </c>
      <c r="B7615" t="s">
        <v>30</v>
      </c>
      <c r="C7615">
        <v>703</v>
      </c>
      <c r="D7615">
        <v>1</v>
      </c>
      <c r="E7615">
        <v>2</v>
      </c>
      <c r="F7615" t="s">
        <v>1170</v>
      </c>
      <c r="G7615" t="s">
        <v>32</v>
      </c>
      <c r="H7615" t="s">
        <v>33</v>
      </c>
      <c r="I7615" t="s">
        <v>72</v>
      </c>
      <c r="J7615" t="s">
        <v>56</v>
      </c>
      <c r="AB7615" t="s">
        <v>47</v>
      </c>
      <c r="AC7615" t="s">
        <v>41</v>
      </c>
    </row>
    <row r="7616" spans="1:30" x14ac:dyDescent="0.35">
      <c r="A7616" s="7">
        <v>43301</v>
      </c>
      <c r="B7616" t="s">
        <v>30</v>
      </c>
      <c r="C7616">
        <v>803</v>
      </c>
      <c r="D7616">
        <v>1</v>
      </c>
      <c r="E7616">
        <v>1</v>
      </c>
      <c r="F7616" t="s">
        <v>1170</v>
      </c>
      <c r="G7616" t="s">
        <v>32</v>
      </c>
      <c r="H7616" t="s">
        <v>33</v>
      </c>
      <c r="I7616" t="s">
        <v>72</v>
      </c>
      <c r="J7616" t="s">
        <v>66</v>
      </c>
      <c r="AB7616" t="s">
        <v>47</v>
      </c>
      <c r="AC7616" t="s">
        <v>41</v>
      </c>
    </row>
    <row r="7617" spans="1:29" x14ac:dyDescent="0.35">
      <c r="A7617" s="7">
        <v>43301</v>
      </c>
      <c r="B7617" t="s">
        <v>30</v>
      </c>
      <c r="C7617">
        <v>701</v>
      </c>
      <c r="D7617">
        <v>3</v>
      </c>
      <c r="E7617">
        <v>2</v>
      </c>
      <c r="F7617" t="s">
        <v>1170</v>
      </c>
      <c r="G7617" t="s">
        <v>32</v>
      </c>
      <c r="H7617" t="s">
        <v>33</v>
      </c>
      <c r="I7617" t="s">
        <v>59</v>
      </c>
      <c r="AB7617" t="s">
        <v>47</v>
      </c>
      <c r="AC7617" t="s">
        <v>41</v>
      </c>
    </row>
    <row r="7618" spans="1:29" x14ac:dyDescent="0.35">
      <c r="A7618" s="7">
        <v>43301</v>
      </c>
      <c r="B7618" t="s">
        <v>30</v>
      </c>
      <c r="C7618">
        <v>701</v>
      </c>
      <c r="D7618">
        <v>4</v>
      </c>
      <c r="E7618">
        <v>2</v>
      </c>
      <c r="F7618" t="s">
        <v>1170</v>
      </c>
      <c r="G7618" t="s">
        <v>32</v>
      </c>
      <c r="H7618" t="s">
        <v>33</v>
      </c>
      <c r="I7618" t="s">
        <v>59</v>
      </c>
      <c r="AB7618" t="s">
        <v>47</v>
      </c>
      <c r="AC7618" t="s">
        <v>41</v>
      </c>
    </row>
    <row r="7619" spans="1:29" x14ac:dyDescent="0.35">
      <c r="A7619" s="7">
        <v>43301</v>
      </c>
      <c r="B7619" t="s">
        <v>30</v>
      </c>
      <c r="C7619">
        <v>701</v>
      </c>
      <c r="D7619">
        <v>6</v>
      </c>
      <c r="E7619">
        <v>1</v>
      </c>
      <c r="F7619" t="s">
        <v>1170</v>
      </c>
      <c r="G7619" t="s">
        <v>32</v>
      </c>
      <c r="H7619" t="s">
        <v>33</v>
      </c>
      <c r="I7619" t="s">
        <v>59</v>
      </c>
      <c r="AB7619" t="s">
        <v>47</v>
      </c>
      <c r="AC7619" t="s">
        <v>41</v>
      </c>
    </row>
    <row r="7620" spans="1:29" x14ac:dyDescent="0.35">
      <c r="A7620" s="7">
        <v>43301</v>
      </c>
      <c r="B7620" t="s">
        <v>30</v>
      </c>
      <c r="C7620">
        <v>701</v>
      </c>
      <c r="D7620">
        <v>6</v>
      </c>
      <c r="E7620">
        <v>2</v>
      </c>
      <c r="F7620" t="s">
        <v>1170</v>
      </c>
      <c r="G7620" t="s">
        <v>32</v>
      </c>
      <c r="H7620" t="s">
        <v>33</v>
      </c>
      <c r="I7620" t="s">
        <v>59</v>
      </c>
      <c r="AB7620" t="s">
        <v>47</v>
      </c>
      <c r="AC7620" t="s">
        <v>41</v>
      </c>
    </row>
    <row r="7621" spans="1:29" x14ac:dyDescent="0.35">
      <c r="A7621" s="7">
        <v>43301</v>
      </c>
      <c r="B7621" t="s">
        <v>30</v>
      </c>
      <c r="C7621">
        <v>701</v>
      </c>
      <c r="D7621">
        <v>8</v>
      </c>
      <c r="E7621">
        <v>2</v>
      </c>
      <c r="F7621" t="s">
        <v>1170</v>
      </c>
      <c r="G7621" t="s">
        <v>32</v>
      </c>
      <c r="H7621" t="s">
        <v>33</v>
      </c>
      <c r="I7621" t="s">
        <v>59</v>
      </c>
      <c r="AB7621" t="s">
        <v>47</v>
      </c>
      <c r="AC7621" t="s">
        <v>41</v>
      </c>
    </row>
    <row r="7622" spans="1:29" x14ac:dyDescent="0.35">
      <c r="A7622" s="7">
        <v>43301</v>
      </c>
      <c r="B7622" t="s">
        <v>30</v>
      </c>
      <c r="C7622">
        <v>701</v>
      </c>
      <c r="D7622">
        <v>9</v>
      </c>
      <c r="E7622">
        <v>1</v>
      </c>
      <c r="F7622" t="s">
        <v>1170</v>
      </c>
      <c r="G7622" t="s">
        <v>32</v>
      </c>
      <c r="H7622" t="s">
        <v>33</v>
      </c>
      <c r="I7622" t="s">
        <v>59</v>
      </c>
      <c r="AB7622" t="s">
        <v>47</v>
      </c>
      <c r="AC7622" t="s">
        <v>41</v>
      </c>
    </row>
    <row r="7623" spans="1:29" x14ac:dyDescent="0.35">
      <c r="A7623" s="7">
        <v>43301</v>
      </c>
      <c r="B7623" t="s">
        <v>30</v>
      </c>
      <c r="C7623">
        <v>701</v>
      </c>
      <c r="D7623">
        <v>10</v>
      </c>
      <c r="E7623">
        <v>1</v>
      </c>
      <c r="F7623" t="s">
        <v>1170</v>
      </c>
      <c r="G7623" t="s">
        <v>32</v>
      </c>
      <c r="H7623" t="s">
        <v>33</v>
      </c>
      <c r="I7623" t="s">
        <v>59</v>
      </c>
      <c r="AB7623" t="s">
        <v>47</v>
      </c>
      <c r="AC7623" t="s">
        <v>41</v>
      </c>
    </row>
    <row r="7624" spans="1:29" x14ac:dyDescent="0.35">
      <c r="A7624" s="7">
        <v>43301</v>
      </c>
      <c r="B7624" t="s">
        <v>30</v>
      </c>
      <c r="C7624">
        <v>701</v>
      </c>
      <c r="D7624">
        <v>10</v>
      </c>
      <c r="E7624">
        <v>2</v>
      </c>
      <c r="F7624" t="s">
        <v>1170</v>
      </c>
      <c r="G7624" t="s">
        <v>32</v>
      </c>
      <c r="H7624" t="s">
        <v>33</v>
      </c>
      <c r="I7624" t="s">
        <v>59</v>
      </c>
      <c r="AB7624" t="s">
        <v>47</v>
      </c>
      <c r="AC7624" t="s">
        <v>41</v>
      </c>
    </row>
    <row r="7625" spans="1:29" x14ac:dyDescent="0.35">
      <c r="A7625" s="7">
        <v>43301</v>
      </c>
      <c r="B7625" t="s">
        <v>30</v>
      </c>
      <c r="C7625">
        <v>703</v>
      </c>
      <c r="D7625">
        <v>2</v>
      </c>
      <c r="E7625">
        <v>2</v>
      </c>
      <c r="F7625" t="s">
        <v>1170</v>
      </c>
      <c r="G7625" t="s">
        <v>32</v>
      </c>
      <c r="H7625" t="s">
        <v>33</v>
      </c>
      <c r="I7625" t="s">
        <v>59</v>
      </c>
      <c r="AB7625" t="s">
        <v>47</v>
      </c>
      <c r="AC7625" t="s">
        <v>41</v>
      </c>
    </row>
    <row r="7626" spans="1:29" x14ac:dyDescent="0.35">
      <c r="A7626" s="7">
        <v>43301</v>
      </c>
      <c r="B7626" t="s">
        <v>30</v>
      </c>
      <c r="C7626">
        <v>703</v>
      </c>
      <c r="D7626">
        <v>4</v>
      </c>
      <c r="E7626">
        <v>2</v>
      </c>
      <c r="F7626" t="s">
        <v>1170</v>
      </c>
      <c r="G7626" t="s">
        <v>32</v>
      </c>
      <c r="H7626" t="s">
        <v>33</v>
      </c>
      <c r="I7626" t="s">
        <v>59</v>
      </c>
      <c r="AB7626" t="s">
        <v>47</v>
      </c>
      <c r="AC7626" t="s">
        <v>41</v>
      </c>
    </row>
    <row r="7627" spans="1:29" x14ac:dyDescent="0.35">
      <c r="A7627" s="7">
        <v>43301</v>
      </c>
      <c r="B7627" t="s">
        <v>30</v>
      </c>
      <c r="C7627">
        <v>703</v>
      </c>
      <c r="D7627">
        <v>5</v>
      </c>
      <c r="E7627">
        <v>2</v>
      </c>
      <c r="F7627" t="s">
        <v>1170</v>
      </c>
      <c r="G7627" t="s">
        <v>32</v>
      </c>
      <c r="H7627" t="s">
        <v>33</v>
      </c>
      <c r="I7627" t="s">
        <v>59</v>
      </c>
      <c r="AB7627" t="s">
        <v>47</v>
      </c>
      <c r="AC7627" t="s">
        <v>41</v>
      </c>
    </row>
    <row r="7628" spans="1:29" x14ac:dyDescent="0.35">
      <c r="A7628" s="7">
        <v>43301</v>
      </c>
      <c r="B7628" t="s">
        <v>30</v>
      </c>
      <c r="C7628">
        <v>703</v>
      </c>
      <c r="D7628">
        <v>7</v>
      </c>
      <c r="E7628">
        <v>1</v>
      </c>
      <c r="F7628" t="s">
        <v>1170</v>
      </c>
      <c r="G7628" t="s">
        <v>32</v>
      </c>
      <c r="H7628" t="s">
        <v>33</v>
      </c>
      <c r="I7628" t="s">
        <v>59</v>
      </c>
      <c r="AB7628" t="s">
        <v>47</v>
      </c>
      <c r="AC7628" t="s">
        <v>41</v>
      </c>
    </row>
    <row r="7629" spans="1:29" x14ac:dyDescent="0.35">
      <c r="A7629" s="7">
        <v>43301</v>
      </c>
      <c r="B7629" t="s">
        <v>30</v>
      </c>
      <c r="C7629">
        <v>703</v>
      </c>
      <c r="D7629">
        <v>7</v>
      </c>
      <c r="E7629">
        <v>2</v>
      </c>
      <c r="F7629" t="s">
        <v>1170</v>
      </c>
      <c r="G7629" t="s">
        <v>32</v>
      </c>
      <c r="H7629" t="s">
        <v>33</v>
      </c>
      <c r="I7629" t="s">
        <v>59</v>
      </c>
      <c r="AB7629" t="s">
        <v>47</v>
      </c>
      <c r="AC7629" t="s">
        <v>41</v>
      </c>
    </row>
    <row r="7630" spans="1:29" x14ac:dyDescent="0.35">
      <c r="A7630" s="7">
        <v>43301</v>
      </c>
      <c r="B7630" t="s">
        <v>30</v>
      </c>
      <c r="C7630">
        <v>703</v>
      </c>
      <c r="D7630">
        <v>8</v>
      </c>
      <c r="E7630">
        <v>1</v>
      </c>
      <c r="F7630" t="s">
        <v>1170</v>
      </c>
      <c r="G7630" t="s">
        <v>32</v>
      </c>
      <c r="H7630" t="s">
        <v>33</v>
      </c>
      <c r="I7630" t="s">
        <v>59</v>
      </c>
      <c r="AB7630" t="s">
        <v>47</v>
      </c>
      <c r="AC7630" t="s">
        <v>41</v>
      </c>
    </row>
    <row r="7631" spans="1:29" x14ac:dyDescent="0.35">
      <c r="A7631" s="7">
        <v>43301</v>
      </c>
      <c r="B7631" t="s">
        <v>30</v>
      </c>
      <c r="C7631">
        <v>703</v>
      </c>
      <c r="D7631">
        <v>8</v>
      </c>
      <c r="E7631">
        <v>2</v>
      </c>
      <c r="F7631" t="s">
        <v>1170</v>
      </c>
      <c r="G7631" t="s">
        <v>32</v>
      </c>
      <c r="H7631" t="s">
        <v>33</v>
      </c>
      <c r="I7631" t="s">
        <v>59</v>
      </c>
      <c r="AB7631" t="s">
        <v>47</v>
      </c>
      <c r="AC7631" t="s">
        <v>41</v>
      </c>
    </row>
    <row r="7632" spans="1:29" x14ac:dyDescent="0.35">
      <c r="A7632" s="7">
        <v>43301</v>
      </c>
      <c r="B7632" t="s">
        <v>30</v>
      </c>
      <c r="C7632">
        <v>703</v>
      </c>
      <c r="D7632">
        <v>9</v>
      </c>
      <c r="E7632">
        <v>1</v>
      </c>
      <c r="F7632" t="s">
        <v>1170</v>
      </c>
      <c r="G7632" t="s">
        <v>32</v>
      </c>
      <c r="H7632" t="s">
        <v>33</v>
      </c>
      <c r="I7632" t="s">
        <v>59</v>
      </c>
      <c r="AB7632" t="s">
        <v>47</v>
      </c>
      <c r="AC7632" t="s">
        <v>41</v>
      </c>
    </row>
    <row r="7633" spans="1:29" x14ac:dyDescent="0.35">
      <c r="A7633" s="7">
        <v>43301</v>
      </c>
      <c r="B7633" t="s">
        <v>30</v>
      </c>
      <c r="C7633">
        <v>703</v>
      </c>
      <c r="D7633">
        <v>9</v>
      </c>
      <c r="E7633">
        <v>2</v>
      </c>
      <c r="F7633" t="s">
        <v>1170</v>
      </c>
      <c r="G7633" t="s">
        <v>32</v>
      </c>
      <c r="H7633" t="s">
        <v>33</v>
      </c>
      <c r="I7633" t="s">
        <v>59</v>
      </c>
      <c r="AB7633" t="s">
        <v>47</v>
      </c>
      <c r="AC7633" t="s">
        <v>41</v>
      </c>
    </row>
    <row r="7634" spans="1:29" x14ac:dyDescent="0.35">
      <c r="A7634" s="7">
        <v>43301</v>
      </c>
      <c r="B7634" t="s">
        <v>30</v>
      </c>
      <c r="C7634">
        <v>703</v>
      </c>
      <c r="D7634">
        <v>10</v>
      </c>
      <c r="E7634">
        <v>1</v>
      </c>
      <c r="F7634" t="s">
        <v>1170</v>
      </c>
      <c r="G7634" t="s">
        <v>32</v>
      </c>
      <c r="H7634" t="s">
        <v>33</v>
      </c>
      <c r="I7634" t="s">
        <v>59</v>
      </c>
      <c r="AB7634" t="s">
        <v>47</v>
      </c>
      <c r="AC7634" t="s">
        <v>41</v>
      </c>
    </row>
    <row r="7635" spans="1:29" x14ac:dyDescent="0.35">
      <c r="A7635" s="7">
        <v>43301</v>
      </c>
      <c r="B7635" t="s">
        <v>30</v>
      </c>
      <c r="C7635">
        <v>703</v>
      </c>
      <c r="D7635">
        <v>10</v>
      </c>
      <c r="E7635">
        <v>2</v>
      </c>
      <c r="F7635" t="s">
        <v>1170</v>
      </c>
      <c r="G7635" t="s">
        <v>32</v>
      </c>
      <c r="H7635" t="s">
        <v>33</v>
      </c>
      <c r="I7635" t="s">
        <v>59</v>
      </c>
      <c r="AB7635" t="s">
        <v>47</v>
      </c>
      <c r="AC7635" t="s">
        <v>41</v>
      </c>
    </row>
    <row r="7636" spans="1:29" x14ac:dyDescent="0.35">
      <c r="A7636" s="7">
        <v>43301</v>
      </c>
      <c r="B7636" t="s">
        <v>30</v>
      </c>
      <c r="C7636">
        <v>801</v>
      </c>
      <c r="D7636">
        <v>4</v>
      </c>
      <c r="E7636">
        <v>2</v>
      </c>
      <c r="F7636" t="s">
        <v>1170</v>
      </c>
      <c r="G7636" t="s">
        <v>32</v>
      </c>
      <c r="H7636" t="s">
        <v>33</v>
      </c>
      <c r="I7636" t="s">
        <v>59</v>
      </c>
      <c r="AB7636" t="s">
        <v>47</v>
      </c>
      <c r="AC7636" t="s">
        <v>41</v>
      </c>
    </row>
    <row r="7637" spans="1:29" x14ac:dyDescent="0.35">
      <c r="A7637" s="7">
        <v>43301</v>
      </c>
      <c r="B7637" t="s">
        <v>30</v>
      </c>
      <c r="C7637">
        <v>801</v>
      </c>
      <c r="D7637">
        <v>7</v>
      </c>
      <c r="E7637">
        <v>2</v>
      </c>
      <c r="F7637" t="s">
        <v>1170</v>
      </c>
      <c r="G7637" t="s">
        <v>32</v>
      </c>
      <c r="H7637" t="s">
        <v>33</v>
      </c>
      <c r="I7637" t="s">
        <v>59</v>
      </c>
      <c r="AB7637" t="s">
        <v>47</v>
      </c>
      <c r="AC7637" t="s">
        <v>41</v>
      </c>
    </row>
    <row r="7638" spans="1:29" x14ac:dyDescent="0.35">
      <c r="A7638" s="7">
        <v>43301</v>
      </c>
      <c r="B7638" t="s">
        <v>30</v>
      </c>
      <c r="C7638">
        <v>801</v>
      </c>
      <c r="D7638">
        <v>9</v>
      </c>
      <c r="E7638">
        <v>1</v>
      </c>
      <c r="F7638" t="s">
        <v>1170</v>
      </c>
      <c r="G7638" t="s">
        <v>32</v>
      </c>
      <c r="H7638" t="s">
        <v>33</v>
      </c>
      <c r="I7638" t="s">
        <v>59</v>
      </c>
      <c r="AB7638" t="s">
        <v>47</v>
      </c>
      <c r="AC7638" t="s">
        <v>41</v>
      </c>
    </row>
    <row r="7639" spans="1:29" x14ac:dyDescent="0.35">
      <c r="A7639" s="7">
        <v>43301</v>
      </c>
      <c r="B7639" t="s">
        <v>30</v>
      </c>
      <c r="C7639">
        <v>803</v>
      </c>
      <c r="D7639">
        <v>4</v>
      </c>
      <c r="E7639">
        <v>1</v>
      </c>
      <c r="F7639" t="s">
        <v>1170</v>
      </c>
      <c r="G7639" t="s">
        <v>32</v>
      </c>
      <c r="H7639" t="s">
        <v>33</v>
      </c>
      <c r="I7639" t="s">
        <v>59</v>
      </c>
      <c r="AB7639" t="s">
        <v>47</v>
      </c>
      <c r="AC7639" t="s">
        <v>41</v>
      </c>
    </row>
    <row r="7640" spans="1:29" x14ac:dyDescent="0.35">
      <c r="A7640" s="7">
        <v>43301</v>
      </c>
      <c r="B7640" t="s">
        <v>30</v>
      </c>
      <c r="C7640">
        <v>901</v>
      </c>
      <c r="D7640">
        <v>2</v>
      </c>
      <c r="E7640">
        <v>1</v>
      </c>
      <c r="F7640" t="s">
        <v>1170</v>
      </c>
      <c r="G7640" t="s">
        <v>32</v>
      </c>
      <c r="H7640" t="s">
        <v>33</v>
      </c>
      <c r="I7640" t="s">
        <v>59</v>
      </c>
      <c r="AB7640" t="s">
        <v>47</v>
      </c>
      <c r="AC7640" t="s">
        <v>41</v>
      </c>
    </row>
    <row r="7641" spans="1:29" x14ac:dyDescent="0.35">
      <c r="A7641" s="7">
        <v>43301</v>
      </c>
      <c r="B7641" t="s">
        <v>30</v>
      </c>
      <c r="C7641">
        <v>901</v>
      </c>
      <c r="D7641">
        <v>2</v>
      </c>
      <c r="E7641">
        <v>2</v>
      </c>
      <c r="F7641" t="s">
        <v>1170</v>
      </c>
      <c r="G7641" t="s">
        <v>32</v>
      </c>
      <c r="H7641" t="s">
        <v>33</v>
      </c>
      <c r="I7641" t="s">
        <v>59</v>
      </c>
      <c r="AB7641" t="s">
        <v>47</v>
      </c>
      <c r="AC7641" t="s">
        <v>41</v>
      </c>
    </row>
    <row r="7642" spans="1:29" x14ac:dyDescent="0.35">
      <c r="A7642" s="7">
        <v>43301</v>
      </c>
      <c r="B7642" t="s">
        <v>30</v>
      </c>
      <c r="C7642">
        <v>901</v>
      </c>
      <c r="D7642">
        <v>3</v>
      </c>
      <c r="E7642">
        <v>1</v>
      </c>
      <c r="F7642" t="s">
        <v>1170</v>
      </c>
      <c r="G7642" t="s">
        <v>32</v>
      </c>
      <c r="H7642" t="s">
        <v>33</v>
      </c>
      <c r="I7642" t="s">
        <v>59</v>
      </c>
      <c r="AB7642" t="s">
        <v>47</v>
      </c>
      <c r="AC7642" t="s">
        <v>41</v>
      </c>
    </row>
    <row r="7643" spans="1:29" x14ac:dyDescent="0.35">
      <c r="A7643" s="7">
        <v>43301</v>
      </c>
      <c r="B7643" t="s">
        <v>30</v>
      </c>
      <c r="C7643">
        <v>901</v>
      </c>
      <c r="D7643">
        <v>3</v>
      </c>
      <c r="E7643">
        <v>2</v>
      </c>
      <c r="F7643" t="s">
        <v>1170</v>
      </c>
      <c r="G7643" t="s">
        <v>32</v>
      </c>
      <c r="H7643" t="s">
        <v>33</v>
      </c>
      <c r="I7643" t="s">
        <v>59</v>
      </c>
      <c r="AB7643" t="s">
        <v>47</v>
      </c>
      <c r="AC7643" t="s">
        <v>41</v>
      </c>
    </row>
    <row r="7644" spans="1:29" x14ac:dyDescent="0.35">
      <c r="A7644" s="7">
        <v>43301</v>
      </c>
      <c r="B7644" t="s">
        <v>30</v>
      </c>
      <c r="C7644">
        <v>901</v>
      </c>
      <c r="D7644">
        <v>8</v>
      </c>
      <c r="E7644">
        <v>1</v>
      </c>
      <c r="F7644" t="s">
        <v>1170</v>
      </c>
      <c r="G7644" t="s">
        <v>32</v>
      </c>
      <c r="H7644" t="s">
        <v>33</v>
      </c>
      <c r="I7644" t="s">
        <v>59</v>
      </c>
      <c r="AB7644" t="s">
        <v>47</v>
      </c>
      <c r="AC7644" t="s">
        <v>41</v>
      </c>
    </row>
    <row r="7645" spans="1:29" x14ac:dyDescent="0.35">
      <c r="A7645" s="7">
        <v>43301</v>
      </c>
      <c r="B7645" t="s">
        <v>30</v>
      </c>
      <c r="C7645">
        <v>701</v>
      </c>
      <c r="D7645">
        <v>4</v>
      </c>
      <c r="E7645">
        <v>2</v>
      </c>
      <c r="F7645" t="s">
        <v>1170</v>
      </c>
      <c r="G7645" t="s">
        <v>32</v>
      </c>
      <c r="H7645" t="s">
        <v>33</v>
      </c>
      <c r="I7645" t="s">
        <v>94</v>
      </c>
      <c r="J7645" t="s">
        <v>44</v>
      </c>
      <c r="K7645" t="s">
        <v>36</v>
      </c>
      <c r="L7645" t="s">
        <v>37</v>
      </c>
      <c r="M7645">
        <v>0</v>
      </c>
      <c r="N7645">
        <v>0</v>
      </c>
      <c r="O7645">
        <v>1013</v>
      </c>
      <c r="Q7645">
        <f>44-25</f>
        <v>19</v>
      </c>
      <c r="R7645" t="s">
        <v>64</v>
      </c>
      <c r="AB7645" t="s">
        <v>47</v>
      </c>
      <c r="AC7645" t="s">
        <v>41</v>
      </c>
    </row>
    <row r="7646" spans="1:29" x14ac:dyDescent="0.35">
      <c r="A7646" s="7">
        <v>43301</v>
      </c>
      <c r="B7646" t="s">
        <v>30</v>
      </c>
      <c r="C7646">
        <v>701</v>
      </c>
      <c r="D7646">
        <v>8</v>
      </c>
      <c r="E7646">
        <v>1</v>
      </c>
      <c r="F7646" t="s">
        <v>1170</v>
      </c>
      <c r="G7646" t="s">
        <v>32</v>
      </c>
      <c r="H7646" t="s">
        <v>33</v>
      </c>
      <c r="I7646" t="s">
        <v>94</v>
      </c>
      <c r="J7646" t="s">
        <v>92</v>
      </c>
      <c r="AB7646" t="s">
        <v>47</v>
      </c>
      <c r="AC7646" t="s">
        <v>41</v>
      </c>
    </row>
    <row r="7647" spans="1:29" x14ac:dyDescent="0.35">
      <c r="A7647" s="7">
        <v>43301</v>
      </c>
      <c r="B7647" t="s">
        <v>30</v>
      </c>
      <c r="C7647">
        <v>803</v>
      </c>
      <c r="D7647">
        <v>10</v>
      </c>
      <c r="E7647">
        <v>1</v>
      </c>
      <c r="F7647" t="s">
        <v>1170</v>
      </c>
      <c r="G7647" t="s">
        <v>32</v>
      </c>
      <c r="H7647" t="s">
        <v>33</v>
      </c>
      <c r="I7647" t="s">
        <v>94</v>
      </c>
      <c r="J7647" t="s">
        <v>35</v>
      </c>
      <c r="K7647" t="s">
        <v>36</v>
      </c>
      <c r="L7647" t="s">
        <v>37</v>
      </c>
      <c r="M7647">
        <v>0</v>
      </c>
      <c r="N7647">
        <v>1</v>
      </c>
      <c r="O7647">
        <v>1213</v>
      </c>
      <c r="Q7647">
        <f>40-10</f>
        <v>30</v>
      </c>
      <c r="R7647" t="s">
        <v>38</v>
      </c>
      <c r="AB7647" t="s">
        <v>47</v>
      </c>
      <c r="AC7647" t="s">
        <v>41</v>
      </c>
    </row>
    <row r="7648" spans="1:29" x14ac:dyDescent="0.35">
      <c r="A7648" s="7">
        <v>43302</v>
      </c>
      <c r="B7648" t="s">
        <v>30</v>
      </c>
      <c r="C7648">
        <v>701</v>
      </c>
      <c r="D7648">
        <v>1</v>
      </c>
      <c r="E7648">
        <v>1</v>
      </c>
      <c r="F7648" t="s">
        <v>1139</v>
      </c>
      <c r="G7648" t="s">
        <v>32</v>
      </c>
      <c r="H7648" t="s">
        <v>33</v>
      </c>
      <c r="I7648" t="s">
        <v>43</v>
      </c>
      <c r="J7648" t="s">
        <v>44</v>
      </c>
      <c r="K7648" t="s">
        <v>113</v>
      </c>
      <c r="L7648" t="s">
        <v>45</v>
      </c>
      <c r="M7648">
        <v>0</v>
      </c>
      <c r="N7648">
        <v>0</v>
      </c>
      <c r="O7648">
        <v>1045</v>
      </c>
      <c r="P7648">
        <v>1044</v>
      </c>
      <c r="Q7648">
        <f>26-13</f>
        <v>13</v>
      </c>
      <c r="R7648" t="s">
        <v>46</v>
      </c>
      <c r="S7648" t="s">
        <v>39</v>
      </c>
      <c r="AB7648" t="s">
        <v>1136</v>
      </c>
      <c r="AC7648" t="s">
        <v>87</v>
      </c>
    </row>
    <row r="7649" spans="1:30" x14ac:dyDescent="0.35">
      <c r="A7649" s="7">
        <v>43302</v>
      </c>
      <c r="B7649" t="s">
        <v>30</v>
      </c>
      <c r="C7649">
        <v>701</v>
      </c>
      <c r="D7649">
        <v>1</v>
      </c>
      <c r="E7649">
        <v>2</v>
      </c>
      <c r="F7649" t="s">
        <v>1139</v>
      </c>
      <c r="G7649" t="s">
        <v>32</v>
      </c>
      <c r="H7649" t="s">
        <v>33</v>
      </c>
      <c r="I7649" t="s">
        <v>43</v>
      </c>
      <c r="J7649" t="s">
        <v>44</v>
      </c>
      <c r="K7649" t="s">
        <v>113</v>
      </c>
      <c r="L7649" t="s">
        <v>37</v>
      </c>
      <c r="M7649">
        <v>0</v>
      </c>
      <c r="N7649">
        <v>0</v>
      </c>
      <c r="O7649">
        <v>1215</v>
      </c>
      <c r="P7649">
        <v>1214</v>
      </c>
      <c r="Q7649">
        <f>25-10</f>
        <v>15</v>
      </c>
      <c r="R7649" t="s">
        <v>64</v>
      </c>
      <c r="AB7649" t="s">
        <v>1136</v>
      </c>
      <c r="AC7649" t="s">
        <v>87</v>
      </c>
    </row>
    <row r="7650" spans="1:30" x14ac:dyDescent="0.35">
      <c r="A7650" s="7">
        <v>43302</v>
      </c>
      <c r="B7650" t="s">
        <v>30</v>
      </c>
      <c r="C7650">
        <v>701</v>
      </c>
      <c r="D7650">
        <v>2</v>
      </c>
      <c r="E7650">
        <v>1</v>
      </c>
      <c r="F7650" t="s">
        <v>1139</v>
      </c>
      <c r="G7650" t="s">
        <v>32</v>
      </c>
      <c r="H7650" t="s">
        <v>33</v>
      </c>
      <c r="I7650" t="s">
        <v>43</v>
      </c>
      <c r="J7650" t="s">
        <v>44</v>
      </c>
      <c r="K7650" t="s">
        <v>88</v>
      </c>
      <c r="L7650" t="s">
        <v>45</v>
      </c>
      <c r="M7650">
        <v>0</v>
      </c>
      <c r="N7650">
        <v>0</v>
      </c>
      <c r="O7650">
        <v>1246</v>
      </c>
      <c r="P7650">
        <v>1245</v>
      </c>
      <c r="Q7650">
        <f>24-12</f>
        <v>12</v>
      </c>
      <c r="R7650" t="s">
        <v>46</v>
      </c>
      <c r="S7650" t="s">
        <v>39</v>
      </c>
      <c r="AB7650" t="s">
        <v>1136</v>
      </c>
      <c r="AC7650" t="s">
        <v>87</v>
      </c>
      <c r="AD7650" t="s">
        <v>1231</v>
      </c>
    </row>
    <row r="7651" spans="1:30" x14ac:dyDescent="0.35">
      <c r="A7651" s="7">
        <v>43302</v>
      </c>
      <c r="B7651" t="s">
        <v>30</v>
      </c>
      <c r="C7651">
        <v>701</v>
      </c>
      <c r="D7651">
        <v>5</v>
      </c>
      <c r="E7651">
        <v>1</v>
      </c>
      <c r="F7651" t="s">
        <v>1139</v>
      </c>
      <c r="G7651" t="s">
        <v>32</v>
      </c>
      <c r="H7651" t="s">
        <v>33</v>
      </c>
      <c r="I7651" t="s">
        <v>43</v>
      </c>
      <c r="J7651" t="s">
        <v>44</v>
      </c>
      <c r="K7651" t="s">
        <v>36</v>
      </c>
      <c r="L7651" t="s">
        <v>45</v>
      </c>
      <c r="M7651">
        <v>0</v>
      </c>
      <c r="N7651">
        <v>0</v>
      </c>
      <c r="O7651">
        <v>2471</v>
      </c>
      <c r="P7651">
        <v>2470</v>
      </c>
      <c r="Q7651">
        <f>30.5-10</f>
        <v>20.5</v>
      </c>
      <c r="R7651" t="s">
        <v>46</v>
      </c>
      <c r="S7651" t="s">
        <v>39</v>
      </c>
      <c r="AB7651" t="s">
        <v>1136</v>
      </c>
      <c r="AC7651" t="s">
        <v>87</v>
      </c>
    </row>
    <row r="7652" spans="1:30" x14ac:dyDescent="0.35">
      <c r="A7652" s="7">
        <v>43302</v>
      </c>
      <c r="B7652" t="s">
        <v>30</v>
      </c>
      <c r="C7652">
        <v>701</v>
      </c>
      <c r="D7652">
        <v>5</v>
      </c>
      <c r="E7652">
        <v>2</v>
      </c>
      <c r="F7652" t="s">
        <v>1139</v>
      </c>
      <c r="G7652" t="s">
        <v>32</v>
      </c>
      <c r="H7652" t="s">
        <v>33</v>
      </c>
      <c r="I7652" t="s">
        <v>43</v>
      </c>
      <c r="J7652" t="s">
        <v>44</v>
      </c>
      <c r="K7652" t="s">
        <v>88</v>
      </c>
      <c r="L7652" t="s">
        <v>37</v>
      </c>
      <c r="M7652">
        <v>0</v>
      </c>
      <c r="N7652">
        <v>0</v>
      </c>
      <c r="O7652">
        <v>1270</v>
      </c>
      <c r="P7652">
        <v>1269</v>
      </c>
      <c r="Q7652">
        <f>23-10</f>
        <v>13</v>
      </c>
      <c r="R7652" t="s">
        <v>64</v>
      </c>
      <c r="AB7652" t="s">
        <v>1136</v>
      </c>
      <c r="AC7652" t="s">
        <v>87</v>
      </c>
    </row>
    <row r="7653" spans="1:30" x14ac:dyDescent="0.35">
      <c r="A7653" s="7">
        <v>43302</v>
      </c>
      <c r="B7653" t="s">
        <v>30</v>
      </c>
      <c r="C7653">
        <v>701</v>
      </c>
      <c r="D7653">
        <v>9</v>
      </c>
      <c r="E7653">
        <v>1</v>
      </c>
      <c r="F7653" t="s">
        <v>1139</v>
      </c>
      <c r="G7653" t="s">
        <v>32</v>
      </c>
      <c r="H7653" t="s">
        <v>33</v>
      </c>
      <c r="I7653" t="s">
        <v>43</v>
      </c>
      <c r="J7653" t="s">
        <v>44</v>
      </c>
      <c r="K7653" t="s">
        <v>88</v>
      </c>
      <c r="L7653" t="s">
        <v>45</v>
      </c>
      <c r="M7653">
        <v>0</v>
      </c>
      <c r="N7653">
        <v>0</v>
      </c>
      <c r="O7653">
        <v>1219</v>
      </c>
      <c r="P7653">
        <v>1218</v>
      </c>
      <c r="Q7653">
        <f>24-14.5</f>
        <v>9.5</v>
      </c>
      <c r="R7653" t="s">
        <v>46</v>
      </c>
      <c r="S7653" t="s">
        <v>39</v>
      </c>
      <c r="AB7653" t="s">
        <v>1136</v>
      </c>
      <c r="AC7653" t="s">
        <v>87</v>
      </c>
    </row>
    <row r="7654" spans="1:30" x14ac:dyDescent="0.35">
      <c r="A7654" s="7">
        <v>43302</v>
      </c>
      <c r="B7654" t="s">
        <v>30</v>
      </c>
      <c r="C7654">
        <v>701</v>
      </c>
      <c r="D7654">
        <v>9</v>
      </c>
      <c r="E7654">
        <v>2</v>
      </c>
      <c r="F7654" t="s">
        <v>1139</v>
      </c>
      <c r="G7654" t="s">
        <v>32</v>
      </c>
      <c r="H7654" t="s">
        <v>33</v>
      </c>
      <c r="I7654" t="s">
        <v>43</v>
      </c>
      <c r="J7654" t="s">
        <v>35</v>
      </c>
      <c r="K7654" t="s">
        <v>88</v>
      </c>
      <c r="L7654" t="s">
        <v>45</v>
      </c>
      <c r="M7654">
        <v>0</v>
      </c>
      <c r="N7654">
        <v>1</v>
      </c>
      <c r="O7654">
        <v>1396</v>
      </c>
      <c r="P7654">
        <v>1395</v>
      </c>
      <c r="Q7654">
        <f>25-14</f>
        <v>11</v>
      </c>
      <c r="R7654" t="s">
        <v>46</v>
      </c>
      <c r="S7654" t="s">
        <v>39</v>
      </c>
      <c r="AB7654" t="s">
        <v>1136</v>
      </c>
      <c r="AC7654" t="s">
        <v>87</v>
      </c>
    </row>
    <row r="7655" spans="1:30" x14ac:dyDescent="0.35">
      <c r="A7655" s="7">
        <v>43302</v>
      </c>
      <c r="B7655" t="s">
        <v>30</v>
      </c>
      <c r="C7655">
        <v>703</v>
      </c>
      <c r="D7655">
        <v>1</v>
      </c>
      <c r="E7655">
        <v>2</v>
      </c>
      <c r="F7655" t="s">
        <v>1139</v>
      </c>
      <c r="G7655" t="s">
        <v>32</v>
      </c>
      <c r="H7655" t="s">
        <v>33</v>
      </c>
      <c r="I7655" t="s">
        <v>43</v>
      </c>
      <c r="J7655" t="s">
        <v>44</v>
      </c>
      <c r="K7655" t="s">
        <v>36</v>
      </c>
      <c r="L7655" t="s">
        <v>37</v>
      </c>
      <c r="M7655">
        <v>0</v>
      </c>
      <c r="N7655">
        <v>0</v>
      </c>
      <c r="O7655">
        <v>1068</v>
      </c>
      <c r="P7655">
        <v>1067</v>
      </c>
      <c r="Q7655">
        <f>24-11</f>
        <v>13</v>
      </c>
      <c r="R7655" t="s">
        <v>64</v>
      </c>
      <c r="AB7655" t="s">
        <v>1136</v>
      </c>
      <c r="AC7655" t="s">
        <v>87</v>
      </c>
    </row>
    <row r="7656" spans="1:30" x14ac:dyDescent="0.35">
      <c r="A7656" s="7">
        <v>43302</v>
      </c>
      <c r="B7656" t="s">
        <v>30</v>
      </c>
      <c r="C7656">
        <v>703</v>
      </c>
      <c r="D7656">
        <v>2</v>
      </c>
      <c r="E7656">
        <v>1</v>
      </c>
      <c r="F7656" t="s">
        <v>1139</v>
      </c>
      <c r="G7656" t="s">
        <v>32</v>
      </c>
      <c r="H7656" t="s">
        <v>33</v>
      </c>
      <c r="I7656" t="s">
        <v>43</v>
      </c>
      <c r="J7656" t="s">
        <v>44</v>
      </c>
      <c r="K7656" t="s">
        <v>88</v>
      </c>
      <c r="L7656" t="s">
        <v>45</v>
      </c>
      <c r="M7656">
        <v>0</v>
      </c>
      <c r="N7656">
        <v>0</v>
      </c>
      <c r="O7656">
        <v>1096</v>
      </c>
      <c r="P7656">
        <v>1095</v>
      </c>
      <c r="Q7656">
        <f>23-11</f>
        <v>12</v>
      </c>
      <c r="R7656" t="s">
        <v>46</v>
      </c>
      <c r="S7656" t="s">
        <v>39</v>
      </c>
      <c r="AB7656" t="s">
        <v>1136</v>
      </c>
      <c r="AC7656" t="s">
        <v>87</v>
      </c>
    </row>
    <row r="7657" spans="1:30" x14ac:dyDescent="0.35">
      <c r="A7657" s="7">
        <v>43302</v>
      </c>
      <c r="B7657" t="s">
        <v>30</v>
      </c>
      <c r="C7657">
        <v>703</v>
      </c>
      <c r="D7657">
        <v>2</v>
      </c>
      <c r="E7657">
        <v>1</v>
      </c>
      <c r="F7657" t="s">
        <v>1139</v>
      </c>
      <c r="G7657" t="s">
        <v>32</v>
      </c>
      <c r="H7657" t="s">
        <v>33</v>
      </c>
      <c r="I7657" t="s">
        <v>43</v>
      </c>
      <c r="J7657" t="s">
        <v>35</v>
      </c>
      <c r="K7657" t="s">
        <v>88</v>
      </c>
      <c r="L7657" t="s">
        <v>45</v>
      </c>
      <c r="M7657">
        <v>0</v>
      </c>
      <c r="N7657">
        <v>1</v>
      </c>
      <c r="O7657">
        <v>1398</v>
      </c>
      <c r="P7657">
        <v>1397</v>
      </c>
      <c r="Q7657">
        <f>22-9</f>
        <v>13</v>
      </c>
      <c r="R7657" t="s">
        <v>46</v>
      </c>
      <c r="S7657" t="s">
        <v>39</v>
      </c>
      <c r="AB7657" t="s">
        <v>1136</v>
      </c>
      <c r="AC7657" t="s">
        <v>87</v>
      </c>
    </row>
    <row r="7658" spans="1:30" x14ac:dyDescent="0.35">
      <c r="A7658" s="7">
        <v>43302</v>
      </c>
      <c r="B7658" t="s">
        <v>30</v>
      </c>
      <c r="C7658">
        <v>703</v>
      </c>
      <c r="D7658">
        <v>2</v>
      </c>
      <c r="E7658">
        <v>2</v>
      </c>
      <c r="F7658" t="s">
        <v>1139</v>
      </c>
      <c r="G7658" t="s">
        <v>32</v>
      </c>
      <c r="H7658" t="s">
        <v>33</v>
      </c>
      <c r="I7658" t="s">
        <v>43</v>
      </c>
      <c r="J7658" t="s">
        <v>44</v>
      </c>
      <c r="K7658" t="s">
        <v>36</v>
      </c>
      <c r="L7658" t="s">
        <v>45</v>
      </c>
      <c r="M7658">
        <v>0</v>
      </c>
      <c r="N7658">
        <v>0</v>
      </c>
      <c r="O7658">
        <v>39771</v>
      </c>
      <c r="P7658">
        <v>39770</v>
      </c>
      <c r="Q7658">
        <f>31-11</f>
        <v>20</v>
      </c>
      <c r="R7658" t="s">
        <v>46</v>
      </c>
      <c r="S7658" t="s">
        <v>39</v>
      </c>
      <c r="AB7658" t="s">
        <v>1136</v>
      </c>
      <c r="AC7658" t="s">
        <v>87</v>
      </c>
    </row>
    <row r="7659" spans="1:30" x14ac:dyDescent="0.35">
      <c r="A7659" s="7">
        <v>43302</v>
      </c>
      <c r="B7659" t="s">
        <v>30</v>
      </c>
      <c r="C7659">
        <v>703</v>
      </c>
      <c r="D7659">
        <v>3</v>
      </c>
      <c r="E7659">
        <v>1</v>
      </c>
      <c r="F7659" t="s">
        <v>1139</v>
      </c>
      <c r="G7659" t="s">
        <v>32</v>
      </c>
      <c r="H7659" t="s">
        <v>33</v>
      </c>
      <c r="I7659" t="s">
        <v>43</v>
      </c>
      <c r="J7659" t="s">
        <v>44</v>
      </c>
      <c r="K7659" t="s">
        <v>88</v>
      </c>
      <c r="L7659" t="s">
        <v>37</v>
      </c>
      <c r="M7659">
        <v>0</v>
      </c>
      <c r="N7659">
        <v>0</v>
      </c>
      <c r="O7659">
        <v>1273</v>
      </c>
      <c r="P7659">
        <v>1272</v>
      </c>
      <c r="Q7659">
        <f>28-13</f>
        <v>15</v>
      </c>
      <c r="R7659" t="s">
        <v>64</v>
      </c>
      <c r="AB7659" t="s">
        <v>1136</v>
      </c>
      <c r="AC7659" t="s">
        <v>87</v>
      </c>
    </row>
    <row r="7660" spans="1:30" x14ac:dyDescent="0.35">
      <c r="A7660" s="7">
        <v>43302</v>
      </c>
      <c r="B7660" t="s">
        <v>30</v>
      </c>
      <c r="C7660">
        <v>703</v>
      </c>
      <c r="D7660">
        <v>4</v>
      </c>
      <c r="E7660">
        <v>1</v>
      </c>
      <c r="F7660" t="s">
        <v>1139</v>
      </c>
      <c r="G7660" t="s">
        <v>32</v>
      </c>
      <c r="H7660" t="s">
        <v>33</v>
      </c>
      <c r="I7660" t="s">
        <v>43</v>
      </c>
      <c r="J7660" t="s">
        <v>44</v>
      </c>
      <c r="K7660" t="s">
        <v>88</v>
      </c>
      <c r="L7660" t="s">
        <v>37</v>
      </c>
      <c r="M7660">
        <v>0</v>
      </c>
      <c r="N7660">
        <v>0</v>
      </c>
      <c r="O7660">
        <v>1029</v>
      </c>
      <c r="P7660">
        <v>1028</v>
      </c>
      <c r="Q7660">
        <f>27.5-14</f>
        <v>13.5</v>
      </c>
      <c r="R7660" t="s">
        <v>64</v>
      </c>
      <c r="AB7660" t="s">
        <v>1136</v>
      </c>
      <c r="AC7660" t="s">
        <v>87</v>
      </c>
    </row>
    <row r="7661" spans="1:30" x14ac:dyDescent="0.35">
      <c r="A7661" s="7">
        <v>43302</v>
      </c>
      <c r="B7661" t="s">
        <v>30</v>
      </c>
      <c r="C7661">
        <v>703</v>
      </c>
      <c r="D7661">
        <v>5</v>
      </c>
      <c r="E7661">
        <v>1</v>
      </c>
      <c r="F7661" t="s">
        <v>1139</v>
      </c>
      <c r="G7661" t="s">
        <v>32</v>
      </c>
      <c r="H7661" t="s">
        <v>33</v>
      </c>
      <c r="I7661" t="s">
        <v>43</v>
      </c>
      <c r="J7661" t="s">
        <v>44</v>
      </c>
      <c r="K7661" t="s">
        <v>113</v>
      </c>
      <c r="L7661" t="s">
        <v>37</v>
      </c>
      <c r="M7661">
        <v>0</v>
      </c>
      <c r="N7661">
        <v>0</v>
      </c>
      <c r="O7661">
        <v>1100</v>
      </c>
      <c r="P7661">
        <v>1099</v>
      </c>
      <c r="Q7661">
        <f>28-14</f>
        <v>14</v>
      </c>
      <c r="R7661" t="s">
        <v>64</v>
      </c>
      <c r="AB7661" t="s">
        <v>1136</v>
      </c>
      <c r="AC7661" t="s">
        <v>87</v>
      </c>
    </row>
    <row r="7662" spans="1:30" x14ac:dyDescent="0.35">
      <c r="A7662" s="7">
        <v>43302</v>
      </c>
      <c r="B7662" t="s">
        <v>30</v>
      </c>
      <c r="C7662">
        <v>703</v>
      </c>
      <c r="D7662">
        <v>9</v>
      </c>
      <c r="E7662">
        <v>1</v>
      </c>
      <c r="F7662" t="s">
        <v>1139</v>
      </c>
      <c r="G7662" t="s">
        <v>32</v>
      </c>
      <c r="H7662" t="s">
        <v>33</v>
      </c>
      <c r="I7662" t="s">
        <v>43</v>
      </c>
      <c r="J7662" t="s">
        <v>44</v>
      </c>
      <c r="K7662" t="s">
        <v>36</v>
      </c>
      <c r="L7662" t="s">
        <v>37</v>
      </c>
      <c r="M7662">
        <v>0</v>
      </c>
      <c r="N7662">
        <v>0</v>
      </c>
      <c r="O7662">
        <v>2468</v>
      </c>
      <c r="P7662">
        <v>2467</v>
      </c>
      <c r="Q7662">
        <f>30.5-14</f>
        <v>16.5</v>
      </c>
      <c r="R7662" t="s">
        <v>64</v>
      </c>
      <c r="AB7662" t="s">
        <v>1136</v>
      </c>
      <c r="AC7662" t="s">
        <v>87</v>
      </c>
    </row>
    <row r="7663" spans="1:30" x14ac:dyDescent="0.35">
      <c r="A7663" s="7">
        <v>43302</v>
      </c>
      <c r="B7663" t="s">
        <v>30</v>
      </c>
      <c r="C7663">
        <v>801</v>
      </c>
      <c r="D7663">
        <v>4</v>
      </c>
      <c r="E7663">
        <v>1</v>
      </c>
      <c r="F7663" t="s">
        <v>1139</v>
      </c>
      <c r="G7663" t="s">
        <v>32</v>
      </c>
      <c r="H7663" t="s">
        <v>33</v>
      </c>
      <c r="I7663" t="s">
        <v>43</v>
      </c>
      <c r="J7663" t="s">
        <v>44</v>
      </c>
      <c r="K7663" t="s">
        <v>36</v>
      </c>
      <c r="L7663" t="s">
        <v>45</v>
      </c>
      <c r="M7663">
        <v>0</v>
      </c>
      <c r="N7663">
        <v>0</v>
      </c>
      <c r="O7663">
        <v>1050</v>
      </c>
      <c r="P7663">
        <v>1049</v>
      </c>
      <c r="Q7663">
        <f>32-10</f>
        <v>22</v>
      </c>
      <c r="R7663" t="s">
        <v>1028</v>
      </c>
      <c r="S7663" t="s">
        <v>102</v>
      </c>
      <c r="AB7663" t="s">
        <v>1136</v>
      </c>
      <c r="AC7663" t="s">
        <v>87</v>
      </c>
      <c r="AD7663" t="s">
        <v>1232</v>
      </c>
    </row>
    <row r="7664" spans="1:30" x14ac:dyDescent="0.35">
      <c r="A7664" s="7">
        <v>43302</v>
      </c>
      <c r="B7664" t="s">
        <v>30</v>
      </c>
      <c r="C7664">
        <v>801</v>
      </c>
      <c r="D7664">
        <v>4</v>
      </c>
      <c r="E7664">
        <v>2</v>
      </c>
      <c r="F7664" t="s">
        <v>1139</v>
      </c>
      <c r="G7664" t="s">
        <v>32</v>
      </c>
      <c r="H7664" t="s">
        <v>33</v>
      </c>
      <c r="I7664" t="s">
        <v>43</v>
      </c>
      <c r="J7664" t="s">
        <v>44</v>
      </c>
      <c r="K7664" t="s">
        <v>36</v>
      </c>
      <c r="L7664" t="s">
        <v>37</v>
      </c>
      <c r="M7664">
        <v>0</v>
      </c>
      <c r="N7664">
        <v>0</v>
      </c>
      <c r="O7664">
        <v>1168</v>
      </c>
      <c r="P7664">
        <v>1167</v>
      </c>
      <c r="Q7664">
        <f>30-10.5</f>
        <v>19.5</v>
      </c>
      <c r="R7664" t="s">
        <v>38</v>
      </c>
      <c r="AB7664" t="s">
        <v>1136</v>
      </c>
      <c r="AC7664" t="s">
        <v>87</v>
      </c>
    </row>
    <row r="7665" spans="1:30" x14ac:dyDescent="0.35">
      <c r="A7665" s="7">
        <v>43302</v>
      </c>
      <c r="B7665" t="s">
        <v>30</v>
      </c>
      <c r="C7665">
        <v>801</v>
      </c>
      <c r="D7665">
        <v>6</v>
      </c>
      <c r="E7665">
        <v>1</v>
      </c>
      <c r="F7665" t="s">
        <v>1139</v>
      </c>
      <c r="G7665" t="s">
        <v>32</v>
      </c>
      <c r="H7665" t="s">
        <v>33</v>
      </c>
      <c r="I7665" t="s">
        <v>43</v>
      </c>
      <c r="J7665" t="s">
        <v>44</v>
      </c>
      <c r="K7665" t="s">
        <v>36</v>
      </c>
      <c r="L7665" t="s">
        <v>37</v>
      </c>
      <c r="M7665">
        <v>0</v>
      </c>
      <c r="N7665">
        <v>0</v>
      </c>
      <c r="O7665">
        <v>1072</v>
      </c>
      <c r="P7665">
        <v>1071</v>
      </c>
      <c r="Q7665">
        <f>32-13.5</f>
        <v>18.5</v>
      </c>
      <c r="R7665" t="s">
        <v>38</v>
      </c>
      <c r="AB7665" t="s">
        <v>1136</v>
      </c>
      <c r="AC7665" t="s">
        <v>87</v>
      </c>
    </row>
    <row r="7666" spans="1:30" x14ac:dyDescent="0.35">
      <c r="A7666" s="7">
        <v>43302</v>
      </c>
      <c r="B7666" t="s">
        <v>30</v>
      </c>
      <c r="C7666">
        <v>801</v>
      </c>
      <c r="D7666">
        <v>7</v>
      </c>
      <c r="E7666">
        <v>1</v>
      </c>
      <c r="F7666" t="s">
        <v>1139</v>
      </c>
      <c r="G7666" t="s">
        <v>32</v>
      </c>
      <c r="H7666" t="s">
        <v>33</v>
      </c>
      <c r="I7666" t="s">
        <v>43</v>
      </c>
      <c r="J7666" t="s">
        <v>44</v>
      </c>
      <c r="K7666" t="s">
        <v>113</v>
      </c>
      <c r="L7666" t="s">
        <v>45</v>
      </c>
      <c r="M7666">
        <v>0</v>
      </c>
      <c r="N7666">
        <v>0</v>
      </c>
      <c r="O7666">
        <v>1294</v>
      </c>
      <c r="Q7666">
        <f>31-14</f>
        <v>17</v>
      </c>
      <c r="R7666" t="s">
        <v>46</v>
      </c>
      <c r="S7666" t="s">
        <v>39</v>
      </c>
      <c r="AB7666" t="s">
        <v>1136</v>
      </c>
      <c r="AC7666" t="s">
        <v>87</v>
      </c>
      <c r="AD7666" t="s">
        <v>1233</v>
      </c>
    </row>
    <row r="7667" spans="1:30" x14ac:dyDescent="0.35">
      <c r="A7667" s="7">
        <v>43302</v>
      </c>
      <c r="B7667" t="s">
        <v>30</v>
      </c>
      <c r="C7667">
        <v>801</v>
      </c>
      <c r="D7667">
        <v>9</v>
      </c>
      <c r="E7667">
        <v>2</v>
      </c>
      <c r="F7667" t="s">
        <v>1139</v>
      </c>
      <c r="G7667" t="s">
        <v>32</v>
      </c>
      <c r="H7667" t="s">
        <v>33</v>
      </c>
      <c r="I7667" t="s">
        <v>43</v>
      </c>
      <c r="J7667" t="s">
        <v>44</v>
      </c>
      <c r="K7667" t="s">
        <v>36</v>
      </c>
      <c r="L7667" t="s">
        <v>45</v>
      </c>
      <c r="M7667">
        <v>0</v>
      </c>
      <c r="N7667">
        <v>0</v>
      </c>
      <c r="O7667">
        <v>2425</v>
      </c>
      <c r="P7667">
        <v>2424</v>
      </c>
      <c r="Q7667">
        <f>33-10</f>
        <v>23</v>
      </c>
      <c r="R7667" t="s">
        <v>1021</v>
      </c>
      <c r="S7667" t="s">
        <v>102</v>
      </c>
      <c r="AB7667" t="s">
        <v>1136</v>
      </c>
      <c r="AC7667" t="s">
        <v>87</v>
      </c>
    </row>
    <row r="7668" spans="1:30" x14ac:dyDescent="0.35">
      <c r="A7668" s="7">
        <v>43302</v>
      </c>
      <c r="B7668" t="s">
        <v>30</v>
      </c>
      <c r="C7668">
        <v>803</v>
      </c>
      <c r="D7668">
        <v>6</v>
      </c>
      <c r="E7668">
        <v>1</v>
      </c>
      <c r="F7668" t="s">
        <v>1139</v>
      </c>
      <c r="G7668" t="s">
        <v>32</v>
      </c>
      <c r="H7668" t="s">
        <v>33</v>
      </c>
      <c r="I7668" t="s">
        <v>43</v>
      </c>
      <c r="J7668" t="s">
        <v>44</v>
      </c>
      <c r="K7668" t="s">
        <v>36</v>
      </c>
      <c r="L7668" t="s">
        <v>37</v>
      </c>
      <c r="M7668">
        <v>0</v>
      </c>
      <c r="N7668">
        <v>0</v>
      </c>
      <c r="O7668">
        <v>1217</v>
      </c>
      <c r="P7668">
        <v>1216</v>
      </c>
      <c r="Q7668">
        <f>29-10</f>
        <v>19</v>
      </c>
      <c r="R7668" t="s">
        <v>38</v>
      </c>
      <c r="AB7668" t="s">
        <v>1136</v>
      </c>
      <c r="AC7668" t="s">
        <v>87</v>
      </c>
    </row>
    <row r="7669" spans="1:30" x14ac:dyDescent="0.35">
      <c r="A7669" s="7">
        <v>43302</v>
      </c>
      <c r="B7669" t="s">
        <v>30</v>
      </c>
      <c r="C7669">
        <v>901</v>
      </c>
      <c r="D7669">
        <v>2</v>
      </c>
      <c r="E7669">
        <v>1</v>
      </c>
      <c r="F7669" t="s">
        <v>1139</v>
      </c>
      <c r="G7669" t="s">
        <v>32</v>
      </c>
      <c r="H7669" t="s">
        <v>33</v>
      </c>
      <c r="I7669" t="s">
        <v>43</v>
      </c>
      <c r="J7669" t="s">
        <v>44</v>
      </c>
      <c r="K7669" t="s">
        <v>36</v>
      </c>
      <c r="L7669" t="s">
        <v>37</v>
      </c>
      <c r="M7669">
        <v>0</v>
      </c>
      <c r="N7669">
        <v>0</v>
      </c>
      <c r="O7669">
        <v>1174</v>
      </c>
      <c r="P7669">
        <v>1173</v>
      </c>
      <c r="Q7669">
        <f>29-11.5</f>
        <v>17.5</v>
      </c>
      <c r="R7669" t="s">
        <v>64</v>
      </c>
      <c r="AB7669" t="s">
        <v>1136</v>
      </c>
      <c r="AC7669" t="s">
        <v>87</v>
      </c>
    </row>
    <row r="7670" spans="1:30" x14ac:dyDescent="0.35">
      <c r="A7670" s="7">
        <v>43302</v>
      </c>
      <c r="B7670" t="s">
        <v>30</v>
      </c>
      <c r="C7670">
        <v>901</v>
      </c>
      <c r="D7670">
        <v>4</v>
      </c>
      <c r="E7670">
        <v>1</v>
      </c>
      <c r="F7670" t="s">
        <v>1139</v>
      </c>
      <c r="G7670" t="s">
        <v>32</v>
      </c>
      <c r="H7670" t="s">
        <v>33</v>
      </c>
      <c r="I7670" t="s">
        <v>43</v>
      </c>
      <c r="J7670" t="s">
        <v>35</v>
      </c>
      <c r="K7670" t="s">
        <v>36</v>
      </c>
      <c r="L7670" t="s">
        <v>37</v>
      </c>
      <c r="M7670">
        <v>0</v>
      </c>
      <c r="N7670">
        <v>1</v>
      </c>
      <c r="O7670">
        <v>1394</v>
      </c>
      <c r="P7670">
        <v>1393</v>
      </c>
      <c r="Q7670">
        <f>32.5-13</f>
        <v>19.5</v>
      </c>
      <c r="R7670" t="s">
        <v>64</v>
      </c>
      <c r="AB7670" t="s">
        <v>1136</v>
      </c>
      <c r="AC7670" t="s">
        <v>87</v>
      </c>
      <c r="AD7670" t="s">
        <v>1234</v>
      </c>
    </row>
    <row r="7671" spans="1:30" x14ac:dyDescent="0.35">
      <c r="A7671" s="7">
        <v>43302</v>
      </c>
      <c r="B7671" t="s">
        <v>30</v>
      </c>
      <c r="C7671">
        <v>901</v>
      </c>
      <c r="D7671">
        <v>5</v>
      </c>
      <c r="E7671">
        <v>1</v>
      </c>
      <c r="F7671" t="s">
        <v>1139</v>
      </c>
      <c r="G7671" t="s">
        <v>32</v>
      </c>
      <c r="H7671" t="s">
        <v>33</v>
      </c>
      <c r="I7671" t="s">
        <v>43</v>
      </c>
      <c r="J7671" t="s">
        <v>44</v>
      </c>
      <c r="K7671" t="s">
        <v>36</v>
      </c>
      <c r="L7671" t="s">
        <v>37</v>
      </c>
      <c r="M7671">
        <v>0</v>
      </c>
      <c r="N7671">
        <v>0</v>
      </c>
      <c r="O7671">
        <v>1075</v>
      </c>
      <c r="P7671">
        <v>1074</v>
      </c>
      <c r="Q7671">
        <f>31-13</f>
        <v>18</v>
      </c>
      <c r="R7671" t="s">
        <v>38</v>
      </c>
      <c r="AB7671" t="s">
        <v>1136</v>
      </c>
      <c r="AC7671" t="s">
        <v>87</v>
      </c>
      <c r="AD7671" t="s">
        <v>1235</v>
      </c>
    </row>
    <row r="7672" spans="1:30" x14ac:dyDescent="0.35">
      <c r="A7672" s="7">
        <v>43302</v>
      </c>
      <c r="B7672" t="s">
        <v>30</v>
      </c>
      <c r="C7672">
        <v>901</v>
      </c>
      <c r="D7672">
        <v>6</v>
      </c>
      <c r="E7672">
        <v>1</v>
      </c>
      <c r="F7672" t="s">
        <v>1139</v>
      </c>
      <c r="G7672" t="s">
        <v>32</v>
      </c>
      <c r="H7672" t="s">
        <v>33</v>
      </c>
      <c r="I7672" t="s">
        <v>43</v>
      </c>
      <c r="J7672" t="s">
        <v>44</v>
      </c>
      <c r="K7672" t="s">
        <v>36</v>
      </c>
      <c r="L7672" t="s">
        <v>45</v>
      </c>
      <c r="M7672">
        <v>0</v>
      </c>
      <c r="N7672">
        <v>0</v>
      </c>
      <c r="O7672">
        <v>1212</v>
      </c>
      <c r="P7672">
        <v>1211</v>
      </c>
      <c r="Q7672">
        <f>31-13.5</f>
        <v>17.5</v>
      </c>
      <c r="R7672" t="s">
        <v>1021</v>
      </c>
      <c r="S7672" t="s">
        <v>102</v>
      </c>
      <c r="AB7672" t="s">
        <v>1136</v>
      </c>
      <c r="AC7672" t="s">
        <v>87</v>
      </c>
    </row>
    <row r="7673" spans="1:30" x14ac:dyDescent="0.35">
      <c r="A7673" s="7">
        <v>43302</v>
      </c>
      <c r="B7673" t="s">
        <v>30</v>
      </c>
      <c r="C7673">
        <v>801</v>
      </c>
      <c r="D7673">
        <v>2</v>
      </c>
      <c r="E7673">
        <v>1</v>
      </c>
      <c r="F7673" t="s">
        <v>1139</v>
      </c>
      <c r="G7673" t="s">
        <v>32</v>
      </c>
      <c r="H7673" t="s">
        <v>33</v>
      </c>
      <c r="I7673" t="s">
        <v>34</v>
      </c>
      <c r="J7673" t="s">
        <v>44</v>
      </c>
      <c r="K7673" t="s">
        <v>36</v>
      </c>
      <c r="L7673" t="s">
        <v>37</v>
      </c>
      <c r="M7673">
        <v>0</v>
      </c>
      <c r="N7673">
        <v>0</v>
      </c>
      <c r="O7673">
        <v>1044</v>
      </c>
      <c r="Q7673">
        <f>95-10</f>
        <v>85</v>
      </c>
      <c r="R7673" t="s">
        <v>38</v>
      </c>
      <c r="AB7673" t="s">
        <v>1136</v>
      </c>
      <c r="AC7673" t="s">
        <v>87</v>
      </c>
      <c r="AD7673" t="s">
        <v>1236</v>
      </c>
    </row>
    <row r="7674" spans="1:30" x14ac:dyDescent="0.35">
      <c r="A7674" s="7">
        <v>43302</v>
      </c>
      <c r="B7674" t="s">
        <v>30</v>
      </c>
      <c r="C7674">
        <v>801</v>
      </c>
      <c r="D7674">
        <v>5</v>
      </c>
      <c r="E7674">
        <v>1</v>
      </c>
      <c r="F7674" t="s">
        <v>1139</v>
      </c>
      <c r="G7674" t="s">
        <v>32</v>
      </c>
      <c r="H7674" t="s">
        <v>33</v>
      </c>
      <c r="I7674" t="s">
        <v>34</v>
      </c>
      <c r="J7674" t="s">
        <v>35</v>
      </c>
      <c r="K7674" t="s">
        <v>36</v>
      </c>
      <c r="L7674" t="s">
        <v>45</v>
      </c>
      <c r="M7674">
        <v>0</v>
      </c>
      <c r="N7674">
        <v>1</v>
      </c>
      <c r="O7674">
        <v>1383</v>
      </c>
      <c r="Q7674">
        <f>170-85</f>
        <v>85</v>
      </c>
      <c r="R7674" t="s">
        <v>46</v>
      </c>
      <c r="AB7674" t="s">
        <v>1136</v>
      </c>
      <c r="AC7674" t="s">
        <v>87</v>
      </c>
    </row>
    <row r="7675" spans="1:30" x14ac:dyDescent="0.35">
      <c r="A7675" s="7">
        <v>43302</v>
      </c>
      <c r="B7675" t="s">
        <v>30</v>
      </c>
      <c r="C7675">
        <v>801</v>
      </c>
      <c r="D7675">
        <v>9</v>
      </c>
      <c r="E7675">
        <v>1</v>
      </c>
      <c r="F7675" t="s">
        <v>1139</v>
      </c>
      <c r="G7675" t="s">
        <v>32</v>
      </c>
      <c r="H7675" t="s">
        <v>33</v>
      </c>
      <c r="I7675" t="s">
        <v>34</v>
      </c>
      <c r="J7675" t="s">
        <v>44</v>
      </c>
      <c r="K7675" t="s">
        <v>36</v>
      </c>
      <c r="L7675" t="s">
        <v>45</v>
      </c>
      <c r="M7675">
        <v>0</v>
      </c>
      <c r="N7675">
        <v>0</v>
      </c>
      <c r="O7675">
        <v>1097</v>
      </c>
      <c r="Q7675">
        <f>180-90</f>
        <v>90</v>
      </c>
      <c r="R7675" t="s">
        <v>46</v>
      </c>
      <c r="S7675" t="s">
        <v>39</v>
      </c>
      <c r="AB7675" t="s">
        <v>1136</v>
      </c>
      <c r="AC7675" t="s">
        <v>87</v>
      </c>
    </row>
    <row r="7676" spans="1:30" x14ac:dyDescent="0.35">
      <c r="A7676" s="7">
        <v>43302</v>
      </c>
      <c r="B7676" t="s">
        <v>30</v>
      </c>
      <c r="C7676">
        <v>701</v>
      </c>
      <c r="D7676">
        <v>7</v>
      </c>
      <c r="E7676">
        <v>1</v>
      </c>
      <c r="F7676" t="s">
        <v>1139</v>
      </c>
      <c r="G7676" t="s">
        <v>32</v>
      </c>
      <c r="H7676" t="s">
        <v>33</v>
      </c>
      <c r="I7676" t="s">
        <v>58</v>
      </c>
      <c r="J7676" t="s">
        <v>44</v>
      </c>
      <c r="K7676" t="s">
        <v>36</v>
      </c>
      <c r="L7676" t="s">
        <v>45</v>
      </c>
      <c r="M7676">
        <v>0</v>
      </c>
      <c r="N7676">
        <v>0</v>
      </c>
      <c r="O7676">
        <v>1271</v>
      </c>
      <c r="Q7676">
        <f>31-11</f>
        <v>20</v>
      </c>
      <c r="R7676" t="s">
        <v>46</v>
      </c>
      <c r="S7676" t="s">
        <v>39</v>
      </c>
      <c r="AB7676" t="s">
        <v>1136</v>
      </c>
      <c r="AC7676" t="s">
        <v>87</v>
      </c>
      <c r="AD7676" t="s">
        <v>1237</v>
      </c>
    </row>
    <row r="7677" spans="1:30" x14ac:dyDescent="0.35">
      <c r="A7677" s="7">
        <v>43302</v>
      </c>
      <c r="B7677" t="s">
        <v>30</v>
      </c>
      <c r="C7677">
        <v>901</v>
      </c>
      <c r="D7677">
        <v>10</v>
      </c>
      <c r="E7677">
        <v>1</v>
      </c>
      <c r="F7677" t="s">
        <v>1139</v>
      </c>
      <c r="G7677" t="s">
        <v>32</v>
      </c>
      <c r="H7677" t="s">
        <v>33</v>
      </c>
      <c r="I7677" t="s">
        <v>65</v>
      </c>
      <c r="J7677" t="s">
        <v>44</v>
      </c>
      <c r="K7677" t="s">
        <v>36</v>
      </c>
      <c r="L7677" t="s">
        <v>37</v>
      </c>
      <c r="M7677">
        <v>0</v>
      </c>
      <c r="N7677">
        <v>0</v>
      </c>
      <c r="O7677">
        <v>1210</v>
      </c>
      <c r="Q7677">
        <f>215-85</f>
        <v>130</v>
      </c>
      <c r="R7677" t="s">
        <v>38</v>
      </c>
      <c r="AB7677" t="s">
        <v>1136</v>
      </c>
      <c r="AC7677" t="s">
        <v>87</v>
      </c>
    </row>
    <row r="7678" spans="1:30" x14ac:dyDescent="0.35">
      <c r="A7678" s="7">
        <v>43302</v>
      </c>
      <c r="B7678" t="s">
        <v>30</v>
      </c>
      <c r="C7678">
        <v>703</v>
      </c>
      <c r="D7678">
        <v>1</v>
      </c>
      <c r="E7678">
        <v>1</v>
      </c>
      <c r="F7678" t="s">
        <v>1139</v>
      </c>
      <c r="G7678" t="s">
        <v>32</v>
      </c>
      <c r="H7678" t="s">
        <v>33</v>
      </c>
      <c r="I7678" t="s">
        <v>72</v>
      </c>
      <c r="J7678" t="s">
        <v>56</v>
      </c>
      <c r="AB7678" t="s">
        <v>1136</v>
      </c>
      <c r="AC7678" t="s">
        <v>87</v>
      </c>
    </row>
    <row r="7679" spans="1:30" x14ac:dyDescent="0.35">
      <c r="A7679" s="7">
        <v>43302</v>
      </c>
      <c r="B7679" t="s">
        <v>30</v>
      </c>
      <c r="C7679">
        <v>803</v>
      </c>
      <c r="D7679">
        <v>2</v>
      </c>
      <c r="E7679">
        <v>2</v>
      </c>
      <c r="F7679" t="s">
        <v>1139</v>
      </c>
      <c r="G7679" t="s">
        <v>32</v>
      </c>
      <c r="H7679" t="s">
        <v>33</v>
      </c>
      <c r="I7679" t="s">
        <v>72</v>
      </c>
      <c r="J7679" t="s">
        <v>56</v>
      </c>
      <c r="AB7679" t="s">
        <v>1136</v>
      </c>
      <c r="AC7679" t="s">
        <v>87</v>
      </c>
    </row>
    <row r="7680" spans="1:30" x14ac:dyDescent="0.35">
      <c r="A7680" s="7">
        <v>43302</v>
      </c>
      <c r="B7680" t="s">
        <v>30</v>
      </c>
      <c r="C7680">
        <v>803</v>
      </c>
      <c r="D7680">
        <v>6</v>
      </c>
      <c r="E7680">
        <v>2</v>
      </c>
      <c r="F7680" t="s">
        <v>1139</v>
      </c>
      <c r="G7680" t="s">
        <v>32</v>
      </c>
      <c r="H7680" t="s">
        <v>33</v>
      </c>
      <c r="I7680" t="s">
        <v>72</v>
      </c>
      <c r="J7680" t="s">
        <v>56</v>
      </c>
      <c r="AB7680" t="s">
        <v>1136</v>
      </c>
      <c r="AC7680" t="s">
        <v>87</v>
      </c>
    </row>
    <row r="7681" spans="1:29" x14ac:dyDescent="0.35">
      <c r="A7681" s="7">
        <v>43302</v>
      </c>
      <c r="B7681" t="s">
        <v>30</v>
      </c>
      <c r="C7681">
        <v>701</v>
      </c>
      <c r="D7681">
        <v>2</v>
      </c>
      <c r="E7681">
        <v>2</v>
      </c>
      <c r="F7681" t="s">
        <v>1139</v>
      </c>
      <c r="G7681" t="s">
        <v>32</v>
      </c>
      <c r="H7681" t="s">
        <v>33</v>
      </c>
      <c r="I7681" t="s">
        <v>59</v>
      </c>
      <c r="AB7681" t="s">
        <v>1136</v>
      </c>
      <c r="AC7681" t="s">
        <v>87</v>
      </c>
    </row>
    <row r="7682" spans="1:29" x14ac:dyDescent="0.35">
      <c r="A7682" s="7">
        <v>43302</v>
      </c>
      <c r="B7682" t="s">
        <v>30</v>
      </c>
      <c r="C7682">
        <v>701</v>
      </c>
      <c r="D7682">
        <v>3</v>
      </c>
      <c r="E7682">
        <v>1</v>
      </c>
      <c r="F7682" t="s">
        <v>1139</v>
      </c>
      <c r="G7682" t="s">
        <v>32</v>
      </c>
      <c r="H7682" t="s">
        <v>33</v>
      </c>
      <c r="I7682" t="s">
        <v>59</v>
      </c>
      <c r="AB7682" t="s">
        <v>1136</v>
      </c>
      <c r="AC7682" t="s">
        <v>87</v>
      </c>
    </row>
    <row r="7683" spans="1:29" x14ac:dyDescent="0.35">
      <c r="A7683" s="7">
        <v>43302</v>
      </c>
      <c r="B7683" t="s">
        <v>30</v>
      </c>
      <c r="C7683">
        <v>701</v>
      </c>
      <c r="D7683">
        <v>4</v>
      </c>
      <c r="E7683">
        <v>1</v>
      </c>
      <c r="F7683" t="s">
        <v>1139</v>
      </c>
      <c r="G7683" t="s">
        <v>32</v>
      </c>
      <c r="H7683" t="s">
        <v>33</v>
      </c>
      <c r="I7683" t="s">
        <v>59</v>
      </c>
      <c r="AB7683" t="s">
        <v>1136</v>
      </c>
      <c r="AC7683" t="s">
        <v>87</v>
      </c>
    </row>
    <row r="7684" spans="1:29" x14ac:dyDescent="0.35">
      <c r="A7684" s="7">
        <v>43302</v>
      </c>
      <c r="B7684" t="s">
        <v>30</v>
      </c>
      <c r="C7684">
        <v>701</v>
      </c>
      <c r="D7684">
        <v>4</v>
      </c>
      <c r="E7684">
        <v>2</v>
      </c>
      <c r="F7684" t="s">
        <v>1139</v>
      </c>
      <c r="G7684" t="s">
        <v>32</v>
      </c>
      <c r="H7684" t="s">
        <v>33</v>
      </c>
      <c r="I7684" t="s">
        <v>59</v>
      </c>
      <c r="AB7684" t="s">
        <v>1136</v>
      </c>
      <c r="AC7684" t="s">
        <v>87</v>
      </c>
    </row>
    <row r="7685" spans="1:29" x14ac:dyDescent="0.35">
      <c r="A7685" s="7">
        <v>43302</v>
      </c>
      <c r="B7685" t="s">
        <v>30</v>
      </c>
      <c r="C7685">
        <v>701</v>
      </c>
      <c r="D7685">
        <v>6</v>
      </c>
      <c r="E7685">
        <v>2</v>
      </c>
      <c r="F7685" t="s">
        <v>1139</v>
      </c>
      <c r="G7685" t="s">
        <v>32</v>
      </c>
      <c r="H7685" t="s">
        <v>33</v>
      </c>
      <c r="I7685" t="s">
        <v>59</v>
      </c>
      <c r="AB7685" t="s">
        <v>1136</v>
      </c>
      <c r="AC7685" t="s">
        <v>87</v>
      </c>
    </row>
    <row r="7686" spans="1:29" x14ac:dyDescent="0.35">
      <c r="A7686" s="7">
        <v>43302</v>
      </c>
      <c r="B7686" t="s">
        <v>30</v>
      </c>
      <c r="C7686">
        <v>701</v>
      </c>
      <c r="D7686">
        <v>7</v>
      </c>
      <c r="E7686">
        <v>2</v>
      </c>
      <c r="F7686" t="s">
        <v>1139</v>
      </c>
      <c r="G7686" t="s">
        <v>32</v>
      </c>
      <c r="H7686" t="s">
        <v>33</v>
      </c>
      <c r="I7686" t="s">
        <v>59</v>
      </c>
      <c r="AB7686" t="s">
        <v>1136</v>
      </c>
      <c r="AC7686" t="s">
        <v>87</v>
      </c>
    </row>
    <row r="7687" spans="1:29" x14ac:dyDescent="0.35">
      <c r="A7687" s="7">
        <v>43302</v>
      </c>
      <c r="B7687" t="s">
        <v>30</v>
      </c>
      <c r="C7687">
        <v>701</v>
      </c>
      <c r="D7687">
        <v>8</v>
      </c>
      <c r="E7687">
        <v>1</v>
      </c>
      <c r="F7687" t="s">
        <v>1139</v>
      </c>
      <c r="G7687" t="s">
        <v>32</v>
      </c>
      <c r="H7687" t="s">
        <v>33</v>
      </c>
      <c r="I7687" t="s">
        <v>59</v>
      </c>
      <c r="AB7687" t="s">
        <v>1136</v>
      </c>
      <c r="AC7687" t="s">
        <v>87</v>
      </c>
    </row>
    <row r="7688" spans="1:29" x14ac:dyDescent="0.35">
      <c r="A7688" s="7">
        <v>43302</v>
      </c>
      <c r="B7688" t="s">
        <v>30</v>
      </c>
      <c r="C7688">
        <v>701</v>
      </c>
      <c r="D7688">
        <v>8</v>
      </c>
      <c r="E7688">
        <v>2</v>
      </c>
      <c r="F7688" t="s">
        <v>1139</v>
      </c>
      <c r="G7688" t="s">
        <v>32</v>
      </c>
      <c r="H7688" t="s">
        <v>33</v>
      </c>
      <c r="I7688" t="s">
        <v>59</v>
      </c>
      <c r="AB7688" t="s">
        <v>1136</v>
      </c>
      <c r="AC7688" t="s">
        <v>87</v>
      </c>
    </row>
    <row r="7689" spans="1:29" x14ac:dyDescent="0.35">
      <c r="A7689" s="7">
        <v>43302</v>
      </c>
      <c r="B7689" t="s">
        <v>30</v>
      </c>
      <c r="C7689">
        <v>703</v>
      </c>
      <c r="D7689">
        <v>3</v>
      </c>
      <c r="E7689">
        <v>2</v>
      </c>
      <c r="F7689" t="s">
        <v>1139</v>
      </c>
      <c r="G7689" t="s">
        <v>32</v>
      </c>
      <c r="H7689" t="s">
        <v>33</v>
      </c>
      <c r="I7689" t="s">
        <v>59</v>
      </c>
      <c r="AB7689" t="s">
        <v>1136</v>
      </c>
      <c r="AC7689" t="s">
        <v>87</v>
      </c>
    </row>
    <row r="7690" spans="1:29" x14ac:dyDescent="0.35">
      <c r="A7690" s="7">
        <v>43302</v>
      </c>
      <c r="B7690" t="s">
        <v>30</v>
      </c>
      <c r="C7690">
        <v>703</v>
      </c>
      <c r="D7690">
        <v>4</v>
      </c>
      <c r="E7690">
        <v>2</v>
      </c>
      <c r="F7690" t="s">
        <v>1139</v>
      </c>
      <c r="G7690" t="s">
        <v>32</v>
      </c>
      <c r="H7690" t="s">
        <v>33</v>
      </c>
      <c r="I7690" t="s">
        <v>59</v>
      </c>
      <c r="AB7690" t="s">
        <v>1136</v>
      </c>
      <c r="AC7690" t="s">
        <v>87</v>
      </c>
    </row>
    <row r="7691" spans="1:29" x14ac:dyDescent="0.35">
      <c r="A7691" s="7">
        <v>43302</v>
      </c>
      <c r="B7691" t="s">
        <v>30</v>
      </c>
      <c r="C7691">
        <v>703</v>
      </c>
      <c r="D7691">
        <v>7</v>
      </c>
      <c r="E7691">
        <v>1</v>
      </c>
      <c r="F7691" t="s">
        <v>1139</v>
      </c>
      <c r="G7691" t="s">
        <v>32</v>
      </c>
      <c r="H7691" t="s">
        <v>33</v>
      </c>
      <c r="I7691" t="s">
        <v>59</v>
      </c>
      <c r="AB7691" t="s">
        <v>1136</v>
      </c>
      <c r="AC7691" t="s">
        <v>87</v>
      </c>
    </row>
    <row r="7692" spans="1:29" x14ac:dyDescent="0.35">
      <c r="A7692" s="7">
        <v>43302</v>
      </c>
      <c r="B7692" t="s">
        <v>30</v>
      </c>
      <c r="C7692">
        <v>703</v>
      </c>
      <c r="D7692">
        <v>7</v>
      </c>
      <c r="E7692">
        <v>2</v>
      </c>
      <c r="F7692" t="s">
        <v>1139</v>
      </c>
      <c r="G7692" t="s">
        <v>32</v>
      </c>
      <c r="H7692" t="s">
        <v>33</v>
      </c>
      <c r="I7692" t="s">
        <v>59</v>
      </c>
      <c r="AB7692" t="s">
        <v>1136</v>
      </c>
      <c r="AC7692" t="s">
        <v>87</v>
      </c>
    </row>
    <row r="7693" spans="1:29" x14ac:dyDescent="0.35">
      <c r="A7693" s="7">
        <v>43302</v>
      </c>
      <c r="B7693" t="s">
        <v>30</v>
      </c>
      <c r="C7693">
        <v>703</v>
      </c>
      <c r="D7693">
        <v>10</v>
      </c>
      <c r="E7693">
        <v>1</v>
      </c>
      <c r="F7693" t="s">
        <v>1139</v>
      </c>
      <c r="G7693" t="s">
        <v>32</v>
      </c>
      <c r="H7693" t="s">
        <v>33</v>
      </c>
      <c r="I7693" t="s">
        <v>59</v>
      </c>
      <c r="AB7693" t="s">
        <v>1136</v>
      </c>
      <c r="AC7693" t="s">
        <v>87</v>
      </c>
    </row>
    <row r="7694" spans="1:29" x14ac:dyDescent="0.35">
      <c r="A7694" s="7">
        <v>43302</v>
      </c>
      <c r="B7694" t="s">
        <v>30</v>
      </c>
      <c r="C7694">
        <v>801</v>
      </c>
      <c r="D7694">
        <v>3</v>
      </c>
      <c r="E7694">
        <v>1</v>
      </c>
      <c r="F7694" t="s">
        <v>1139</v>
      </c>
      <c r="G7694" t="s">
        <v>32</v>
      </c>
      <c r="H7694" t="s">
        <v>33</v>
      </c>
      <c r="I7694" t="s">
        <v>59</v>
      </c>
      <c r="AB7694" t="s">
        <v>1136</v>
      </c>
      <c r="AC7694" t="s">
        <v>87</v>
      </c>
    </row>
    <row r="7695" spans="1:29" x14ac:dyDescent="0.35">
      <c r="A7695" s="7">
        <v>43302</v>
      </c>
      <c r="B7695" t="s">
        <v>30</v>
      </c>
      <c r="C7695">
        <v>801</v>
      </c>
      <c r="D7695">
        <v>10</v>
      </c>
      <c r="E7695">
        <v>1</v>
      </c>
      <c r="F7695" t="s">
        <v>1139</v>
      </c>
      <c r="G7695" t="s">
        <v>32</v>
      </c>
      <c r="H7695" t="s">
        <v>33</v>
      </c>
      <c r="I7695" t="s">
        <v>59</v>
      </c>
      <c r="AB7695" t="s">
        <v>1136</v>
      </c>
      <c r="AC7695" t="s">
        <v>87</v>
      </c>
    </row>
    <row r="7696" spans="1:29" x14ac:dyDescent="0.35">
      <c r="A7696" s="7">
        <v>43302</v>
      </c>
      <c r="B7696" t="s">
        <v>30</v>
      </c>
      <c r="C7696">
        <v>803</v>
      </c>
      <c r="D7696">
        <v>5</v>
      </c>
      <c r="E7696">
        <v>1</v>
      </c>
      <c r="F7696" t="s">
        <v>1139</v>
      </c>
      <c r="G7696" t="s">
        <v>32</v>
      </c>
      <c r="H7696" t="s">
        <v>33</v>
      </c>
      <c r="I7696" t="s">
        <v>59</v>
      </c>
      <c r="AB7696" t="s">
        <v>1136</v>
      </c>
      <c r="AC7696" t="s">
        <v>87</v>
      </c>
    </row>
    <row r="7697" spans="1:30" x14ac:dyDescent="0.35">
      <c r="A7697" s="7">
        <v>43302</v>
      </c>
      <c r="B7697" t="s">
        <v>30</v>
      </c>
      <c r="C7697">
        <v>901</v>
      </c>
      <c r="D7697">
        <v>3</v>
      </c>
      <c r="E7697">
        <v>1</v>
      </c>
      <c r="F7697" t="s">
        <v>1139</v>
      </c>
      <c r="G7697" t="s">
        <v>32</v>
      </c>
      <c r="H7697" t="s">
        <v>33</v>
      </c>
      <c r="I7697" t="s">
        <v>59</v>
      </c>
      <c r="AB7697" t="s">
        <v>1136</v>
      </c>
      <c r="AC7697" t="s">
        <v>87</v>
      </c>
    </row>
    <row r="7698" spans="1:30" x14ac:dyDescent="0.35">
      <c r="A7698" s="7">
        <v>43302</v>
      </c>
      <c r="B7698" t="s">
        <v>30</v>
      </c>
      <c r="C7698">
        <v>901</v>
      </c>
      <c r="D7698">
        <v>8</v>
      </c>
      <c r="E7698">
        <v>1</v>
      </c>
      <c r="F7698" t="s">
        <v>1139</v>
      </c>
      <c r="G7698" t="s">
        <v>32</v>
      </c>
      <c r="H7698" t="s">
        <v>33</v>
      </c>
      <c r="I7698" t="s">
        <v>59</v>
      </c>
      <c r="AB7698" t="s">
        <v>1136</v>
      </c>
      <c r="AC7698" t="s">
        <v>87</v>
      </c>
    </row>
    <row r="7699" spans="1:30" x14ac:dyDescent="0.35">
      <c r="A7699" s="7">
        <v>43302</v>
      </c>
      <c r="B7699" t="s">
        <v>30</v>
      </c>
      <c r="C7699">
        <v>701</v>
      </c>
      <c r="D7699">
        <v>6</v>
      </c>
      <c r="E7699">
        <v>1</v>
      </c>
      <c r="F7699" t="s">
        <v>1139</v>
      </c>
      <c r="G7699" t="s">
        <v>32</v>
      </c>
      <c r="H7699" t="s">
        <v>33</v>
      </c>
      <c r="I7699" t="s">
        <v>94</v>
      </c>
      <c r="J7699" t="s">
        <v>44</v>
      </c>
      <c r="K7699" t="s">
        <v>36</v>
      </c>
      <c r="L7699" t="s">
        <v>45</v>
      </c>
      <c r="M7699">
        <v>0</v>
      </c>
      <c r="N7699">
        <v>0</v>
      </c>
      <c r="O7699">
        <v>1013</v>
      </c>
      <c r="Q7699">
        <f>31-11.5</f>
        <v>19.5</v>
      </c>
      <c r="R7699" t="s">
        <v>1021</v>
      </c>
      <c r="S7699" t="s">
        <v>102</v>
      </c>
      <c r="AB7699" t="s">
        <v>1136</v>
      </c>
      <c r="AC7699" t="s">
        <v>87</v>
      </c>
    </row>
    <row r="7700" spans="1:30" x14ac:dyDescent="0.35">
      <c r="A7700" s="7">
        <v>43302</v>
      </c>
      <c r="B7700" t="s">
        <v>30</v>
      </c>
      <c r="C7700">
        <v>701</v>
      </c>
      <c r="D7700">
        <v>10</v>
      </c>
      <c r="E7700">
        <v>1</v>
      </c>
      <c r="F7700" t="s">
        <v>1139</v>
      </c>
      <c r="G7700" t="s">
        <v>32</v>
      </c>
      <c r="H7700" t="s">
        <v>33</v>
      </c>
      <c r="I7700" t="s">
        <v>94</v>
      </c>
      <c r="J7700" t="s">
        <v>44</v>
      </c>
      <c r="K7700" t="s">
        <v>36</v>
      </c>
      <c r="L7700" t="s">
        <v>45</v>
      </c>
      <c r="M7700">
        <v>0</v>
      </c>
      <c r="N7700">
        <v>0</v>
      </c>
      <c r="O7700">
        <v>2946</v>
      </c>
      <c r="Q7700">
        <f>35-10</f>
        <v>25</v>
      </c>
      <c r="R7700" t="s">
        <v>1021</v>
      </c>
      <c r="S7700" t="s">
        <v>102</v>
      </c>
      <c r="AB7700" t="s">
        <v>1136</v>
      </c>
      <c r="AC7700" t="s">
        <v>87</v>
      </c>
    </row>
    <row r="7701" spans="1:30" x14ac:dyDescent="0.35">
      <c r="A7701" s="7">
        <v>43302</v>
      </c>
      <c r="B7701" t="s">
        <v>30</v>
      </c>
      <c r="C7701">
        <v>803</v>
      </c>
      <c r="D7701">
        <v>2</v>
      </c>
      <c r="E7701">
        <v>1</v>
      </c>
      <c r="F7701" t="s">
        <v>1139</v>
      </c>
      <c r="G7701" t="s">
        <v>32</v>
      </c>
      <c r="H7701" t="s">
        <v>33</v>
      </c>
      <c r="I7701" t="s">
        <v>94</v>
      </c>
      <c r="J7701" t="s">
        <v>44</v>
      </c>
      <c r="K7701" t="s">
        <v>36</v>
      </c>
      <c r="L7701" t="s">
        <v>45</v>
      </c>
      <c r="M7701">
        <v>0</v>
      </c>
      <c r="N7701">
        <v>0</v>
      </c>
      <c r="O7701">
        <v>1213</v>
      </c>
      <c r="Q7701">
        <f>43.5-13</f>
        <v>30.5</v>
      </c>
      <c r="R7701" t="s">
        <v>1021</v>
      </c>
      <c r="S7701" t="s">
        <v>102</v>
      </c>
      <c r="AB7701" t="s">
        <v>1136</v>
      </c>
      <c r="AC7701" t="s">
        <v>87</v>
      </c>
    </row>
    <row r="7702" spans="1:30" x14ac:dyDescent="0.35">
      <c r="A7702" s="7">
        <v>43302</v>
      </c>
      <c r="B7702" t="s">
        <v>30</v>
      </c>
      <c r="C7702">
        <v>803</v>
      </c>
      <c r="D7702">
        <v>7</v>
      </c>
      <c r="E7702">
        <v>1</v>
      </c>
      <c r="F7702" t="s">
        <v>1139</v>
      </c>
      <c r="G7702" t="s">
        <v>32</v>
      </c>
      <c r="H7702" t="s">
        <v>33</v>
      </c>
      <c r="I7702" t="s">
        <v>94</v>
      </c>
      <c r="J7702" t="s">
        <v>92</v>
      </c>
      <c r="K7702" t="s">
        <v>36</v>
      </c>
      <c r="AB7702" t="s">
        <v>1136</v>
      </c>
      <c r="AC7702" t="s">
        <v>87</v>
      </c>
    </row>
    <row r="7703" spans="1:30" x14ac:dyDescent="0.35">
      <c r="A7703" s="7">
        <v>43304</v>
      </c>
      <c r="B7703" t="s">
        <v>30</v>
      </c>
      <c r="C7703">
        <v>111</v>
      </c>
      <c r="D7703">
        <v>1</v>
      </c>
      <c r="E7703">
        <v>2</v>
      </c>
      <c r="F7703" t="s">
        <v>1139</v>
      </c>
      <c r="G7703" t="s">
        <v>32</v>
      </c>
      <c r="H7703" t="s">
        <v>33</v>
      </c>
      <c r="I7703" t="s">
        <v>43</v>
      </c>
      <c r="J7703" t="s">
        <v>44</v>
      </c>
      <c r="K7703" t="s">
        <v>36</v>
      </c>
      <c r="L7703" t="s">
        <v>45</v>
      </c>
      <c r="M7703">
        <v>0</v>
      </c>
      <c r="N7703">
        <v>0</v>
      </c>
      <c r="O7703">
        <v>1038</v>
      </c>
      <c r="P7703">
        <v>1037</v>
      </c>
      <c r="Q7703">
        <f>29-9</f>
        <v>20</v>
      </c>
      <c r="R7703" t="s">
        <v>46</v>
      </c>
      <c r="S7703" t="s">
        <v>39</v>
      </c>
      <c r="AB7703" t="s">
        <v>742</v>
      </c>
      <c r="AC7703" t="s">
        <v>87</v>
      </c>
    </row>
    <row r="7704" spans="1:30" x14ac:dyDescent="0.35">
      <c r="A7704" s="7">
        <v>43304</v>
      </c>
      <c r="B7704" t="s">
        <v>30</v>
      </c>
      <c r="C7704">
        <v>111</v>
      </c>
      <c r="D7704">
        <v>3</v>
      </c>
      <c r="E7704">
        <v>1</v>
      </c>
      <c r="F7704" t="s">
        <v>1139</v>
      </c>
      <c r="G7704" t="s">
        <v>32</v>
      </c>
      <c r="H7704" t="s">
        <v>33</v>
      </c>
      <c r="I7704" t="s">
        <v>43</v>
      </c>
      <c r="J7704" t="s">
        <v>44</v>
      </c>
      <c r="K7704" t="s">
        <v>88</v>
      </c>
      <c r="L7704" t="s">
        <v>45</v>
      </c>
      <c r="M7704">
        <v>0</v>
      </c>
      <c r="N7704">
        <v>0</v>
      </c>
      <c r="O7704">
        <v>1124</v>
      </c>
      <c r="P7704">
        <v>1123</v>
      </c>
      <c r="Q7704">
        <f>25-10.5</f>
        <v>14.5</v>
      </c>
      <c r="R7704" t="s">
        <v>46</v>
      </c>
      <c r="S7704" t="s">
        <v>39</v>
      </c>
      <c r="AB7704" t="s">
        <v>742</v>
      </c>
      <c r="AC7704" t="s">
        <v>87</v>
      </c>
    </row>
    <row r="7705" spans="1:30" x14ac:dyDescent="0.35">
      <c r="A7705" s="7">
        <v>43304</v>
      </c>
      <c r="B7705" t="s">
        <v>30</v>
      </c>
      <c r="C7705">
        <v>111</v>
      </c>
      <c r="D7705">
        <v>4</v>
      </c>
      <c r="E7705">
        <v>1</v>
      </c>
      <c r="F7705" t="s">
        <v>1139</v>
      </c>
      <c r="G7705" t="s">
        <v>32</v>
      </c>
      <c r="H7705" t="s">
        <v>33</v>
      </c>
      <c r="I7705" t="s">
        <v>43</v>
      </c>
      <c r="J7705" t="s">
        <v>44</v>
      </c>
      <c r="K7705" t="s">
        <v>88</v>
      </c>
      <c r="L7705" t="s">
        <v>37</v>
      </c>
      <c r="M7705">
        <v>0</v>
      </c>
      <c r="N7705">
        <v>0</v>
      </c>
      <c r="O7705">
        <v>1314</v>
      </c>
      <c r="P7705">
        <v>1313</v>
      </c>
      <c r="Q7705">
        <f>26-11</f>
        <v>15</v>
      </c>
      <c r="R7705" t="s">
        <v>64</v>
      </c>
      <c r="AB7705" t="s">
        <v>742</v>
      </c>
      <c r="AC7705" t="s">
        <v>87</v>
      </c>
    </row>
    <row r="7706" spans="1:30" x14ac:dyDescent="0.35">
      <c r="A7706" s="7">
        <v>43304</v>
      </c>
      <c r="B7706" t="s">
        <v>30</v>
      </c>
      <c r="C7706">
        <v>111</v>
      </c>
      <c r="D7706">
        <v>4</v>
      </c>
      <c r="E7706">
        <v>2</v>
      </c>
      <c r="F7706" t="s">
        <v>1139</v>
      </c>
      <c r="G7706" t="s">
        <v>32</v>
      </c>
      <c r="H7706" t="s">
        <v>33</v>
      </c>
      <c r="I7706" t="s">
        <v>43</v>
      </c>
      <c r="J7706" t="s">
        <v>44</v>
      </c>
      <c r="K7706" t="s">
        <v>36</v>
      </c>
      <c r="L7706" t="s">
        <v>45</v>
      </c>
      <c r="M7706">
        <v>0</v>
      </c>
      <c r="N7706">
        <v>0</v>
      </c>
      <c r="O7706">
        <v>2463</v>
      </c>
      <c r="P7706">
        <v>2462</v>
      </c>
      <c r="Q7706">
        <f>31.5-11</f>
        <v>20.5</v>
      </c>
      <c r="R7706" t="s">
        <v>1021</v>
      </c>
      <c r="S7706" t="s">
        <v>102</v>
      </c>
      <c r="AB7706" t="s">
        <v>742</v>
      </c>
      <c r="AC7706" t="s">
        <v>87</v>
      </c>
    </row>
    <row r="7707" spans="1:30" x14ac:dyDescent="0.35">
      <c r="A7707" s="7">
        <v>43304</v>
      </c>
      <c r="B7707" t="s">
        <v>30</v>
      </c>
      <c r="C7707">
        <v>111</v>
      </c>
      <c r="D7707">
        <v>6</v>
      </c>
      <c r="E7707">
        <v>1</v>
      </c>
      <c r="F7707" t="s">
        <v>1139</v>
      </c>
      <c r="G7707" t="s">
        <v>32</v>
      </c>
      <c r="H7707" t="s">
        <v>33</v>
      </c>
      <c r="I7707" t="s">
        <v>43</v>
      </c>
      <c r="J7707" t="s">
        <v>44</v>
      </c>
      <c r="K7707" t="s">
        <v>88</v>
      </c>
      <c r="L7707" t="s">
        <v>37</v>
      </c>
      <c r="M7707">
        <v>0</v>
      </c>
      <c r="N7707">
        <v>0</v>
      </c>
      <c r="O7707">
        <v>1315</v>
      </c>
      <c r="P7707">
        <v>1316</v>
      </c>
      <c r="Q7707">
        <f>23-9.5</f>
        <v>13.5</v>
      </c>
      <c r="R7707" t="s">
        <v>64</v>
      </c>
      <c r="AB7707" t="s">
        <v>742</v>
      </c>
      <c r="AC7707" t="s">
        <v>87</v>
      </c>
    </row>
    <row r="7708" spans="1:30" x14ac:dyDescent="0.35">
      <c r="A7708" s="7">
        <v>43304</v>
      </c>
      <c r="B7708" t="s">
        <v>30</v>
      </c>
      <c r="C7708">
        <v>111</v>
      </c>
      <c r="D7708">
        <v>7</v>
      </c>
      <c r="E7708">
        <v>2</v>
      </c>
      <c r="F7708" t="s">
        <v>1139</v>
      </c>
      <c r="G7708" t="s">
        <v>32</v>
      </c>
      <c r="H7708" t="s">
        <v>33</v>
      </c>
      <c r="I7708" t="s">
        <v>43</v>
      </c>
      <c r="J7708" t="s">
        <v>44</v>
      </c>
      <c r="K7708" t="s">
        <v>113</v>
      </c>
      <c r="L7708" t="s">
        <v>45</v>
      </c>
      <c r="M7708">
        <v>0</v>
      </c>
      <c r="N7708">
        <v>0</v>
      </c>
      <c r="O7708">
        <v>1063</v>
      </c>
      <c r="P7708">
        <v>1062</v>
      </c>
      <c r="Q7708">
        <f>25-10</f>
        <v>15</v>
      </c>
      <c r="R7708" t="s">
        <v>1021</v>
      </c>
      <c r="S7708" t="s">
        <v>102</v>
      </c>
      <c r="AB7708" t="s">
        <v>742</v>
      </c>
      <c r="AC7708" t="s">
        <v>87</v>
      </c>
    </row>
    <row r="7709" spans="1:30" x14ac:dyDescent="0.35">
      <c r="A7709" s="7">
        <v>43304</v>
      </c>
      <c r="B7709" t="s">
        <v>30</v>
      </c>
      <c r="C7709">
        <v>111</v>
      </c>
      <c r="D7709">
        <v>9</v>
      </c>
      <c r="E7709">
        <v>2</v>
      </c>
      <c r="F7709" t="s">
        <v>1139</v>
      </c>
      <c r="G7709" t="s">
        <v>32</v>
      </c>
      <c r="H7709" t="s">
        <v>33</v>
      </c>
      <c r="I7709" t="s">
        <v>43</v>
      </c>
      <c r="J7709" t="s">
        <v>44</v>
      </c>
      <c r="K7709" t="s">
        <v>36</v>
      </c>
      <c r="L7709" t="s">
        <v>45</v>
      </c>
      <c r="M7709">
        <v>0</v>
      </c>
      <c r="N7709">
        <v>0</v>
      </c>
      <c r="O7709">
        <v>2406</v>
      </c>
      <c r="P7709">
        <v>2405</v>
      </c>
      <c r="Q7709">
        <f>29-9.5</f>
        <v>19.5</v>
      </c>
      <c r="R7709" t="s">
        <v>77</v>
      </c>
      <c r="S7709" t="s">
        <v>39</v>
      </c>
      <c r="AB7709" t="s">
        <v>742</v>
      </c>
      <c r="AC7709" t="s">
        <v>87</v>
      </c>
    </row>
    <row r="7710" spans="1:30" x14ac:dyDescent="0.35">
      <c r="A7710" s="7">
        <v>43304</v>
      </c>
      <c r="B7710" t="s">
        <v>30</v>
      </c>
      <c r="C7710">
        <v>111</v>
      </c>
      <c r="D7710">
        <v>10</v>
      </c>
      <c r="E7710">
        <v>2</v>
      </c>
      <c r="F7710" t="s">
        <v>1139</v>
      </c>
      <c r="G7710" t="s">
        <v>32</v>
      </c>
      <c r="H7710" t="s">
        <v>33</v>
      </c>
      <c r="I7710" t="s">
        <v>43</v>
      </c>
      <c r="J7710" t="s">
        <v>44</v>
      </c>
      <c r="K7710" t="s">
        <v>36</v>
      </c>
      <c r="L7710" t="s">
        <v>37</v>
      </c>
      <c r="M7710">
        <v>1</v>
      </c>
      <c r="N7710">
        <v>1</v>
      </c>
      <c r="O7710">
        <v>2727</v>
      </c>
      <c r="P7710">
        <v>1392</v>
      </c>
      <c r="Q7710">
        <f>35-10</f>
        <v>25</v>
      </c>
      <c r="R7710" t="s">
        <v>38</v>
      </c>
      <c r="AB7710" t="s">
        <v>742</v>
      </c>
      <c r="AC7710" t="s">
        <v>87</v>
      </c>
      <c r="AD7710" t="s">
        <v>1238</v>
      </c>
    </row>
    <row r="7711" spans="1:30" x14ac:dyDescent="0.35">
      <c r="A7711" s="7">
        <v>43304</v>
      </c>
      <c r="B7711" t="s">
        <v>30</v>
      </c>
      <c r="C7711">
        <v>112</v>
      </c>
      <c r="D7711">
        <v>1</v>
      </c>
      <c r="E7711">
        <v>1</v>
      </c>
      <c r="F7711" t="s">
        <v>1139</v>
      </c>
      <c r="G7711" t="s">
        <v>32</v>
      </c>
      <c r="H7711" t="s">
        <v>33</v>
      </c>
      <c r="I7711" t="s">
        <v>43</v>
      </c>
      <c r="J7711" t="s">
        <v>44</v>
      </c>
      <c r="K7711" t="s">
        <v>88</v>
      </c>
      <c r="L7711" t="s">
        <v>37</v>
      </c>
      <c r="M7711">
        <v>0</v>
      </c>
      <c r="N7711">
        <v>0</v>
      </c>
      <c r="O7711">
        <v>1334</v>
      </c>
      <c r="P7711">
        <v>1333</v>
      </c>
      <c r="Q7711">
        <f>25-9.5</f>
        <v>15.5</v>
      </c>
      <c r="R7711" t="s">
        <v>64</v>
      </c>
      <c r="AB7711" t="s">
        <v>742</v>
      </c>
      <c r="AC7711" t="s">
        <v>87</v>
      </c>
    </row>
    <row r="7712" spans="1:30" x14ac:dyDescent="0.35">
      <c r="A7712" s="7">
        <v>43304</v>
      </c>
      <c r="B7712" t="s">
        <v>30</v>
      </c>
      <c r="C7712">
        <v>112</v>
      </c>
      <c r="D7712">
        <v>3</v>
      </c>
      <c r="E7712">
        <v>1</v>
      </c>
      <c r="F7712" t="s">
        <v>1139</v>
      </c>
      <c r="G7712" t="s">
        <v>32</v>
      </c>
      <c r="H7712" t="s">
        <v>33</v>
      </c>
      <c r="I7712" t="s">
        <v>43</v>
      </c>
      <c r="J7712" t="s">
        <v>44</v>
      </c>
      <c r="K7712" t="s">
        <v>88</v>
      </c>
      <c r="L7712" t="s">
        <v>45</v>
      </c>
      <c r="M7712">
        <v>0</v>
      </c>
      <c r="N7712">
        <v>0</v>
      </c>
      <c r="O7712">
        <v>1344</v>
      </c>
      <c r="P7712">
        <v>1343</v>
      </c>
      <c r="Q7712">
        <f>22-10</f>
        <v>12</v>
      </c>
      <c r="R7712" t="s">
        <v>46</v>
      </c>
      <c r="S7712" t="s">
        <v>39</v>
      </c>
      <c r="AB7712" t="s">
        <v>742</v>
      </c>
      <c r="AC7712" t="s">
        <v>87</v>
      </c>
    </row>
    <row r="7713" spans="1:30" x14ac:dyDescent="0.35">
      <c r="A7713" s="7">
        <v>43304</v>
      </c>
      <c r="B7713" t="s">
        <v>30</v>
      </c>
      <c r="C7713">
        <v>112</v>
      </c>
      <c r="D7713">
        <v>4</v>
      </c>
      <c r="E7713">
        <v>1</v>
      </c>
      <c r="F7713" t="s">
        <v>1139</v>
      </c>
      <c r="G7713" t="s">
        <v>32</v>
      </c>
      <c r="H7713" t="s">
        <v>33</v>
      </c>
      <c r="I7713" t="s">
        <v>43</v>
      </c>
      <c r="J7713" t="s">
        <v>44</v>
      </c>
      <c r="K7713" t="s">
        <v>88</v>
      </c>
      <c r="L7713" t="s">
        <v>45</v>
      </c>
      <c r="M7713">
        <v>0</v>
      </c>
      <c r="N7713">
        <v>0</v>
      </c>
      <c r="O7713">
        <v>1332</v>
      </c>
      <c r="P7713">
        <v>1331</v>
      </c>
      <c r="Q7713">
        <f>24.5-10.5</f>
        <v>14</v>
      </c>
      <c r="R7713" t="s">
        <v>46</v>
      </c>
      <c r="S7713" t="s">
        <v>39</v>
      </c>
      <c r="AB7713" t="s">
        <v>742</v>
      </c>
      <c r="AC7713" t="s">
        <v>87</v>
      </c>
    </row>
    <row r="7714" spans="1:30" x14ac:dyDescent="0.35">
      <c r="A7714" s="7">
        <v>43304</v>
      </c>
      <c r="B7714" t="s">
        <v>30</v>
      </c>
      <c r="C7714">
        <v>112</v>
      </c>
      <c r="D7714">
        <v>10</v>
      </c>
      <c r="E7714">
        <v>1</v>
      </c>
      <c r="F7714" t="s">
        <v>1139</v>
      </c>
      <c r="G7714" t="s">
        <v>32</v>
      </c>
      <c r="H7714" t="s">
        <v>33</v>
      </c>
      <c r="I7714" t="s">
        <v>43</v>
      </c>
      <c r="J7714" t="s">
        <v>44</v>
      </c>
      <c r="K7714" t="s">
        <v>88</v>
      </c>
      <c r="L7714" t="s">
        <v>37</v>
      </c>
      <c r="M7714">
        <v>0</v>
      </c>
      <c r="N7714">
        <v>0</v>
      </c>
      <c r="O7714">
        <v>1121</v>
      </c>
      <c r="P7714">
        <v>1120</v>
      </c>
      <c r="Q7714">
        <f>27-12.5</f>
        <v>14.5</v>
      </c>
      <c r="R7714" t="s">
        <v>64</v>
      </c>
      <c r="AB7714" t="s">
        <v>742</v>
      </c>
      <c r="AC7714" t="s">
        <v>87</v>
      </c>
      <c r="AD7714" t="s">
        <v>1239</v>
      </c>
    </row>
    <row r="7715" spans="1:30" x14ac:dyDescent="0.35">
      <c r="A7715" s="7">
        <v>43304</v>
      </c>
      <c r="B7715" t="s">
        <v>30</v>
      </c>
      <c r="C7715">
        <v>201</v>
      </c>
      <c r="D7715">
        <v>6</v>
      </c>
      <c r="E7715">
        <v>1</v>
      </c>
      <c r="F7715" t="s">
        <v>1170</v>
      </c>
      <c r="G7715" t="s">
        <v>32</v>
      </c>
      <c r="H7715" t="s">
        <v>33</v>
      </c>
      <c r="I7715" t="s">
        <v>43</v>
      </c>
      <c r="J7715" t="s">
        <v>44</v>
      </c>
      <c r="K7715" t="s">
        <v>113</v>
      </c>
      <c r="L7715" t="s">
        <v>37</v>
      </c>
      <c r="M7715">
        <v>0</v>
      </c>
      <c r="N7715">
        <v>0</v>
      </c>
      <c r="O7715">
        <v>2196</v>
      </c>
      <c r="P7715">
        <v>2195</v>
      </c>
      <c r="Q7715">
        <f>24-11</f>
        <v>13</v>
      </c>
      <c r="R7715" t="s">
        <v>64</v>
      </c>
      <c r="AB7715" t="s">
        <v>742</v>
      </c>
      <c r="AC7715" t="s">
        <v>87</v>
      </c>
      <c r="AD7715" t="s">
        <v>1240</v>
      </c>
    </row>
    <row r="7716" spans="1:30" x14ac:dyDescent="0.35">
      <c r="A7716" s="7">
        <v>43304</v>
      </c>
      <c r="B7716" t="s">
        <v>30</v>
      </c>
      <c r="C7716">
        <v>201</v>
      </c>
      <c r="D7716">
        <v>8</v>
      </c>
      <c r="E7716">
        <v>1</v>
      </c>
      <c r="F7716" t="s">
        <v>1170</v>
      </c>
      <c r="G7716" t="s">
        <v>32</v>
      </c>
      <c r="H7716" t="s">
        <v>33</v>
      </c>
      <c r="I7716" t="s">
        <v>43</v>
      </c>
      <c r="J7716" t="s">
        <v>44</v>
      </c>
      <c r="K7716" t="s">
        <v>113</v>
      </c>
      <c r="L7716" t="s">
        <v>37</v>
      </c>
      <c r="M7716">
        <v>0</v>
      </c>
      <c r="N7716">
        <v>0</v>
      </c>
      <c r="O7716">
        <v>1138</v>
      </c>
      <c r="P7716">
        <v>1137</v>
      </c>
      <c r="Q7716">
        <f>26-12</f>
        <v>14</v>
      </c>
      <c r="R7716" t="s">
        <v>64</v>
      </c>
      <c r="AB7716" t="s">
        <v>742</v>
      </c>
      <c r="AC7716" t="s">
        <v>87</v>
      </c>
    </row>
    <row r="7717" spans="1:30" x14ac:dyDescent="0.35">
      <c r="A7717" s="7">
        <v>43304</v>
      </c>
      <c r="B7717" t="s">
        <v>30</v>
      </c>
      <c r="C7717">
        <v>111</v>
      </c>
      <c r="D7717">
        <v>2</v>
      </c>
      <c r="E7717">
        <v>2</v>
      </c>
      <c r="F7717" t="s">
        <v>1139</v>
      </c>
      <c r="G7717" t="s">
        <v>32</v>
      </c>
      <c r="H7717" t="s">
        <v>33</v>
      </c>
      <c r="I7717" t="s">
        <v>34</v>
      </c>
      <c r="J7717" t="s">
        <v>44</v>
      </c>
      <c r="K7717" t="s">
        <v>36</v>
      </c>
      <c r="L7717" t="s">
        <v>37</v>
      </c>
      <c r="M7717">
        <v>0</v>
      </c>
      <c r="N7717">
        <v>0</v>
      </c>
      <c r="Q7717">
        <f>180-85</f>
        <v>95</v>
      </c>
      <c r="AB7717" t="s">
        <v>742</v>
      </c>
      <c r="AC7717" t="s">
        <v>87</v>
      </c>
      <c r="AD7717" t="s">
        <v>1241</v>
      </c>
    </row>
    <row r="7718" spans="1:30" x14ac:dyDescent="0.35">
      <c r="A7718" s="7">
        <v>43304</v>
      </c>
      <c r="B7718" t="s">
        <v>30</v>
      </c>
      <c r="C7718">
        <v>111</v>
      </c>
      <c r="D7718">
        <v>7</v>
      </c>
      <c r="E7718">
        <v>1</v>
      </c>
      <c r="F7718" t="s">
        <v>1139</v>
      </c>
      <c r="G7718" t="s">
        <v>32</v>
      </c>
      <c r="H7718" t="s">
        <v>33</v>
      </c>
      <c r="I7718" t="s">
        <v>34</v>
      </c>
      <c r="J7718" t="s">
        <v>44</v>
      </c>
      <c r="K7718" t="s">
        <v>36</v>
      </c>
      <c r="L7718" t="s">
        <v>45</v>
      </c>
      <c r="M7718">
        <v>0</v>
      </c>
      <c r="N7718">
        <v>0</v>
      </c>
      <c r="O7718">
        <v>1317</v>
      </c>
      <c r="Q7718">
        <f>180-90</f>
        <v>90</v>
      </c>
      <c r="R7718" t="s">
        <v>1021</v>
      </c>
      <c r="S7718" t="s">
        <v>102</v>
      </c>
      <c r="AB7718" t="s">
        <v>742</v>
      </c>
      <c r="AC7718" t="s">
        <v>87</v>
      </c>
    </row>
    <row r="7719" spans="1:30" x14ac:dyDescent="0.35">
      <c r="A7719" s="7">
        <v>43304</v>
      </c>
      <c r="B7719" t="s">
        <v>30</v>
      </c>
      <c r="C7719">
        <v>112</v>
      </c>
      <c r="D7719">
        <v>9</v>
      </c>
      <c r="E7719">
        <v>1</v>
      </c>
      <c r="F7719" t="s">
        <v>1139</v>
      </c>
      <c r="G7719" t="s">
        <v>32</v>
      </c>
      <c r="H7719" t="s">
        <v>33</v>
      </c>
      <c r="I7719" t="s">
        <v>34</v>
      </c>
      <c r="J7719" t="s">
        <v>35</v>
      </c>
      <c r="K7719" t="s">
        <v>36</v>
      </c>
      <c r="L7719" t="s">
        <v>37</v>
      </c>
      <c r="M7719">
        <v>0</v>
      </c>
      <c r="N7719">
        <v>1</v>
      </c>
      <c r="P7719">
        <v>1384</v>
      </c>
      <c r="Q7719">
        <f>180-95</f>
        <v>85</v>
      </c>
      <c r="R7719" t="s">
        <v>64</v>
      </c>
      <c r="AB7719" t="s">
        <v>742</v>
      </c>
      <c r="AC7719" t="s">
        <v>87</v>
      </c>
      <c r="AD7719" t="s">
        <v>1242</v>
      </c>
    </row>
    <row r="7720" spans="1:30" x14ac:dyDescent="0.35">
      <c r="A7720" s="7">
        <v>43304</v>
      </c>
      <c r="B7720" t="s">
        <v>30</v>
      </c>
      <c r="C7720">
        <v>113</v>
      </c>
      <c r="D7720">
        <v>8</v>
      </c>
      <c r="E7720">
        <v>1</v>
      </c>
      <c r="F7720" t="s">
        <v>1139</v>
      </c>
      <c r="G7720" t="s">
        <v>32</v>
      </c>
      <c r="H7720" t="s">
        <v>33</v>
      </c>
      <c r="I7720" t="s">
        <v>34</v>
      </c>
      <c r="J7720" t="s">
        <v>44</v>
      </c>
      <c r="K7720" t="s">
        <v>36</v>
      </c>
      <c r="L7720" t="s">
        <v>37</v>
      </c>
      <c r="M7720">
        <v>0</v>
      </c>
      <c r="N7720">
        <v>0</v>
      </c>
      <c r="O7720">
        <v>1058</v>
      </c>
      <c r="Q7720">
        <f>180-95</f>
        <v>85</v>
      </c>
      <c r="R7720" t="s">
        <v>38</v>
      </c>
      <c r="AB7720" t="s">
        <v>742</v>
      </c>
      <c r="AC7720" t="s">
        <v>87</v>
      </c>
    </row>
    <row r="7721" spans="1:30" x14ac:dyDescent="0.35">
      <c r="A7721" s="7">
        <v>43304</v>
      </c>
      <c r="B7721" t="s">
        <v>30</v>
      </c>
      <c r="C7721">
        <v>113</v>
      </c>
      <c r="D7721">
        <v>9</v>
      </c>
      <c r="E7721">
        <v>1</v>
      </c>
      <c r="F7721" t="s">
        <v>1139</v>
      </c>
      <c r="G7721" t="s">
        <v>32</v>
      </c>
      <c r="H7721" t="s">
        <v>33</v>
      </c>
      <c r="I7721" t="s">
        <v>34</v>
      </c>
      <c r="J7721" t="s">
        <v>44</v>
      </c>
      <c r="K7721" t="s">
        <v>36</v>
      </c>
      <c r="L7721" t="s">
        <v>37</v>
      </c>
      <c r="M7721">
        <v>0</v>
      </c>
      <c r="N7721">
        <v>0</v>
      </c>
      <c r="O7721">
        <v>1340</v>
      </c>
      <c r="Q7721">
        <f>185-95</f>
        <v>90</v>
      </c>
      <c r="R7721" t="s">
        <v>38</v>
      </c>
      <c r="AB7721" t="s">
        <v>742</v>
      </c>
      <c r="AC7721" t="s">
        <v>87</v>
      </c>
    </row>
    <row r="7722" spans="1:30" x14ac:dyDescent="0.35">
      <c r="A7722" s="7">
        <v>43304</v>
      </c>
      <c r="B7722" t="s">
        <v>30</v>
      </c>
      <c r="C7722">
        <v>402</v>
      </c>
      <c r="D7722">
        <v>1</v>
      </c>
      <c r="E7722">
        <v>1</v>
      </c>
      <c r="F7722" t="s">
        <v>1139</v>
      </c>
      <c r="G7722" t="s">
        <v>32</v>
      </c>
      <c r="H7722" t="s">
        <v>33</v>
      </c>
      <c r="I7722" t="s">
        <v>34</v>
      </c>
      <c r="J7722" t="s">
        <v>35</v>
      </c>
      <c r="K7722" t="s">
        <v>36</v>
      </c>
      <c r="L7722" t="s">
        <v>45</v>
      </c>
      <c r="M7722">
        <v>0</v>
      </c>
      <c r="N7722">
        <v>1</v>
      </c>
      <c r="O7722">
        <v>1385</v>
      </c>
      <c r="Q7722">
        <f>195-105</f>
        <v>90</v>
      </c>
      <c r="R7722" t="s">
        <v>46</v>
      </c>
      <c r="S7722" t="s">
        <v>39</v>
      </c>
      <c r="AB7722" t="s">
        <v>742</v>
      </c>
      <c r="AC7722" t="s">
        <v>87</v>
      </c>
    </row>
    <row r="7723" spans="1:30" x14ac:dyDescent="0.35">
      <c r="A7723" s="7">
        <v>43304</v>
      </c>
      <c r="B7723" t="s">
        <v>30</v>
      </c>
      <c r="C7723">
        <v>402</v>
      </c>
      <c r="D7723">
        <v>8</v>
      </c>
      <c r="E7723">
        <v>1</v>
      </c>
      <c r="F7723" t="s">
        <v>1139</v>
      </c>
      <c r="G7723" t="s">
        <v>32</v>
      </c>
      <c r="H7723" t="s">
        <v>33</v>
      </c>
      <c r="I7723" t="s">
        <v>1029</v>
      </c>
      <c r="J7723" t="s">
        <v>56</v>
      </c>
      <c r="AB7723" t="s">
        <v>742</v>
      </c>
      <c r="AC7723" t="s">
        <v>87</v>
      </c>
    </row>
    <row r="7724" spans="1:30" x14ac:dyDescent="0.35">
      <c r="A7724" s="7">
        <v>43304</v>
      </c>
      <c r="B7724" t="s">
        <v>30</v>
      </c>
      <c r="C7724">
        <v>111</v>
      </c>
      <c r="D7724">
        <v>3</v>
      </c>
      <c r="E7724">
        <v>2</v>
      </c>
      <c r="F7724" t="s">
        <v>1139</v>
      </c>
      <c r="G7724" t="s">
        <v>32</v>
      </c>
      <c r="H7724" t="s">
        <v>33</v>
      </c>
      <c r="I7724" t="s">
        <v>72</v>
      </c>
      <c r="J7724" t="s">
        <v>56</v>
      </c>
      <c r="AB7724" t="s">
        <v>742</v>
      </c>
      <c r="AC7724" t="s">
        <v>87</v>
      </c>
    </row>
    <row r="7725" spans="1:30" x14ac:dyDescent="0.35">
      <c r="A7725" s="7">
        <v>43304</v>
      </c>
      <c r="B7725" t="s">
        <v>30</v>
      </c>
      <c r="C7725">
        <v>111</v>
      </c>
      <c r="D7725">
        <v>5</v>
      </c>
      <c r="E7725">
        <v>1</v>
      </c>
      <c r="F7725" t="s">
        <v>1139</v>
      </c>
      <c r="G7725" t="s">
        <v>32</v>
      </c>
      <c r="H7725" t="s">
        <v>33</v>
      </c>
      <c r="I7725" t="s">
        <v>72</v>
      </c>
      <c r="J7725" t="s">
        <v>56</v>
      </c>
      <c r="AB7725" t="s">
        <v>742</v>
      </c>
      <c r="AC7725" t="s">
        <v>87</v>
      </c>
    </row>
    <row r="7726" spans="1:30" x14ac:dyDescent="0.35">
      <c r="A7726" s="7">
        <v>43304</v>
      </c>
      <c r="B7726" t="s">
        <v>30</v>
      </c>
      <c r="C7726">
        <v>111</v>
      </c>
      <c r="D7726">
        <v>8</v>
      </c>
      <c r="E7726">
        <v>1</v>
      </c>
      <c r="F7726" t="s">
        <v>1139</v>
      </c>
      <c r="G7726" t="s">
        <v>32</v>
      </c>
      <c r="H7726" t="s">
        <v>33</v>
      </c>
      <c r="I7726" t="s">
        <v>72</v>
      </c>
      <c r="J7726" t="s">
        <v>56</v>
      </c>
      <c r="AB7726" t="s">
        <v>742</v>
      </c>
      <c r="AC7726" t="s">
        <v>87</v>
      </c>
    </row>
    <row r="7727" spans="1:30" x14ac:dyDescent="0.35">
      <c r="A7727" s="7">
        <v>43304</v>
      </c>
      <c r="B7727" t="s">
        <v>30</v>
      </c>
      <c r="C7727">
        <v>111</v>
      </c>
      <c r="D7727">
        <v>10</v>
      </c>
      <c r="E7727">
        <v>1</v>
      </c>
      <c r="F7727" t="s">
        <v>1139</v>
      </c>
      <c r="G7727" t="s">
        <v>32</v>
      </c>
      <c r="H7727" t="s">
        <v>33</v>
      </c>
      <c r="I7727" t="s">
        <v>72</v>
      </c>
      <c r="J7727" t="s">
        <v>56</v>
      </c>
      <c r="AB7727" t="s">
        <v>742</v>
      </c>
      <c r="AC7727" t="s">
        <v>87</v>
      </c>
    </row>
    <row r="7728" spans="1:30" x14ac:dyDescent="0.35">
      <c r="A7728" s="7">
        <v>43304</v>
      </c>
      <c r="B7728" t="s">
        <v>30</v>
      </c>
      <c r="C7728">
        <v>112</v>
      </c>
      <c r="D7728">
        <v>2</v>
      </c>
      <c r="E7728">
        <v>2</v>
      </c>
      <c r="F7728" t="s">
        <v>1139</v>
      </c>
      <c r="G7728" t="s">
        <v>32</v>
      </c>
      <c r="H7728" t="s">
        <v>33</v>
      </c>
      <c r="I7728" t="s">
        <v>72</v>
      </c>
      <c r="J7728" t="s">
        <v>56</v>
      </c>
      <c r="AB7728" t="s">
        <v>742</v>
      </c>
      <c r="AC7728" t="s">
        <v>87</v>
      </c>
    </row>
    <row r="7729" spans="1:29" x14ac:dyDescent="0.35">
      <c r="A7729" s="7">
        <v>43304</v>
      </c>
      <c r="B7729" t="s">
        <v>30</v>
      </c>
      <c r="C7729">
        <v>112</v>
      </c>
      <c r="D7729">
        <v>4</v>
      </c>
      <c r="E7729">
        <v>2</v>
      </c>
      <c r="F7729" t="s">
        <v>1139</v>
      </c>
      <c r="G7729" t="s">
        <v>32</v>
      </c>
      <c r="H7729" t="s">
        <v>33</v>
      </c>
      <c r="I7729" t="s">
        <v>72</v>
      </c>
      <c r="J7729" t="s">
        <v>66</v>
      </c>
      <c r="AB7729" t="s">
        <v>742</v>
      </c>
      <c r="AC7729" t="s">
        <v>87</v>
      </c>
    </row>
    <row r="7730" spans="1:29" x14ac:dyDescent="0.35">
      <c r="A7730" s="7">
        <v>43304</v>
      </c>
      <c r="B7730" t="s">
        <v>30</v>
      </c>
      <c r="C7730">
        <v>112</v>
      </c>
      <c r="D7730">
        <v>5</v>
      </c>
      <c r="E7730">
        <v>1</v>
      </c>
      <c r="F7730" t="s">
        <v>1139</v>
      </c>
      <c r="G7730" t="s">
        <v>32</v>
      </c>
      <c r="H7730" t="s">
        <v>33</v>
      </c>
      <c r="I7730" t="s">
        <v>72</v>
      </c>
      <c r="J7730" t="s">
        <v>56</v>
      </c>
      <c r="AB7730" t="s">
        <v>742</v>
      </c>
      <c r="AC7730" t="s">
        <v>87</v>
      </c>
    </row>
    <row r="7731" spans="1:29" x14ac:dyDescent="0.35">
      <c r="A7731" s="7">
        <v>43304</v>
      </c>
      <c r="B7731" t="s">
        <v>30</v>
      </c>
      <c r="C7731">
        <v>112</v>
      </c>
      <c r="D7731">
        <v>6</v>
      </c>
      <c r="E7731">
        <v>1</v>
      </c>
      <c r="F7731" t="s">
        <v>1139</v>
      </c>
      <c r="G7731" t="s">
        <v>32</v>
      </c>
      <c r="H7731" t="s">
        <v>33</v>
      </c>
      <c r="I7731" t="s">
        <v>72</v>
      </c>
      <c r="J7731" t="s">
        <v>56</v>
      </c>
      <c r="AB7731" t="s">
        <v>742</v>
      </c>
      <c r="AC7731" t="s">
        <v>87</v>
      </c>
    </row>
    <row r="7732" spans="1:29" x14ac:dyDescent="0.35">
      <c r="A7732" s="7">
        <v>43304</v>
      </c>
      <c r="B7732" t="s">
        <v>30</v>
      </c>
      <c r="C7732">
        <v>112</v>
      </c>
      <c r="D7732">
        <v>7</v>
      </c>
      <c r="E7732">
        <v>1</v>
      </c>
      <c r="F7732" t="s">
        <v>1139</v>
      </c>
      <c r="G7732" t="s">
        <v>32</v>
      </c>
      <c r="H7732" t="s">
        <v>33</v>
      </c>
      <c r="I7732" t="s">
        <v>72</v>
      </c>
      <c r="J7732" t="s">
        <v>56</v>
      </c>
      <c r="AB7732" t="s">
        <v>742</v>
      </c>
      <c r="AC7732" t="s">
        <v>87</v>
      </c>
    </row>
    <row r="7733" spans="1:29" x14ac:dyDescent="0.35">
      <c r="A7733" s="7">
        <v>43304</v>
      </c>
      <c r="B7733" t="s">
        <v>30</v>
      </c>
      <c r="C7733">
        <v>112</v>
      </c>
      <c r="D7733">
        <v>8</v>
      </c>
      <c r="E7733">
        <v>1</v>
      </c>
      <c r="F7733" t="s">
        <v>1139</v>
      </c>
      <c r="G7733" t="s">
        <v>32</v>
      </c>
      <c r="H7733" t="s">
        <v>33</v>
      </c>
      <c r="I7733" t="s">
        <v>72</v>
      </c>
      <c r="J7733" t="s">
        <v>56</v>
      </c>
      <c r="AB7733" t="s">
        <v>742</v>
      </c>
      <c r="AC7733" t="s">
        <v>87</v>
      </c>
    </row>
    <row r="7734" spans="1:29" x14ac:dyDescent="0.35">
      <c r="A7734" s="7">
        <v>43304</v>
      </c>
      <c r="B7734" t="s">
        <v>30</v>
      </c>
      <c r="C7734">
        <v>113</v>
      </c>
      <c r="D7734">
        <v>6</v>
      </c>
      <c r="E7734">
        <v>2</v>
      </c>
      <c r="F7734" t="s">
        <v>1139</v>
      </c>
      <c r="G7734" t="s">
        <v>32</v>
      </c>
      <c r="H7734" t="s">
        <v>33</v>
      </c>
      <c r="I7734" t="s">
        <v>72</v>
      </c>
      <c r="J7734" t="s">
        <v>56</v>
      </c>
      <c r="AB7734" t="s">
        <v>742</v>
      </c>
      <c r="AC7734" t="s">
        <v>87</v>
      </c>
    </row>
    <row r="7735" spans="1:29" x14ac:dyDescent="0.35">
      <c r="A7735" s="7">
        <v>43304</v>
      </c>
      <c r="B7735" t="s">
        <v>30</v>
      </c>
      <c r="C7735">
        <v>203</v>
      </c>
      <c r="D7735">
        <v>2</v>
      </c>
      <c r="E7735">
        <v>1</v>
      </c>
      <c r="F7735" t="s">
        <v>1170</v>
      </c>
      <c r="G7735" t="s">
        <v>32</v>
      </c>
      <c r="H7735" t="s">
        <v>33</v>
      </c>
      <c r="I7735" t="s">
        <v>72</v>
      </c>
      <c r="J7735" t="s">
        <v>56</v>
      </c>
      <c r="AB7735" t="s">
        <v>742</v>
      </c>
      <c r="AC7735" t="s">
        <v>87</v>
      </c>
    </row>
    <row r="7736" spans="1:29" x14ac:dyDescent="0.35">
      <c r="A7736" s="7">
        <v>43304</v>
      </c>
      <c r="B7736" t="s">
        <v>30</v>
      </c>
      <c r="C7736">
        <v>203</v>
      </c>
      <c r="D7736">
        <v>5</v>
      </c>
      <c r="E7736">
        <v>1</v>
      </c>
      <c r="F7736" t="s">
        <v>1170</v>
      </c>
      <c r="G7736" t="s">
        <v>32</v>
      </c>
      <c r="H7736" t="s">
        <v>33</v>
      </c>
      <c r="I7736" t="s">
        <v>72</v>
      </c>
      <c r="J7736" t="s">
        <v>56</v>
      </c>
      <c r="AB7736" t="s">
        <v>742</v>
      </c>
      <c r="AC7736" t="s">
        <v>87</v>
      </c>
    </row>
    <row r="7737" spans="1:29" x14ac:dyDescent="0.35">
      <c r="A7737" s="7">
        <v>43304</v>
      </c>
      <c r="B7737" t="s">
        <v>30</v>
      </c>
      <c r="C7737">
        <v>203</v>
      </c>
      <c r="D7737">
        <v>6</v>
      </c>
      <c r="E7737">
        <v>1</v>
      </c>
      <c r="F7737" t="s">
        <v>1170</v>
      </c>
      <c r="G7737" t="s">
        <v>32</v>
      </c>
      <c r="H7737" t="s">
        <v>33</v>
      </c>
      <c r="I7737" t="s">
        <v>72</v>
      </c>
      <c r="J7737" t="s">
        <v>56</v>
      </c>
      <c r="AB7737" t="s">
        <v>742</v>
      </c>
      <c r="AC7737" t="s">
        <v>87</v>
      </c>
    </row>
    <row r="7738" spans="1:29" x14ac:dyDescent="0.35">
      <c r="A7738" s="7">
        <v>43304</v>
      </c>
      <c r="B7738" t="s">
        <v>30</v>
      </c>
      <c r="C7738">
        <v>203</v>
      </c>
      <c r="D7738">
        <v>8</v>
      </c>
      <c r="E7738">
        <v>1</v>
      </c>
      <c r="F7738" t="s">
        <v>1170</v>
      </c>
      <c r="G7738" t="s">
        <v>32</v>
      </c>
      <c r="H7738" t="s">
        <v>33</v>
      </c>
      <c r="I7738" t="s">
        <v>72</v>
      </c>
      <c r="J7738" t="s">
        <v>56</v>
      </c>
      <c r="AB7738" t="s">
        <v>742</v>
      </c>
      <c r="AC7738" t="s">
        <v>87</v>
      </c>
    </row>
    <row r="7739" spans="1:29" x14ac:dyDescent="0.35">
      <c r="A7739" s="7">
        <v>43304</v>
      </c>
      <c r="B7739" t="s">
        <v>30</v>
      </c>
      <c r="C7739">
        <v>304</v>
      </c>
      <c r="D7739">
        <v>5</v>
      </c>
      <c r="E7739">
        <v>1</v>
      </c>
      <c r="F7739" t="s">
        <v>1170</v>
      </c>
      <c r="G7739" t="s">
        <v>32</v>
      </c>
      <c r="H7739" t="s">
        <v>33</v>
      </c>
      <c r="I7739" t="s">
        <v>72</v>
      </c>
      <c r="J7739" t="s">
        <v>66</v>
      </c>
      <c r="AB7739" t="s">
        <v>742</v>
      </c>
      <c r="AC7739" t="s">
        <v>87</v>
      </c>
    </row>
    <row r="7740" spans="1:29" x14ac:dyDescent="0.35">
      <c r="A7740" s="7">
        <v>43304</v>
      </c>
      <c r="B7740" t="s">
        <v>30</v>
      </c>
      <c r="C7740">
        <v>304</v>
      </c>
      <c r="D7740">
        <v>9</v>
      </c>
      <c r="E7740">
        <v>1</v>
      </c>
      <c r="F7740" t="s">
        <v>1170</v>
      </c>
      <c r="G7740" t="s">
        <v>32</v>
      </c>
      <c r="H7740" t="s">
        <v>33</v>
      </c>
      <c r="I7740" t="s">
        <v>72</v>
      </c>
      <c r="J7740" t="s">
        <v>56</v>
      </c>
      <c r="AB7740" t="s">
        <v>742</v>
      </c>
      <c r="AC7740" t="s">
        <v>87</v>
      </c>
    </row>
    <row r="7741" spans="1:29" x14ac:dyDescent="0.35">
      <c r="A7741" s="7">
        <v>43304</v>
      </c>
      <c r="B7741" t="s">
        <v>30</v>
      </c>
      <c r="C7741">
        <v>402</v>
      </c>
      <c r="D7741">
        <v>2</v>
      </c>
      <c r="E7741">
        <v>1</v>
      </c>
      <c r="F7741" t="s">
        <v>1139</v>
      </c>
      <c r="G7741" t="s">
        <v>32</v>
      </c>
      <c r="H7741" t="s">
        <v>33</v>
      </c>
      <c r="I7741" t="s">
        <v>72</v>
      </c>
      <c r="J7741" t="s">
        <v>66</v>
      </c>
      <c r="AB7741" t="s">
        <v>742</v>
      </c>
      <c r="AC7741" t="s">
        <v>87</v>
      </c>
    </row>
    <row r="7742" spans="1:29" x14ac:dyDescent="0.35">
      <c r="A7742" s="7">
        <v>43304</v>
      </c>
      <c r="B7742" t="s">
        <v>30</v>
      </c>
      <c r="C7742">
        <v>113</v>
      </c>
      <c r="D7742">
        <v>5</v>
      </c>
      <c r="E7742">
        <v>1</v>
      </c>
      <c r="F7742" t="s">
        <v>1139</v>
      </c>
      <c r="G7742" t="s">
        <v>32</v>
      </c>
      <c r="H7742" t="s">
        <v>33</v>
      </c>
      <c r="I7742" t="s">
        <v>84</v>
      </c>
      <c r="AB7742" t="s">
        <v>742</v>
      </c>
      <c r="AC7742" t="s">
        <v>87</v>
      </c>
    </row>
    <row r="7743" spans="1:29" x14ac:dyDescent="0.35">
      <c r="A7743" s="7">
        <v>43304</v>
      </c>
      <c r="B7743" t="s">
        <v>30</v>
      </c>
      <c r="C7743">
        <v>113</v>
      </c>
      <c r="D7743">
        <v>7</v>
      </c>
      <c r="E7743">
        <v>1</v>
      </c>
      <c r="F7743" t="s">
        <v>1139</v>
      </c>
      <c r="G7743" t="s">
        <v>32</v>
      </c>
      <c r="H7743" t="s">
        <v>33</v>
      </c>
      <c r="I7743" t="s">
        <v>84</v>
      </c>
      <c r="AB7743" t="s">
        <v>742</v>
      </c>
      <c r="AC7743" t="s">
        <v>87</v>
      </c>
    </row>
    <row r="7744" spans="1:29" x14ac:dyDescent="0.35">
      <c r="A7744" s="7">
        <v>43304</v>
      </c>
      <c r="B7744" t="s">
        <v>30</v>
      </c>
      <c r="C7744">
        <v>113</v>
      </c>
      <c r="D7744">
        <v>7</v>
      </c>
      <c r="E7744">
        <v>2</v>
      </c>
      <c r="F7744" t="s">
        <v>1139</v>
      </c>
      <c r="G7744" t="s">
        <v>32</v>
      </c>
      <c r="H7744" t="s">
        <v>33</v>
      </c>
      <c r="I7744" t="s">
        <v>84</v>
      </c>
      <c r="AB7744" t="s">
        <v>742</v>
      </c>
      <c r="AC7744" t="s">
        <v>87</v>
      </c>
    </row>
    <row r="7745" spans="1:29" x14ac:dyDescent="0.35">
      <c r="A7745" s="7">
        <v>43304</v>
      </c>
      <c r="B7745" t="s">
        <v>30</v>
      </c>
      <c r="C7745">
        <v>113</v>
      </c>
      <c r="D7745">
        <v>10</v>
      </c>
      <c r="E7745">
        <v>2</v>
      </c>
      <c r="F7745" t="s">
        <v>1139</v>
      </c>
      <c r="G7745" t="s">
        <v>32</v>
      </c>
      <c r="H7745" t="s">
        <v>33</v>
      </c>
      <c r="I7745" t="s">
        <v>84</v>
      </c>
      <c r="AB7745" t="s">
        <v>742</v>
      </c>
      <c r="AC7745" t="s">
        <v>87</v>
      </c>
    </row>
    <row r="7746" spans="1:29" x14ac:dyDescent="0.35">
      <c r="A7746" s="7">
        <v>43304</v>
      </c>
      <c r="B7746" t="s">
        <v>30</v>
      </c>
      <c r="C7746">
        <v>304</v>
      </c>
      <c r="D7746">
        <v>10</v>
      </c>
      <c r="E7746">
        <v>1</v>
      </c>
      <c r="F7746" t="s">
        <v>1170</v>
      </c>
      <c r="G7746" t="s">
        <v>32</v>
      </c>
      <c r="H7746" t="s">
        <v>33</v>
      </c>
      <c r="I7746" t="s">
        <v>84</v>
      </c>
      <c r="AB7746" t="s">
        <v>742</v>
      </c>
      <c r="AC7746" t="s">
        <v>87</v>
      </c>
    </row>
    <row r="7747" spans="1:29" x14ac:dyDescent="0.35">
      <c r="A7747" s="7">
        <v>43304</v>
      </c>
      <c r="B7747" t="s">
        <v>30</v>
      </c>
      <c r="C7747">
        <v>111</v>
      </c>
      <c r="D7747">
        <v>1</v>
      </c>
      <c r="E7747">
        <v>1</v>
      </c>
      <c r="F7747" t="s">
        <v>1139</v>
      </c>
      <c r="G7747" t="s">
        <v>32</v>
      </c>
      <c r="H7747" t="s">
        <v>33</v>
      </c>
      <c r="I7747" t="s">
        <v>59</v>
      </c>
      <c r="AB7747" t="s">
        <v>742</v>
      </c>
      <c r="AC7747" t="s">
        <v>87</v>
      </c>
    </row>
    <row r="7748" spans="1:29" x14ac:dyDescent="0.35">
      <c r="A7748" s="7">
        <v>43304</v>
      </c>
      <c r="B7748" t="s">
        <v>30</v>
      </c>
      <c r="C7748">
        <v>111</v>
      </c>
      <c r="D7748">
        <v>2</v>
      </c>
      <c r="E7748">
        <v>1</v>
      </c>
      <c r="F7748" t="s">
        <v>1139</v>
      </c>
      <c r="G7748" t="s">
        <v>32</v>
      </c>
      <c r="H7748" t="s">
        <v>33</v>
      </c>
      <c r="I7748" t="s">
        <v>59</v>
      </c>
      <c r="AB7748" t="s">
        <v>742</v>
      </c>
      <c r="AC7748" t="s">
        <v>87</v>
      </c>
    </row>
    <row r="7749" spans="1:29" x14ac:dyDescent="0.35">
      <c r="A7749" s="7">
        <v>43304</v>
      </c>
      <c r="B7749" t="s">
        <v>30</v>
      </c>
      <c r="C7749">
        <v>111</v>
      </c>
      <c r="D7749">
        <v>5</v>
      </c>
      <c r="E7749">
        <v>2</v>
      </c>
      <c r="F7749" t="s">
        <v>1139</v>
      </c>
      <c r="G7749" t="s">
        <v>32</v>
      </c>
      <c r="H7749" t="s">
        <v>33</v>
      </c>
      <c r="I7749" t="s">
        <v>59</v>
      </c>
      <c r="AB7749" t="s">
        <v>742</v>
      </c>
      <c r="AC7749" t="s">
        <v>87</v>
      </c>
    </row>
    <row r="7750" spans="1:29" x14ac:dyDescent="0.35">
      <c r="A7750" s="7">
        <v>43304</v>
      </c>
      <c r="B7750" t="s">
        <v>30</v>
      </c>
      <c r="C7750">
        <v>111</v>
      </c>
      <c r="D7750">
        <v>8</v>
      </c>
      <c r="E7750">
        <v>2</v>
      </c>
      <c r="F7750" t="s">
        <v>1139</v>
      </c>
      <c r="G7750" t="s">
        <v>32</v>
      </c>
      <c r="H7750" t="s">
        <v>33</v>
      </c>
      <c r="I7750" t="s">
        <v>59</v>
      </c>
      <c r="AB7750" t="s">
        <v>742</v>
      </c>
      <c r="AC7750" t="s">
        <v>87</v>
      </c>
    </row>
    <row r="7751" spans="1:29" x14ac:dyDescent="0.35">
      <c r="A7751" s="7">
        <v>43304</v>
      </c>
      <c r="B7751" t="s">
        <v>30</v>
      </c>
      <c r="C7751">
        <v>111</v>
      </c>
      <c r="D7751">
        <v>9</v>
      </c>
      <c r="E7751">
        <v>1</v>
      </c>
      <c r="F7751" t="s">
        <v>1139</v>
      </c>
      <c r="G7751" t="s">
        <v>32</v>
      </c>
      <c r="H7751" t="s">
        <v>33</v>
      </c>
      <c r="I7751" t="s">
        <v>59</v>
      </c>
      <c r="AB7751" t="s">
        <v>742</v>
      </c>
      <c r="AC7751" t="s">
        <v>87</v>
      </c>
    </row>
    <row r="7752" spans="1:29" x14ac:dyDescent="0.35">
      <c r="A7752" s="7">
        <v>43304</v>
      </c>
      <c r="B7752" t="s">
        <v>30</v>
      </c>
      <c r="C7752">
        <v>112</v>
      </c>
      <c r="D7752">
        <v>1</v>
      </c>
      <c r="E7752">
        <v>2</v>
      </c>
      <c r="F7752" t="s">
        <v>1139</v>
      </c>
      <c r="G7752" t="s">
        <v>32</v>
      </c>
      <c r="H7752" t="s">
        <v>33</v>
      </c>
      <c r="I7752" t="s">
        <v>59</v>
      </c>
      <c r="AB7752" t="s">
        <v>742</v>
      </c>
      <c r="AC7752" t="s">
        <v>87</v>
      </c>
    </row>
    <row r="7753" spans="1:29" x14ac:dyDescent="0.35">
      <c r="A7753" s="7">
        <v>43304</v>
      </c>
      <c r="B7753" t="s">
        <v>30</v>
      </c>
      <c r="C7753">
        <v>112</v>
      </c>
      <c r="D7753">
        <v>2</v>
      </c>
      <c r="E7753">
        <v>1</v>
      </c>
      <c r="F7753" t="s">
        <v>1139</v>
      </c>
      <c r="G7753" t="s">
        <v>32</v>
      </c>
      <c r="H7753" t="s">
        <v>33</v>
      </c>
      <c r="I7753" t="s">
        <v>59</v>
      </c>
      <c r="AB7753" t="s">
        <v>742</v>
      </c>
      <c r="AC7753" t="s">
        <v>87</v>
      </c>
    </row>
    <row r="7754" spans="1:29" x14ac:dyDescent="0.35">
      <c r="A7754" s="7">
        <v>43304</v>
      </c>
      <c r="B7754" t="s">
        <v>30</v>
      </c>
      <c r="C7754">
        <v>112</v>
      </c>
      <c r="D7754">
        <v>6</v>
      </c>
      <c r="E7754">
        <v>2</v>
      </c>
      <c r="F7754" t="s">
        <v>1139</v>
      </c>
      <c r="G7754" t="s">
        <v>32</v>
      </c>
      <c r="H7754" t="s">
        <v>33</v>
      </c>
      <c r="I7754" t="s">
        <v>59</v>
      </c>
      <c r="AB7754" t="s">
        <v>742</v>
      </c>
      <c r="AC7754" t="s">
        <v>87</v>
      </c>
    </row>
    <row r="7755" spans="1:29" x14ac:dyDescent="0.35">
      <c r="A7755" s="7">
        <v>43304</v>
      </c>
      <c r="B7755" t="s">
        <v>30</v>
      </c>
      <c r="C7755">
        <v>113</v>
      </c>
      <c r="D7755">
        <v>1</v>
      </c>
      <c r="E7755">
        <v>1</v>
      </c>
      <c r="F7755" t="s">
        <v>1139</v>
      </c>
      <c r="G7755" t="s">
        <v>32</v>
      </c>
      <c r="H7755" t="s">
        <v>33</v>
      </c>
      <c r="I7755" t="s">
        <v>59</v>
      </c>
      <c r="AB7755" t="s">
        <v>742</v>
      </c>
      <c r="AC7755" t="s">
        <v>87</v>
      </c>
    </row>
    <row r="7756" spans="1:29" x14ac:dyDescent="0.35">
      <c r="A7756" s="7">
        <v>43304</v>
      </c>
      <c r="B7756" t="s">
        <v>30</v>
      </c>
      <c r="C7756">
        <v>113</v>
      </c>
      <c r="D7756">
        <v>2</v>
      </c>
      <c r="E7756">
        <v>1</v>
      </c>
      <c r="F7756" t="s">
        <v>1139</v>
      </c>
      <c r="G7756" t="s">
        <v>32</v>
      </c>
      <c r="H7756" t="s">
        <v>33</v>
      </c>
      <c r="I7756" t="s">
        <v>59</v>
      </c>
      <c r="AB7756" t="s">
        <v>742</v>
      </c>
      <c r="AC7756" t="s">
        <v>87</v>
      </c>
    </row>
    <row r="7757" spans="1:29" x14ac:dyDescent="0.35">
      <c r="A7757" s="7">
        <v>43304</v>
      </c>
      <c r="B7757" t="s">
        <v>30</v>
      </c>
      <c r="C7757">
        <v>113</v>
      </c>
      <c r="D7757">
        <v>3</v>
      </c>
      <c r="E7757">
        <v>1</v>
      </c>
      <c r="F7757" t="s">
        <v>1139</v>
      </c>
      <c r="G7757" t="s">
        <v>32</v>
      </c>
      <c r="H7757" t="s">
        <v>33</v>
      </c>
      <c r="I7757" t="s">
        <v>59</v>
      </c>
      <c r="AB7757" t="s">
        <v>742</v>
      </c>
      <c r="AC7757" t="s">
        <v>87</v>
      </c>
    </row>
    <row r="7758" spans="1:29" x14ac:dyDescent="0.35">
      <c r="A7758" s="7">
        <v>43304</v>
      </c>
      <c r="B7758" t="s">
        <v>30</v>
      </c>
      <c r="C7758">
        <v>113</v>
      </c>
      <c r="D7758">
        <v>4</v>
      </c>
      <c r="E7758">
        <v>1</v>
      </c>
      <c r="F7758" t="s">
        <v>1139</v>
      </c>
      <c r="G7758" t="s">
        <v>32</v>
      </c>
      <c r="H7758" t="s">
        <v>33</v>
      </c>
      <c r="I7758" t="s">
        <v>59</v>
      </c>
      <c r="AB7758" t="s">
        <v>742</v>
      </c>
      <c r="AC7758" t="s">
        <v>87</v>
      </c>
    </row>
    <row r="7759" spans="1:29" x14ac:dyDescent="0.35">
      <c r="A7759" s="7">
        <v>43304</v>
      </c>
      <c r="B7759" t="s">
        <v>30</v>
      </c>
      <c r="C7759">
        <v>113</v>
      </c>
      <c r="D7759">
        <v>4</v>
      </c>
      <c r="E7759">
        <v>2</v>
      </c>
      <c r="F7759" t="s">
        <v>1139</v>
      </c>
      <c r="G7759" t="s">
        <v>32</v>
      </c>
      <c r="H7759" t="s">
        <v>33</v>
      </c>
      <c r="I7759" t="s">
        <v>59</v>
      </c>
      <c r="AB7759" t="s">
        <v>742</v>
      </c>
      <c r="AC7759" t="s">
        <v>87</v>
      </c>
    </row>
    <row r="7760" spans="1:29" x14ac:dyDescent="0.35">
      <c r="A7760" s="7">
        <v>43304</v>
      </c>
      <c r="B7760" t="s">
        <v>30</v>
      </c>
      <c r="C7760">
        <v>113</v>
      </c>
      <c r="D7760">
        <v>6</v>
      </c>
      <c r="E7760">
        <v>1</v>
      </c>
      <c r="F7760" t="s">
        <v>1139</v>
      </c>
      <c r="G7760" t="s">
        <v>32</v>
      </c>
      <c r="H7760" t="s">
        <v>33</v>
      </c>
      <c r="I7760" t="s">
        <v>59</v>
      </c>
      <c r="AB7760" t="s">
        <v>742</v>
      </c>
      <c r="AC7760" t="s">
        <v>87</v>
      </c>
    </row>
    <row r="7761" spans="1:29" x14ac:dyDescent="0.35">
      <c r="A7761" s="7">
        <v>43304</v>
      </c>
      <c r="B7761" t="s">
        <v>30</v>
      </c>
      <c r="C7761">
        <v>201</v>
      </c>
      <c r="D7761">
        <v>2</v>
      </c>
      <c r="E7761">
        <v>1</v>
      </c>
      <c r="F7761" t="s">
        <v>1170</v>
      </c>
      <c r="G7761" t="s">
        <v>32</v>
      </c>
      <c r="H7761" t="s">
        <v>33</v>
      </c>
      <c r="I7761" t="s">
        <v>59</v>
      </c>
      <c r="AB7761" t="s">
        <v>742</v>
      </c>
      <c r="AC7761" t="s">
        <v>87</v>
      </c>
    </row>
    <row r="7762" spans="1:29" x14ac:dyDescent="0.35">
      <c r="A7762" s="7">
        <v>43304</v>
      </c>
      <c r="B7762" t="s">
        <v>30</v>
      </c>
      <c r="C7762">
        <v>201</v>
      </c>
      <c r="D7762">
        <v>5</v>
      </c>
      <c r="E7762">
        <v>1</v>
      </c>
      <c r="F7762" t="s">
        <v>1170</v>
      </c>
      <c r="G7762" t="s">
        <v>32</v>
      </c>
      <c r="H7762" t="s">
        <v>33</v>
      </c>
      <c r="I7762" t="s">
        <v>59</v>
      </c>
      <c r="AB7762" t="s">
        <v>742</v>
      </c>
      <c r="AC7762" t="s">
        <v>87</v>
      </c>
    </row>
    <row r="7763" spans="1:29" x14ac:dyDescent="0.35">
      <c r="A7763" s="7">
        <v>43304</v>
      </c>
      <c r="B7763" t="s">
        <v>30</v>
      </c>
      <c r="C7763">
        <v>201</v>
      </c>
      <c r="D7763">
        <v>9</v>
      </c>
      <c r="E7763">
        <v>1</v>
      </c>
      <c r="F7763" t="s">
        <v>1170</v>
      </c>
      <c r="G7763" t="s">
        <v>32</v>
      </c>
      <c r="H7763" t="s">
        <v>33</v>
      </c>
      <c r="I7763" t="s">
        <v>59</v>
      </c>
      <c r="AB7763" t="s">
        <v>742</v>
      </c>
      <c r="AC7763" t="s">
        <v>87</v>
      </c>
    </row>
    <row r="7764" spans="1:29" x14ac:dyDescent="0.35">
      <c r="A7764" s="7">
        <v>43304</v>
      </c>
      <c r="B7764" t="s">
        <v>30</v>
      </c>
      <c r="C7764">
        <v>202</v>
      </c>
      <c r="D7764">
        <v>2</v>
      </c>
      <c r="E7764">
        <v>1</v>
      </c>
      <c r="F7764" t="s">
        <v>1170</v>
      </c>
      <c r="G7764" t="s">
        <v>32</v>
      </c>
      <c r="H7764" t="s">
        <v>33</v>
      </c>
      <c r="I7764" t="s">
        <v>59</v>
      </c>
      <c r="AB7764" t="s">
        <v>742</v>
      </c>
      <c r="AC7764" t="s">
        <v>87</v>
      </c>
    </row>
    <row r="7765" spans="1:29" x14ac:dyDescent="0.35">
      <c r="A7765" s="7">
        <v>43304</v>
      </c>
      <c r="B7765" t="s">
        <v>30</v>
      </c>
      <c r="C7765">
        <v>202</v>
      </c>
      <c r="D7765">
        <v>2</v>
      </c>
      <c r="E7765">
        <v>2</v>
      </c>
      <c r="F7765" t="s">
        <v>1170</v>
      </c>
      <c r="G7765" t="s">
        <v>32</v>
      </c>
      <c r="H7765" t="s">
        <v>33</v>
      </c>
      <c r="I7765" t="s">
        <v>59</v>
      </c>
      <c r="AB7765" t="s">
        <v>742</v>
      </c>
      <c r="AC7765" t="s">
        <v>87</v>
      </c>
    </row>
    <row r="7766" spans="1:29" x14ac:dyDescent="0.35">
      <c r="A7766" s="7">
        <v>43304</v>
      </c>
      <c r="B7766" t="s">
        <v>30</v>
      </c>
      <c r="C7766">
        <v>202</v>
      </c>
      <c r="D7766">
        <v>3</v>
      </c>
      <c r="E7766">
        <v>1</v>
      </c>
      <c r="F7766" t="s">
        <v>1170</v>
      </c>
      <c r="G7766" t="s">
        <v>32</v>
      </c>
      <c r="H7766" t="s">
        <v>33</v>
      </c>
      <c r="I7766" t="s">
        <v>59</v>
      </c>
      <c r="AB7766" t="s">
        <v>742</v>
      </c>
      <c r="AC7766" t="s">
        <v>87</v>
      </c>
    </row>
    <row r="7767" spans="1:29" x14ac:dyDescent="0.35">
      <c r="A7767" s="7">
        <v>43304</v>
      </c>
      <c r="B7767" t="s">
        <v>30</v>
      </c>
      <c r="C7767">
        <v>203</v>
      </c>
      <c r="D7767">
        <v>1</v>
      </c>
      <c r="E7767">
        <v>1</v>
      </c>
      <c r="F7767" t="s">
        <v>1170</v>
      </c>
      <c r="G7767" t="s">
        <v>32</v>
      </c>
      <c r="H7767" t="s">
        <v>33</v>
      </c>
      <c r="I7767" t="s">
        <v>59</v>
      </c>
      <c r="AB7767" t="s">
        <v>742</v>
      </c>
      <c r="AC7767" t="s">
        <v>87</v>
      </c>
    </row>
    <row r="7768" spans="1:29" x14ac:dyDescent="0.35">
      <c r="A7768" s="7">
        <v>43304</v>
      </c>
      <c r="B7768" t="s">
        <v>30</v>
      </c>
      <c r="C7768">
        <v>203</v>
      </c>
      <c r="D7768">
        <v>6</v>
      </c>
      <c r="E7768">
        <v>2</v>
      </c>
      <c r="F7768" t="s">
        <v>1170</v>
      </c>
      <c r="G7768" t="s">
        <v>32</v>
      </c>
      <c r="H7768" t="s">
        <v>33</v>
      </c>
      <c r="I7768" t="s">
        <v>59</v>
      </c>
      <c r="AB7768" t="s">
        <v>742</v>
      </c>
      <c r="AC7768" t="s">
        <v>87</v>
      </c>
    </row>
    <row r="7769" spans="1:29" x14ac:dyDescent="0.35">
      <c r="A7769" s="7">
        <v>43304</v>
      </c>
      <c r="B7769" t="s">
        <v>30</v>
      </c>
      <c r="C7769">
        <v>203</v>
      </c>
      <c r="D7769">
        <v>9</v>
      </c>
      <c r="E7769">
        <v>1</v>
      </c>
      <c r="F7769" t="s">
        <v>1170</v>
      </c>
      <c r="G7769" t="s">
        <v>32</v>
      </c>
      <c r="H7769" t="s">
        <v>33</v>
      </c>
      <c r="I7769" t="s">
        <v>59</v>
      </c>
      <c r="AB7769" t="s">
        <v>742</v>
      </c>
      <c r="AC7769" t="s">
        <v>87</v>
      </c>
    </row>
    <row r="7770" spans="1:29" x14ac:dyDescent="0.35">
      <c r="A7770" s="7">
        <v>43304</v>
      </c>
      <c r="B7770" t="s">
        <v>30</v>
      </c>
      <c r="C7770">
        <v>304</v>
      </c>
      <c r="D7770">
        <v>1</v>
      </c>
      <c r="E7770">
        <v>1</v>
      </c>
      <c r="F7770" t="s">
        <v>1170</v>
      </c>
      <c r="G7770" t="s">
        <v>32</v>
      </c>
      <c r="H7770" t="s">
        <v>33</v>
      </c>
      <c r="I7770" t="s">
        <v>59</v>
      </c>
      <c r="AB7770" t="s">
        <v>742</v>
      </c>
      <c r="AC7770" t="s">
        <v>87</v>
      </c>
    </row>
    <row r="7771" spans="1:29" x14ac:dyDescent="0.35">
      <c r="A7771" s="7">
        <v>43304</v>
      </c>
      <c r="B7771" t="s">
        <v>30</v>
      </c>
      <c r="C7771">
        <v>304</v>
      </c>
      <c r="D7771">
        <v>2</v>
      </c>
      <c r="E7771">
        <v>1</v>
      </c>
      <c r="F7771" t="s">
        <v>1170</v>
      </c>
      <c r="G7771" t="s">
        <v>32</v>
      </c>
      <c r="H7771" t="s">
        <v>33</v>
      </c>
      <c r="I7771" t="s">
        <v>59</v>
      </c>
      <c r="AB7771" t="s">
        <v>742</v>
      </c>
      <c r="AC7771" t="s">
        <v>87</v>
      </c>
    </row>
    <row r="7772" spans="1:29" x14ac:dyDescent="0.35">
      <c r="A7772" s="7">
        <v>43304</v>
      </c>
      <c r="B7772" t="s">
        <v>30</v>
      </c>
      <c r="C7772">
        <v>304</v>
      </c>
      <c r="D7772">
        <v>3</v>
      </c>
      <c r="E7772">
        <v>1</v>
      </c>
      <c r="F7772" t="s">
        <v>1170</v>
      </c>
      <c r="G7772" t="s">
        <v>32</v>
      </c>
      <c r="H7772" t="s">
        <v>33</v>
      </c>
      <c r="I7772" t="s">
        <v>59</v>
      </c>
      <c r="AB7772" t="s">
        <v>742</v>
      </c>
      <c r="AC7772" t="s">
        <v>87</v>
      </c>
    </row>
    <row r="7773" spans="1:29" x14ac:dyDescent="0.35">
      <c r="A7773" s="7">
        <v>43304</v>
      </c>
      <c r="B7773" t="s">
        <v>30</v>
      </c>
      <c r="C7773">
        <v>304</v>
      </c>
      <c r="D7773">
        <v>3</v>
      </c>
      <c r="E7773">
        <v>2</v>
      </c>
      <c r="F7773" t="s">
        <v>1170</v>
      </c>
      <c r="G7773" t="s">
        <v>32</v>
      </c>
      <c r="H7773" t="s">
        <v>33</v>
      </c>
      <c r="I7773" t="s">
        <v>59</v>
      </c>
      <c r="AB7773" t="s">
        <v>742</v>
      </c>
      <c r="AC7773" t="s">
        <v>87</v>
      </c>
    </row>
    <row r="7774" spans="1:29" x14ac:dyDescent="0.35">
      <c r="A7774" s="7">
        <v>43304</v>
      </c>
      <c r="B7774" t="s">
        <v>30</v>
      </c>
      <c r="C7774">
        <v>304</v>
      </c>
      <c r="D7774">
        <v>4</v>
      </c>
      <c r="E7774">
        <v>1</v>
      </c>
      <c r="F7774" t="s">
        <v>1170</v>
      </c>
      <c r="G7774" t="s">
        <v>32</v>
      </c>
      <c r="H7774" t="s">
        <v>33</v>
      </c>
      <c r="I7774" t="s">
        <v>59</v>
      </c>
      <c r="AB7774" t="s">
        <v>742</v>
      </c>
      <c r="AC7774" t="s">
        <v>87</v>
      </c>
    </row>
    <row r="7775" spans="1:29" x14ac:dyDescent="0.35">
      <c r="A7775" s="7">
        <v>43304</v>
      </c>
      <c r="B7775" t="s">
        <v>30</v>
      </c>
      <c r="C7775">
        <v>304</v>
      </c>
      <c r="D7775">
        <v>4</v>
      </c>
      <c r="E7775">
        <v>2</v>
      </c>
      <c r="F7775" t="s">
        <v>1170</v>
      </c>
      <c r="G7775" t="s">
        <v>32</v>
      </c>
      <c r="H7775" t="s">
        <v>33</v>
      </c>
      <c r="I7775" t="s">
        <v>59</v>
      </c>
      <c r="AB7775" t="s">
        <v>742</v>
      </c>
      <c r="AC7775" t="s">
        <v>87</v>
      </c>
    </row>
    <row r="7776" spans="1:29" x14ac:dyDescent="0.35">
      <c r="A7776" s="7">
        <v>43304</v>
      </c>
      <c r="B7776" t="s">
        <v>30</v>
      </c>
      <c r="C7776">
        <v>304</v>
      </c>
      <c r="D7776">
        <v>8</v>
      </c>
      <c r="E7776">
        <v>1</v>
      </c>
      <c r="F7776" t="s">
        <v>1170</v>
      </c>
      <c r="G7776" t="s">
        <v>32</v>
      </c>
      <c r="H7776" t="s">
        <v>33</v>
      </c>
      <c r="I7776" t="s">
        <v>59</v>
      </c>
      <c r="AB7776" t="s">
        <v>742</v>
      </c>
      <c r="AC7776" t="s">
        <v>87</v>
      </c>
    </row>
    <row r="7777" spans="1:30" x14ac:dyDescent="0.35">
      <c r="A7777" s="7">
        <v>43304</v>
      </c>
      <c r="B7777" t="s">
        <v>30</v>
      </c>
      <c r="C7777">
        <v>402</v>
      </c>
      <c r="D7777">
        <v>10</v>
      </c>
      <c r="E7777">
        <v>1</v>
      </c>
      <c r="F7777" t="s">
        <v>1139</v>
      </c>
      <c r="G7777" t="s">
        <v>32</v>
      </c>
      <c r="H7777" t="s">
        <v>33</v>
      </c>
      <c r="I7777" t="s">
        <v>59</v>
      </c>
      <c r="AB7777" t="s">
        <v>742</v>
      </c>
      <c r="AC7777" t="s">
        <v>87</v>
      </c>
    </row>
    <row r="7778" spans="1:30" x14ac:dyDescent="0.35">
      <c r="A7778" s="7">
        <v>43304</v>
      </c>
      <c r="B7778" t="s">
        <v>30</v>
      </c>
      <c r="C7778">
        <v>113</v>
      </c>
      <c r="D7778">
        <v>5</v>
      </c>
      <c r="E7778">
        <v>2</v>
      </c>
      <c r="F7778" t="s">
        <v>1139</v>
      </c>
      <c r="G7778" t="s">
        <v>32</v>
      </c>
      <c r="H7778" t="s">
        <v>33</v>
      </c>
      <c r="J7778" t="s">
        <v>139</v>
      </c>
      <c r="AB7778" t="s">
        <v>742</v>
      </c>
      <c r="AC7778" t="s">
        <v>87</v>
      </c>
      <c r="AD7778" t="s">
        <v>1243</v>
      </c>
    </row>
    <row r="7779" spans="1:30" x14ac:dyDescent="0.35">
      <c r="A7779" s="7">
        <v>43304</v>
      </c>
      <c r="B7779" t="s">
        <v>30</v>
      </c>
      <c r="C7779">
        <v>113</v>
      </c>
      <c r="D7779">
        <v>10</v>
      </c>
      <c r="E7779">
        <v>1</v>
      </c>
      <c r="F7779" t="s">
        <v>1139</v>
      </c>
      <c r="G7779" t="s">
        <v>32</v>
      </c>
      <c r="H7779" t="s">
        <v>33</v>
      </c>
      <c r="J7779" t="s">
        <v>139</v>
      </c>
      <c r="AB7779" t="s">
        <v>742</v>
      </c>
      <c r="AC7779" t="s">
        <v>87</v>
      </c>
      <c r="AD7779" t="s">
        <v>1244</v>
      </c>
    </row>
    <row r="7780" spans="1:30" x14ac:dyDescent="0.35">
      <c r="A7780" s="7">
        <v>43304</v>
      </c>
      <c r="B7780" t="s">
        <v>30</v>
      </c>
      <c r="C7780">
        <v>202</v>
      </c>
      <c r="D7780">
        <v>1</v>
      </c>
      <c r="E7780">
        <v>1</v>
      </c>
      <c r="F7780" t="s">
        <v>1170</v>
      </c>
      <c r="G7780" t="s">
        <v>32</v>
      </c>
      <c r="H7780" t="s">
        <v>33</v>
      </c>
      <c r="J7780" t="s">
        <v>139</v>
      </c>
      <c r="AB7780" t="s">
        <v>742</v>
      </c>
      <c r="AC7780" t="s">
        <v>87</v>
      </c>
    </row>
    <row r="7781" spans="1:30" x14ac:dyDescent="0.35">
      <c r="A7781" s="7">
        <v>43304</v>
      </c>
      <c r="B7781" t="s">
        <v>30</v>
      </c>
      <c r="C7781">
        <v>304</v>
      </c>
      <c r="D7781">
        <v>1</v>
      </c>
      <c r="E7781">
        <v>2</v>
      </c>
      <c r="F7781" t="s">
        <v>1170</v>
      </c>
      <c r="G7781" t="s">
        <v>32</v>
      </c>
      <c r="H7781" t="s">
        <v>33</v>
      </c>
      <c r="J7781" t="s">
        <v>139</v>
      </c>
      <c r="AB7781" t="s">
        <v>742</v>
      </c>
      <c r="AC7781" t="s">
        <v>87</v>
      </c>
    </row>
    <row r="7782" spans="1:30" x14ac:dyDescent="0.35">
      <c r="A7782" s="7">
        <v>43305</v>
      </c>
      <c r="B7782" t="s">
        <v>30</v>
      </c>
      <c r="C7782">
        <v>111</v>
      </c>
      <c r="D7782">
        <v>1</v>
      </c>
      <c r="E7782">
        <v>1</v>
      </c>
      <c r="F7782" t="s">
        <v>1139</v>
      </c>
      <c r="G7782" t="s">
        <v>32</v>
      </c>
      <c r="H7782" t="s">
        <v>33</v>
      </c>
      <c r="I7782" t="s">
        <v>43</v>
      </c>
      <c r="J7782" t="s">
        <v>44</v>
      </c>
      <c r="K7782" t="s">
        <v>88</v>
      </c>
      <c r="L7782" t="s">
        <v>45</v>
      </c>
      <c r="M7782">
        <v>0</v>
      </c>
      <c r="N7782">
        <v>0</v>
      </c>
      <c r="O7782">
        <v>1124</v>
      </c>
      <c r="P7782">
        <v>1123</v>
      </c>
      <c r="Q7782">
        <f>25-11</f>
        <v>14</v>
      </c>
      <c r="R7782" t="s">
        <v>46</v>
      </c>
      <c r="S7782" t="s">
        <v>39</v>
      </c>
      <c r="AB7782" t="s">
        <v>86</v>
      </c>
      <c r="AC7782" t="s">
        <v>87</v>
      </c>
    </row>
    <row r="7783" spans="1:30" x14ac:dyDescent="0.35">
      <c r="A7783" s="7">
        <v>43305</v>
      </c>
      <c r="B7783" t="s">
        <v>30</v>
      </c>
      <c r="C7783">
        <v>111</v>
      </c>
      <c r="D7783">
        <v>1</v>
      </c>
      <c r="E7783">
        <v>2</v>
      </c>
      <c r="F7783" t="s">
        <v>1139</v>
      </c>
      <c r="G7783" t="s">
        <v>32</v>
      </c>
      <c r="H7783" t="s">
        <v>33</v>
      </c>
      <c r="I7783" t="s">
        <v>43</v>
      </c>
      <c r="J7783" t="s">
        <v>44</v>
      </c>
      <c r="K7783" t="s">
        <v>113</v>
      </c>
      <c r="L7783" t="s">
        <v>45</v>
      </c>
      <c r="M7783">
        <v>0</v>
      </c>
      <c r="N7783">
        <v>0</v>
      </c>
      <c r="O7783">
        <v>1308</v>
      </c>
      <c r="P7783">
        <v>1307</v>
      </c>
      <c r="Q7783">
        <f>24-10</f>
        <v>14</v>
      </c>
      <c r="R7783" t="s">
        <v>46</v>
      </c>
      <c r="S7783" t="s">
        <v>39</v>
      </c>
      <c r="AB7783" t="s">
        <v>86</v>
      </c>
      <c r="AC7783" t="s">
        <v>87</v>
      </c>
    </row>
    <row r="7784" spans="1:30" x14ac:dyDescent="0.35">
      <c r="A7784" s="7">
        <v>43305</v>
      </c>
      <c r="B7784" t="s">
        <v>30</v>
      </c>
      <c r="C7784">
        <v>111</v>
      </c>
      <c r="D7784">
        <v>2</v>
      </c>
      <c r="E7784">
        <v>1</v>
      </c>
      <c r="F7784" t="s">
        <v>1139</v>
      </c>
      <c r="G7784" t="s">
        <v>32</v>
      </c>
      <c r="H7784" t="s">
        <v>33</v>
      </c>
      <c r="I7784" t="s">
        <v>43</v>
      </c>
      <c r="J7784" t="s">
        <v>44</v>
      </c>
      <c r="K7784" t="s">
        <v>88</v>
      </c>
      <c r="L7784" t="s">
        <v>37</v>
      </c>
      <c r="M7784">
        <v>0</v>
      </c>
      <c r="N7784">
        <v>0</v>
      </c>
      <c r="O7784">
        <v>1314</v>
      </c>
      <c r="P7784">
        <v>1313</v>
      </c>
      <c r="Q7784">
        <f>24-10.5</f>
        <v>13.5</v>
      </c>
      <c r="R7784" t="s">
        <v>64</v>
      </c>
      <c r="AB7784" t="s">
        <v>86</v>
      </c>
      <c r="AC7784" t="s">
        <v>87</v>
      </c>
    </row>
    <row r="7785" spans="1:30" x14ac:dyDescent="0.35">
      <c r="A7785" s="7">
        <v>43305</v>
      </c>
      <c r="B7785" t="s">
        <v>30</v>
      </c>
      <c r="C7785">
        <v>111</v>
      </c>
      <c r="D7785">
        <v>3</v>
      </c>
      <c r="E7785">
        <v>2</v>
      </c>
      <c r="F7785" t="s">
        <v>1139</v>
      </c>
      <c r="G7785" t="s">
        <v>32</v>
      </c>
      <c r="H7785" t="s">
        <v>33</v>
      </c>
      <c r="I7785" t="s">
        <v>43</v>
      </c>
      <c r="J7785" t="s">
        <v>44</v>
      </c>
      <c r="K7785" t="s">
        <v>88</v>
      </c>
      <c r="L7785" t="s">
        <v>45</v>
      </c>
      <c r="M7785">
        <v>0</v>
      </c>
      <c r="N7785">
        <v>0</v>
      </c>
      <c r="O7785">
        <v>1306</v>
      </c>
      <c r="P7785">
        <v>1305</v>
      </c>
      <c r="Q7785">
        <f>27.5-14</f>
        <v>13.5</v>
      </c>
      <c r="R7785" t="s">
        <v>46</v>
      </c>
      <c r="S7785" t="s">
        <v>39</v>
      </c>
      <c r="AB7785" t="s">
        <v>86</v>
      </c>
      <c r="AC7785" t="s">
        <v>87</v>
      </c>
      <c r="AD7785" t="s">
        <v>1245</v>
      </c>
    </row>
    <row r="7786" spans="1:30" x14ac:dyDescent="0.35">
      <c r="A7786" s="7">
        <v>43305</v>
      </c>
      <c r="B7786" t="s">
        <v>30</v>
      </c>
      <c r="C7786">
        <v>111</v>
      </c>
      <c r="D7786">
        <v>6</v>
      </c>
      <c r="E7786">
        <v>1</v>
      </c>
      <c r="F7786" t="s">
        <v>1139</v>
      </c>
      <c r="G7786" t="s">
        <v>32</v>
      </c>
      <c r="H7786" t="s">
        <v>33</v>
      </c>
      <c r="I7786" t="s">
        <v>43</v>
      </c>
      <c r="J7786" t="s">
        <v>44</v>
      </c>
      <c r="K7786" t="s">
        <v>36</v>
      </c>
      <c r="L7786" t="s">
        <v>45</v>
      </c>
      <c r="M7786">
        <v>0</v>
      </c>
      <c r="N7786">
        <v>0</v>
      </c>
      <c r="O7786">
        <v>2463</v>
      </c>
      <c r="P7786">
        <v>2462</v>
      </c>
      <c r="Q7786">
        <f>31-10</f>
        <v>21</v>
      </c>
      <c r="R7786" t="s">
        <v>1021</v>
      </c>
      <c r="S7786" t="s">
        <v>102</v>
      </c>
      <c r="AB7786" t="s">
        <v>86</v>
      </c>
      <c r="AC7786" t="s">
        <v>87</v>
      </c>
    </row>
    <row r="7787" spans="1:30" x14ac:dyDescent="0.35">
      <c r="A7787" s="7">
        <v>43305</v>
      </c>
      <c r="B7787" t="s">
        <v>30</v>
      </c>
      <c r="C7787">
        <v>111</v>
      </c>
      <c r="D7787">
        <v>7</v>
      </c>
      <c r="E7787">
        <v>1</v>
      </c>
      <c r="F7787" t="s">
        <v>1139</v>
      </c>
      <c r="G7787" t="s">
        <v>32</v>
      </c>
      <c r="H7787" t="s">
        <v>33</v>
      </c>
      <c r="I7787" t="s">
        <v>43</v>
      </c>
      <c r="J7787" t="s">
        <v>44</v>
      </c>
      <c r="K7787" t="s">
        <v>88</v>
      </c>
      <c r="L7787" t="s">
        <v>37</v>
      </c>
      <c r="M7787">
        <v>0</v>
      </c>
      <c r="N7787">
        <v>0</v>
      </c>
      <c r="O7787">
        <v>1315</v>
      </c>
      <c r="P7787">
        <v>1316</v>
      </c>
      <c r="Q7787">
        <f>23-9.5</f>
        <v>13.5</v>
      </c>
      <c r="R7787" t="s">
        <v>64</v>
      </c>
      <c r="AB7787" t="s">
        <v>86</v>
      </c>
      <c r="AC7787" t="s">
        <v>87</v>
      </c>
    </row>
    <row r="7788" spans="1:30" x14ac:dyDescent="0.35">
      <c r="A7788" s="7">
        <v>43305</v>
      </c>
      <c r="B7788" t="s">
        <v>30</v>
      </c>
      <c r="C7788">
        <v>111</v>
      </c>
      <c r="D7788">
        <v>8</v>
      </c>
      <c r="E7788">
        <v>1</v>
      </c>
      <c r="F7788" t="s">
        <v>1139</v>
      </c>
      <c r="G7788" t="s">
        <v>32</v>
      </c>
      <c r="H7788" t="s">
        <v>33</v>
      </c>
      <c r="I7788" t="s">
        <v>43</v>
      </c>
      <c r="J7788" t="s">
        <v>35</v>
      </c>
      <c r="K7788" t="s">
        <v>36</v>
      </c>
      <c r="L7788" t="s">
        <v>37</v>
      </c>
      <c r="M7788">
        <v>0</v>
      </c>
      <c r="N7788">
        <v>1</v>
      </c>
      <c r="O7788">
        <v>1391</v>
      </c>
      <c r="P7788">
        <v>1390</v>
      </c>
      <c r="Q7788">
        <f>29-9</f>
        <v>20</v>
      </c>
      <c r="R7788" t="s">
        <v>38</v>
      </c>
      <c r="AB7788" t="s">
        <v>86</v>
      </c>
      <c r="AC7788" t="s">
        <v>87</v>
      </c>
    </row>
    <row r="7789" spans="1:30" x14ac:dyDescent="0.35">
      <c r="A7789" s="7">
        <v>43305</v>
      </c>
      <c r="B7789" t="s">
        <v>30</v>
      </c>
      <c r="C7789">
        <v>111</v>
      </c>
      <c r="D7789">
        <v>9</v>
      </c>
      <c r="E7789">
        <v>1</v>
      </c>
      <c r="F7789" t="s">
        <v>1139</v>
      </c>
      <c r="G7789" t="s">
        <v>32</v>
      </c>
      <c r="H7789" t="s">
        <v>33</v>
      </c>
      <c r="I7789" t="s">
        <v>43</v>
      </c>
      <c r="J7789" t="s">
        <v>44</v>
      </c>
      <c r="K7789" t="s">
        <v>113</v>
      </c>
      <c r="L7789" t="s">
        <v>45</v>
      </c>
      <c r="M7789">
        <v>0</v>
      </c>
      <c r="N7789">
        <v>0</v>
      </c>
      <c r="O7789">
        <v>1063</v>
      </c>
      <c r="P7789">
        <v>1062</v>
      </c>
      <c r="Q7789">
        <f>27.5-11</f>
        <v>16.5</v>
      </c>
      <c r="R7789" t="s">
        <v>46</v>
      </c>
      <c r="S7789" t="s">
        <v>39</v>
      </c>
      <c r="AB7789" t="s">
        <v>86</v>
      </c>
      <c r="AC7789" t="s">
        <v>87</v>
      </c>
    </row>
    <row r="7790" spans="1:30" x14ac:dyDescent="0.35">
      <c r="A7790" s="7">
        <v>43305</v>
      </c>
      <c r="B7790" t="s">
        <v>30</v>
      </c>
      <c r="C7790">
        <v>111</v>
      </c>
      <c r="D7790">
        <v>9</v>
      </c>
      <c r="E7790">
        <v>2</v>
      </c>
      <c r="F7790" t="s">
        <v>1139</v>
      </c>
      <c r="G7790" t="s">
        <v>32</v>
      </c>
      <c r="H7790" t="s">
        <v>33</v>
      </c>
      <c r="I7790" t="s">
        <v>43</v>
      </c>
      <c r="J7790" t="s">
        <v>44</v>
      </c>
      <c r="K7790" t="s">
        <v>36</v>
      </c>
      <c r="L7790" t="s">
        <v>45</v>
      </c>
      <c r="M7790">
        <v>0</v>
      </c>
      <c r="N7790">
        <v>0</v>
      </c>
      <c r="O7790">
        <v>2406</v>
      </c>
      <c r="P7790">
        <v>2405</v>
      </c>
      <c r="R7790" t="s">
        <v>77</v>
      </c>
      <c r="S7790" t="s">
        <v>39</v>
      </c>
      <c r="AB7790" t="s">
        <v>86</v>
      </c>
      <c r="AC7790" t="s">
        <v>87</v>
      </c>
    </row>
    <row r="7791" spans="1:30" x14ac:dyDescent="0.35">
      <c r="A7791" s="7">
        <v>43305</v>
      </c>
      <c r="B7791" t="s">
        <v>30</v>
      </c>
      <c r="C7791">
        <v>111</v>
      </c>
      <c r="D7791">
        <v>10</v>
      </c>
      <c r="E7791">
        <v>1</v>
      </c>
      <c r="F7791" t="s">
        <v>1139</v>
      </c>
      <c r="G7791" t="s">
        <v>32</v>
      </c>
      <c r="H7791" t="s">
        <v>33</v>
      </c>
      <c r="I7791" t="s">
        <v>43</v>
      </c>
      <c r="J7791" t="s">
        <v>35</v>
      </c>
      <c r="K7791" t="s">
        <v>113</v>
      </c>
      <c r="L7791" t="s">
        <v>37</v>
      </c>
      <c r="M7791">
        <v>0</v>
      </c>
      <c r="N7791">
        <v>1</v>
      </c>
      <c r="O7791">
        <v>1389</v>
      </c>
      <c r="P7791">
        <v>1388</v>
      </c>
      <c r="Q7791">
        <f>31.5-15</f>
        <v>16.5</v>
      </c>
      <c r="R7791" t="s">
        <v>38</v>
      </c>
      <c r="AB7791" t="s">
        <v>86</v>
      </c>
      <c r="AC7791" t="s">
        <v>87</v>
      </c>
    </row>
    <row r="7792" spans="1:30" x14ac:dyDescent="0.35">
      <c r="A7792" s="7">
        <v>43305</v>
      </c>
      <c r="B7792" t="s">
        <v>30</v>
      </c>
      <c r="C7792">
        <v>111</v>
      </c>
      <c r="D7792">
        <v>10</v>
      </c>
      <c r="E7792">
        <v>2</v>
      </c>
      <c r="F7792" t="s">
        <v>1139</v>
      </c>
      <c r="G7792" t="s">
        <v>32</v>
      </c>
      <c r="H7792" t="s">
        <v>33</v>
      </c>
      <c r="I7792" t="s">
        <v>43</v>
      </c>
      <c r="J7792" t="s">
        <v>35</v>
      </c>
      <c r="K7792" t="s">
        <v>113</v>
      </c>
      <c r="L7792" t="s">
        <v>37</v>
      </c>
      <c r="M7792">
        <v>0</v>
      </c>
      <c r="N7792">
        <v>1</v>
      </c>
      <c r="O7792">
        <v>1387</v>
      </c>
      <c r="P7792">
        <v>1386</v>
      </c>
      <c r="Q7792">
        <f>33-16</f>
        <v>17</v>
      </c>
      <c r="R7792" t="s">
        <v>38</v>
      </c>
      <c r="AB7792" t="s">
        <v>86</v>
      </c>
      <c r="AC7792" t="s">
        <v>87</v>
      </c>
    </row>
    <row r="7793" spans="1:30" x14ac:dyDescent="0.35">
      <c r="A7793" s="7">
        <v>43305</v>
      </c>
      <c r="B7793" t="s">
        <v>30</v>
      </c>
      <c r="C7793">
        <v>112</v>
      </c>
      <c r="D7793">
        <v>1</v>
      </c>
      <c r="E7793">
        <v>1</v>
      </c>
      <c r="F7793" t="s">
        <v>1139</v>
      </c>
      <c r="G7793" t="s">
        <v>32</v>
      </c>
      <c r="H7793" t="s">
        <v>33</v>
      </c>
      <c r="I7793" t="s">
        <v>43</v>
      </c>
      <c r="J7793" t="s">
        <v>44</v>
      </c>
      <c r="K7793" t="s">
        <v>88</v>
      </c>
      <c r="L7793" t="s">
        <v>45</v>
      </c>
      <c r="M7793">
        <v>0</v>
      </c>
      <c r="N7793">
        <v>0</v>
      </c>
      <c r="O7793">
        <v>1344</v>
      </c>
      <c r="P7793">
        <v>1343</v>
      </c>
      <c r="R7793" t="s">
        <v>46</v>
      </c>
      <c r="S7793" t="s">
        <v>39</v>
      </c>
      <c r="AB7793" t="s">
        <v>86</v>
      </c>
      <c r="AC7793" t="s">
        <v>87</v>
      </c>
    </row>
    <row r="7794" spans="1:30" x14ac:dyDescent="0.35">
      <c r="A7794" s="7">
        <v>43305</v>
      </c>
      <c r="B7794" t="s">
        <v>30</v>
      </c>
      <c r="C7794">
        <v>112</v>
      </c>
      <c r="D7794">
        <v>2</v>
      </c>
      <c r="E7794">
        <v>1</v>
      </c>
      <c r="F7794" t="s">
        <v>1139</v>
      </c>
      <c r="G7794" t="s">
        <v>32</v>
      </c>
      <c r="H7794" t="s">
        <v>33</v>
      </c>
      <c r="I7794" t="s">
        <v>43</v>
      </c>
      <c r="J7794" t="s">
        <v>44</v>
      </c>
      <c r="K7794" t="s">
        <v>88</v>
      </c>
      <c r="L7794" t="s">
        <v>37</v>
      </c>
      <c r="M7794">
        <v>0</v>
      </c>
      <c r="N7794">
        <v>0</v>
      </c>
      <c r="O7794">
        <v>1334</v>
      </c>
      <c r="P7794">
        <v>1333</v>
      </c>
      <c r="Q7794">
        <f>26-11.5</f>
        <v>14.5</v>
      </c>
      <c r="R7794" t="s">
        <v>64</v>
      </c>
      <c r="AB7794" t="s">
        <v>86</v>
      </c>
      <c r="AC7794" t="s">
        <v>87</v>
      </c>
    </row>
    <row r="7795" spans="1:30" x14ac:dyDescent="0.35">
      <c r="A7795" s="7">
        <v>43305</v>
      </c>
      <c r="B7795" t="s">
        <v>30</v>
      </c>
      <c r="C7795">
        <v>112</v>
      </c>
      <c r="D7795">
        <v>2</v>
      </c>
      <c r="E7795">
        <v>2</v>
      </c>
      <c r="F7795" t="s">
        <v>1139</v>
      </c>
      <c r="G7795" t="s">
        <v>32</v>
      </c>
      <c r="H7795" t="s">
        <v>33</v>
      </c>
      <c r="I7795" t="s">
        <v>43</v>
      </c>
      <c r="J7795" t="s">
        <v>44</v>
      </c>
      <c r="K7795" t="s">
        <v>113</v>
      </c>
      <c r="L7795" t="s">
        <v>37</v>
      </c>
      <c r="M7795">
        <v>0</v>
      </c>
      <c r="N7795">
        <v>0</v>
      </c>
      <c r="O7795">
        <v>1346</v>
      </c>
      <c r="P7795">
        <v>1345</v>
      </c>
      <c r="Q7795">
        <f>30-16</f>
        <v>14</v>
      </c>
      <c r="R7795" t="s">
        <v>64</v>
      </c>
      <c r="AB7795" t="s">
        <v>86</v>
      </c>
      <c r="AC7795" t="s">
        <v>87</v>
      </c>
    </row>
    <row r="7796" spans="1:30" x14ac:dyDescent="0.35">
      <c r="A7796" s="7">
        <v>43305</v>
      </c>
      <c r="B7796" t="s">
        <v>30</v>
      </c>
      <c r="C7796">
        <v>112</v>
      </c>
      <c r="D7796">
        <v>3</v>
      </c>
      <c r="E7796">
        <v>1</v>
      </c>
      <c r="F7796" t="s">
        <v>1139</v>
      </c>
      <c r="G7796" t="s">
        <v>32</v>
      </c>
      <c r="H7796" t="s">
        <v>33</v>
      </c>
      <c r="I7796" t="s">
        <v>43</v>
      </c>
      <c r="J7796" t="s">
        <v>44</v>
      </c>
      <c r="K7796" t="s">
        <v>113</v>
      </c>
      <c r="L7796" t="s">
        <v>37</v>
      </c>
      <c r="M7796">
        <v>0</v>
      </c>
      <c r="N7796">
        <v>0</v>
      </c>
      <c r="O7796">
        <v>1475</v>
      </c>
      <c r="P7796">
        <v>1474</v>
      </c>
      <c r="Q7796">
        <f>29.5-15</f>
        <v>14.5</v>
      </c>
      <c r="R7796" t="s">
        <v>64</v>
      </c>
      <c r="AB7796" t="s">
        <v>86</v>
      </c>
      <c r="AC7796" t="s">
        <v>87</v>
      </c>
    </row>
    <row r="7797" spans="1:30" x14ac:dyDescent="0.35">
      <c r="A7797" s="7">
        <v>43305</v>
      </c>
      <c r="B7797" t="s">
        <v>30</v>
      </c>
      <c r="C7797">
        <v>112</v>
      </c>
      <c r="D7797">
        <v>5</v>
      </c>
      <c r="E7797">
        <v>1</v>
      </c>
      <c r="F7797" t="s">
        <v>1139</v>
      </c>
      <c r="G7797" t="s">
        <v>32</v>
      </c>
      <c r="H7797" t="s">
        <v>33</v>
      </c>
      <c r="I7797" t="s">
        <v>43</v>
      </c>
      <c r="J7797" t="s">
        <v>44</v>
      </c>
      <c r="K7797" t="s">
        <v>88</v>
      </c>
      <c r="L7797" t="s">
        <v>45</v>
      </c>
      <c r="M7797">
        <v>0</v>
      </c>
      <c r="N7797">
        <v>0</v>
      </c>
      <c r="O7797">
        <v>1332</v>
      </c>
      <c r="P7797">
        <v>1331</v>
      </c>
      <c r="Q7797">
        <f>27-13</f>
        <v>14</v>
      </c>
      <c r="R7797" t="s">
        <v>46</v>
      </c>
      <c r="S7797" t="s">
        <v>39</v>
      </c>
      <c r="AB7797" t="s">
        <v>86</v>
      </c>
      <c r="AC7797" t="s">
        <v>87</v>
      </c>
    </row>
    <row r="7798" spans="1:30" x14ac:dyDescent="0.35">
      <c r="A7798" s="7">
        <v>43305</v>
      </c>
      <c r="B7798" t="s">
        <v>30</v>
      </c>
      <c r="C7798">
        <v>201</v>
      </c>
      <c r="D7798">
        <v>2</v>
      </c>
      <c r="E7798">
        <v>2</v>
      </c>
      <c r="F7798" t="s">
        <v>1170</v>
      </c>
      <c r="G7798" t="s">
        <v>32</v>
      </c>
      <c r="H7798" t="s">
        <v>33</v>
      </c>
      <c r="I7798" t="s">
        <v>43</v>
      </c>
      <c r="J7798" t="s">
        <v>44</v>
      </c>
      <c r="K7798" t="s">
        <v>113</v>
      </c>
      <c r="L7798" t="s">
        <v>37</v>
      </c>
      <c r="M7798">
        <v>0</v>
      </c>
      <c r="N7798">
        <v>0</v>
      </c>
      <c r="O7798">
        <v>1196</v>
      </c>
      <c r="P7798">
        <v>1195</v>
      </c>
      <c r="Q7798">
        <f>29.5-14</f>
        <v>15.5</v>
      </c>
      <c r="R7798" t="s">
        <v>64</v>
      </c>
      <c r="AB7798" t="s">
        <v>1136</v>
      </c>
      <c r="AC7798" t="s">
        <v>87</v>
      </c>
    </row>
    <row r="7799" spans="1:30" x14ac:dyDescent="0.35">
      <c r="A7799" s="7">
        <v>43305</v>
      </c>
      <c r="B7799" t="s">
        <v>30</v>
      </c>
      <c r="C7799">
        <v>201</v>
      </c>
      <c r="D7799">
        <v>3</v>
      </c>
      <c r="E7799">
        <v>1</v>
      </c>
      <c r="F7799" t="s">
        <v>1170</v>
      </c>
      <c r="G7799" t="s">
        <v>32</v>
      </c>
      <c r="H7799" t="s">
        <v>33</v>
      </c>
      <c r="I7799" t="s">
        <v>43</v>
      </c>
      <c r="J7799" t="s">
        <v>44</v>
      </c>
      <c r="K7799" t="s">
        <v>113</v>
      </c>
      <c r="L7799" t="s">
        <v>45</v>
      </c>
      <c r="M7799">
        <v>0</v>
      </c>
      <c r="N7799">
        <v>0</v>
      </c>
      <c r="O7799">
        <v>1283</v>
      </c>
      <c r="P7799">
        <f>1281</f>
        <v>1281</v>
      </c>
      <c r="Q7799">
        <f>31-14</f>
        <v>17</v>
      </c>
      <c r="R7799" t="s">
        <v>46</v>
      </c>
      <c r="S7799" t="s">
        <v>39</v>
      </c>
      <c r="AB7799" t="s">
        <v>1136</v>
      </c>
      <c r="AC7799" t="s">
        <v>87</v>
      </c>
    </row>
    <row r="7800" spans="1:30" x14ac:dyDescent="0.35">
      <c r="A7800" s="7">
        <v>43305</v>
      </c>
      <c r="B7800" t="s">
        <v>30</v>
      </c>
      <c r="C7800">
        <v>201</v>
      </c>
      <c r="D7800">
        <v>7</v>
      </c>
      <c r="E7800">
        <v>1</v>
      </c>
      <c r="F7800" t="s">
        <v>1170</v>
      </c>
      <c r="G7800" t="s">
        <v>32</v>
      </c>
      <c r="H7800" t="s">
        <v>33</v>
      </c>
      <c r="I7800" t="s">
        <v>43</v>
      </c>
      <c r="J7800" t="s">
        <v>44</v>
      </c>
      <c r="K7800" t="s">
        <v>88</v>
      </c>
      <c r="L7800" t="s">
        <v>37</v>
      </c>
      <c r="M7800">
        <v>0</v>
      </c>
      <c r="N7800">
        <v>0</v>
      </c>
      <c r="O7800">
        <v>1190</v>
      </c>
      <c r="P7800">
        <v>1189</v>
      </c>
      <c r="Q7800">
        <f>32-19</f>
        <v>13</v>
      </c>
      <c r="R7800" t="s">
        <v>46</v>
      </c>
      <c r="AB7800" t="s">
        <v>1136</v>
      </c>
      <c r="AC7800" t="s">
        <v>87</v>
      </c>
    </row>
    <row r="7801" spans="1:30" x14ac:dyDescent="0.35">
      <c r="A7801" s="7">
        <v>43305</v>
      </c>
      <c r="B7801" t="s">
        <v>30</v>
      </c>
      <c r="C7801">
        <v>201</v>
      </c>
      <c r="D7801">
        <v>10</v>
      </c>
      <c r="E7801">
        <v>1</v>
      </c>
      <c r="F7801" t="s">
        <v>1170</v>
      </c>
      <c r="G7801" t="s">
        <v>32</v>
      </c>
      <c r="H7801" t="s">
        <v>33</v>
      </c>
      <c r="I7801" t="s">
        <v>43</v>
      </c>
      <c r="J7801" t="s">
        <v>44</v>
      </c>
      <c r="K7801" t="s">
        <v>113</v>
      </c>
      <c r="L7801" t="s">
        <v>37</v>
      </c>
      <c r="M7801">
        <v>0</v>
      </c>
      <c r="N7801">
        <v>0</v>
      </c>
      <c r="O7801">
        <v>1138</v>
      </c>
      <c r="P7801">
        <v>1137</v>
      </c>
      <c r="Q7801">
        <f>34-20</f>
        <v>14</v>
      </c>
      <c r="R7801" t="s">
        <v>46</v>
      </c>
      <c r="S7801" t="s">
        <v>39</v>
      </c>
      <c r="AB7801" t="s">
        <v>1136</v>
      </c>
      <c r="AC7801" t="s">
        <v>87</v>
      </c>
    </row>
    <row r="7802" spans="1:30" x14ac:dyDescent="0.35">
      <c r="A7802" s="7">
        <v>43305</v>
      </c>
      <c r="B7802" t="s">
        <v>30</v>
      </c>
      <c r="C7802">
        <v>202</v>
      </c>
      <c r="D7802">
        <v>2</v>
      </c>
      <c r="E7802">
        <v>2</v>
      </c>
      <c r="F7802" t="s">
        <v>1170</v>
      </c>
      <c r="G7802" t="s">
        <v>32</v>
      </c>
      <c r="H7802" t="s">
        <v>33</v>
      </c>
      <c r="I7802" t="s">
        <v>43</v>
      </c>
      <c r="J7802" t="s">
        <v>44</v>
      </c>
      <c r="K7802" t="s">
        <v>36</v>
      </c>
      <c r="L7802" t="s">
        <v>45</v>
      </c>
      <c r="M7802">
        <v>0</v>
      </c>
      <c r="N7802">
        <v>0</v>
      </c>
      <c r="O7802">
        <v>1281</v>
      </c>
      <c r="P7802">
        <v>1280</v>
      </c>
      <c r="Q7802">
        <f>42-20.5</f>
        <v>21.5</v>
      </c>
      <c r="R7802" t="s">
        <v>77</v>
      </c>
      <c r="AB7802" t="s">
        <v>1136</v>
      </c>
      <c r="AC7802" t="s">
        <v>87</v>
      </c>
    </row>
    <row r="7803" spans="1:30" x14ac:dyDescent="0.35">
      <c r="A7803" s="7">
        <v>43305</v>
      </c>
      <c r="B7803" t="s">
        <v>30</v>
      </c>
      <c r="C7803">
        <v>202</v>
      </c>
      <c r="D7803">
        <v>4</v>
      </c>
      <c r="E7803">
        <v>1</v>
      </c>
      <c r="F7803" t="s">
        <v>1170</v>
      </c>
      <c r="G7803" t="s">
        <v>32</v>
      </c>
      <c r="H7803" t="s">
        <v>33</v>
      </c>
      <c r="I7803" t="s">
        <v>43</v>
      </c>
      <c r="J7803" t="s">
        <v>35</v>
      </c>
      <c r="K7803" t="s">
        <v>113</v>
      </c>
      <c r="L7803" t="s">
        <v>37</v>
      </c>
      <c r="M7803">
        <v>0</v>
      </c>
      <c r="N7803">
        <v>1</v>
      </c>
      <c r="O7803">
        <v>1258</v>
      </c>
      <c r="P7803">
        <v>1257</v>
      </c>
      <c r="Q7803">
        <f>36.5-20</f>
        <v>16.5</v>
      </c>
      <c r="R7803" t="s">
        <v>64</v>
      </c>
      <c r="AB7803" t="s">
        <v>1136</v>
      </c>
      <c r="AC7803" t="s">
        <v>87</v>
      </c>
    </row>
    <row r="7804" spans="1:30" x14ac:dyDescent="0.35">
      <c r="A7804" s="7">
        <v>43305</v>
      </c>
      <c r="B7804" t="s">
        <v>30</v>
      </c>
      <c r="C7804">
        <v>111</v>
      </c>
      <c r="D7804">
        <v>5</v>
      </c>
      <c r="E7804">
        <v>1</v>
      </c>
      <c r="F7804" t="s">
        <v>1139</v>
      </c>
      <c r="G7804" t="s">
        <v>32</v>
      </c>
      <c r="H7804" t="s">
        <v>33</v>
      </c>
      <c r="I7804" t="s">
        <v>34</v>
      </c>
      <c r="J7804" t="s">
        <v>44</v>
      </c>
      <c r="K7804" t="s">
        <v>36</v>
      </c>
      <c r="L7804" t="s">
        <v>45</v>
      </c>
      <c r="M7804">
        <v>0</v>
      </c>
      <c r="N7804">
        <v>0</v>
      </c>
      <c r="O7804">
        <v>1317</v>
      </c>
      <c r="Q7804">
        <f>185-110</f>
        <v>75</v>
      </c>
      <c r="R7804" t="s">
        <v>46</v>
      </c>
      <c r="S7804" t="s">
        <v>39</v>
      </c>
      <c r="AB7804" t="s">
        <v>86</v>
      </c>
      <c r="AC7804" t="s">
        <v>87</v>
      </c>
    </row>
    <row r="7805" spans="1:30" x14ac:dyDescent="0.35">
      <c r="A7805" s="7">
        <v>43305</v>
      </c>
      <c r="B7805" t="s">
        <v>30</v>
      </c>
      <c r="C7805">
        <v>112</v>
      </c>
      <c r="D7805">
        <v>4</v>
      </c>
      <c r="E7805">
        <v>1</v>
      </c>
      <c r="F7805" t="s">
        <v>1139</v>
      </c>
      <c r="G7805" t="s">
        <v>32</v>
      </c>
      <c r="H7805" t="s">
        <v>33</v>
      </c>
      <c r="I7805" t="s">
        <v>34</v>
      </c>
      <c r="J7805" t="s">
        <v>35</v>
      </c>
      <c r="K7805" t="s">
        <v>36</v>
      </c>
      <c r="L7805" t="s">
        <v>37</v>
      </c>
      <c r="M7805">
        <v>0</v>
      </c>
      <c r="N7805">
        <v>1</v>
      </c>
      <c r="P7805">
        <v>1384</v>
      </c>
      <c r="Q7805">
        <f>185-100</f>
        <v>85</v>
      </c>
      <c r="R7805" t="s">
        <v>38</v>
      </c>
      <c r="AB7805" t="s">
        <v>86</v>
      </c>
      <c r="AC7805" t="s">
        <v>87</v>
      </c>
    </row>
    <row r="7806" spans="1:30" x14ac:dyDescent="0.35">
      <c r="A7806" s="7">
        <v>43305</v>
      </c>
      <c r="B7806" t="s">
        <v>30</v>
      </c>
      <c r="C7806">
        <v>113</v>
      </c>
      <c r="D7806">
        <v>1</v>
      </c>
      <c r="E7806">
        <v>1</v>
      </c>
      <c r="F7806" t="s">
        <v>1139</v>
      </c>
      <c r="G7806" t="s">
        <v>32</v>
      </c>
      <c r="H7806" t="s">
        <v>33</v>
      </c>
      <c r="I7806" t="s">
        <v>34</v>
      </c>
      <c r="J7806" t="s">
        <v>44</v>
      </c>
      <c r="K7806" t="s">
        <v>36</v>
      </c>
      <c r="L7806" t="s">
        <v>45</v>
      </c>
      <c r="M7806">
        <v>0</v>
      </c>
      <c r="N7806">
        <v>0</v>
      </c>
      <c r="O7806">
        <v>1118</v>
      </c>
      <c r="Q7806">
        <f>200-100</f>
        <v>100</v>
      </c>
      <c r="R7806" t="s">
        <v>46</v>
      </c>
      <c r="S7806" t="s">
        <v>39</v>
      </c>
      <c r="AB7806" t="s">
        <v>86</v>
      </c>
      <c r="AC7806" t="s">
        <v>87</v>
      </c>
    </row>
    <row r="7807" spans="1:30" x14ac:dyDescent="0.35">
      <c r="A7807" s="7">
        <v>43305</v>
      </c>
      <c r="B7807" t="s">
        <v>30</v>
      </c>
      <c r="C7807">
        <v>113</v>
      </c>
      <c r="D7807">
        <v>7</v>
      </c>
      <c r="E7807">
        <v>2</v>
      </c>
      <c r="F7807" t="s">
        <v>1139</v>
      </c>
      <c r="G7807" t="s">
        <v>32</v>
      </c>
      <c r="H7807" t="s">
        <v>33</v>
      </c>
      <c r="I7807" t="s">
        <v>34</v>
      </c>
      <c r="J7807" t="s">
        <v>44</v>
      </c>
      <c r="K7807" t="s">
        <v>36</v>
      </c>
      <c r="L7807" t="s">
        <v>37</v>
      </c>
      <c r="M7807">
        <v>0</v>
      </c>
      <c r="N7807">
        <v>0</v>
      </c>
      <c r="O7807">
        <v>1340</v>
      </c>
      <c r="Q7807">
        <f>180-100</f>
        <v>80</v>
      </c>
      <c r="R7807" t="s">
        <v>38</v>
      </c>
      <c r="AB7807" t="s">
        <v>86</v>
      </c>
      <c r="AC7807" t="s">
        <v>87</v>
      </c>
    </row>
    <row r="7808" spans="1:30" x14ac:dyDescent="0.35">
      <c r="A7808" s="7">
        <v>43305</v>
      </c>
      <c r="B7808" t="s">
        <v>30</v>
      </c>
      <c r="C7808">
        <v>113</v>
      </c>
      <c r="D7808">
        <v>8</v>
      </c>
      <c r="E7808">
        <v>1</v>
      </c>
      <c r="F7808" t="s">
        <v>1139</v>
      </c>
      <c r="G7808" t="s">
        <v>32</v>
      </c>
      <c r="H7808" t="s">
        <v>33</v>
      </c>
      <c r="I7808" t="s">
        <v>34</v>
      </c>
      <c r="J7808" t="s">
        <v>44</v>
      </c>
      <c r="K7808" t="s">
        <v>36</v>
      </c>
      <c r="L7808" t="s">
        <v>45</v>
      </c>
      <c r="M7808">
        <v>0</v>
      </c>
      <c r="N7808">
        <v>0</v>
      </c>
      <c r="O7808">
        <v>1056</v>
      </c>
      <c r="Q7808">
        <f>190-100</f>
        <v>90</v>
      </c>
      <c r="R7808" t="s">
        <v>46</v>
      </c>
      <c r="S7808" t="s">
        <v>39</v>
      </c>
      <c r="AB7808" t="s">
        <v>86</v>
      </c>
      <c r="AC7808" t="s">
        <v>87</v>
      </c>
      <c r="AD7808" t="s">
        <v>1246</v>
      </c>
    </row>
    <row r="7809" spans="1:30" x14ac:dyDescent="0.35">
      <c r="A7809" s="7">
        <v>43305</v>
      </c>
      <c r="B7809" t="s">
        <v>30</v>
      </c>
      <c r="C7809">
        <v>113</v>
      </c>
      <c r="D7809">
        <v>10</v>
      </c>
      <c r="E7809">
        <v>1</v>
      </c>
      <c r="F7809" t="s">
        <v>1139</v>
      </c>
      <c r="G7809" t="s">
        <v>32</v>
      </c>
      <c r="H7809" t="s">
        <v>33</v>
      </c>
      <c r="I7809" t="s">
        <v>34</v>
      </c>
      <c r="J7809" t="s">
        <v>44</v>
      </c>
      <c r="K7809" t="s">
        <v>36</v>
      </c>
      <c r="L7809" t="s">
        <v>37</v>
      </c>
      <c r="M7809">
        <v>0</v>
      </c>
      <c r="N7809">
        <v>0</v>
      </c>
      <c r="O7809">
        <v>1347</v>
      </c>
      <c r="Q7809">
        <f>200-105</f>
        <v>95</v>
      </c>
      <c r="R7809" t="s">
        <v>38</v>
      </c>
      <c r="AB7809" t="s">
        <v>86</v>
      </c>
      <c r="AC7809" t="s">
        <v>87</v>
      </c>
    </row>
    <row r="7810" spans="1:30" x14ac:dyDescent="0.35">
      <c r="A7810" s="7">
        <v>43305</v>
      </c>
      <c r="B7810" t="s">
        <v>30</v>
      </c>
      <c r="C7810">
        <v>202</v>
      </c>
      <c r="D7810">
        <v>2</v>
      </c>
      <c r="E7810">
        <v>1</v>
      </c>
      <c r="F7810" t="s">
        <v>1170</v>
      </c>
      <c r="G7810" t="s">
        <v>32</v>
      </c>
      <c r="H7810" t="s">
        <v>33</v>
      </c>
      <c r="I7810" t="s">
        <v>34</v>
      </c>
      <c r="J7810" t="s">
        <v>139</v>
      </c>
      <c r="AB7810" t="s">
        <v>1136</v>
      </c>
      <c r="AC7810" t="s">
        <v>87</v>
      </c>
      <c r="AD7810" t="s">
        <v>1247</v>
      </c>
    </row>
    <row r="7811" spans="1:30" x14ac:dyDescent="0.35">
      <c r="A7811" s="7">
        <v>43305</v>
      </c>
      <c r="B7811" t="s">
        <v>30</v>
      </c>
      <c r="C7811">
        <v>202</v>
      </c>
      <c r="D7811">
        <v>5</v>
      </c>
      <c r="E7811">
        <v>2</v>
      </c>
      <c r="F7811" t="s">
        <v>1170</v>
      </c>
      <c r="G7811" t="s">
        <v>32</v>
      </c>
      <c r="H7811" t="s">
        <v>33</v>
      </c>
      <c r="I7811" t="s">
        <v>34</v>
      </c>
      <c r="J7811" t="s">
        <v>44</v>
      </c>
      <c r="K7811" t="s">
        <v>36</v>
      </c>
      <c r="L7811" t="s">
        <v>45</v>
      </c>
      <c r="M7811">
        <v>0</v>
      </c>
      <c r="N7811">
        <v>0</v>
      </c>
      <c r="O7811">
        <v>1278</v>
      </c>
      <c r="Q7811">
        <f>163-80</f>
        <v>83</v>
      </c>
      <c r="R7811" t="s">
        <v>79</v>
      </c>
      <c r="AB7811" t="s">
        <v>1136</v>
      </c>
      <c r="AC7811" t="s">
        <v>87</v>
      </c>
    </row>
    <row r="7812" spans="1:30" x14ac:dyDescent="0.35">
      <c r="A7812" s="7">
        <v>43305</v>
      </c>
      <c r="B7812" t="s">
        <v>30</v>
      </c>
      <c r="C7812">
        <v>304</v>
      </c>
      <c r="D7812">
        <v>9</v>
      </c>
      <c r="E7812">
        <v>1</v>
      </c>
      <c r="F7812" t="s">
        <v>1170</v>
      </c>
      <c r="G7812" t="s">
        <v>32</v>
      </c>
      <c r="H7812" t="s">
        <v>33</v>
      </c>
      <c r="I7812" t="s">
        <v>34</v>
      </c>
      <c r="J7812" t="s">
        <v>44</v>
      </c>
      <c r="K7812" t="s">
        <v>36</v>
      </c>
      <c r="L7812" t="s">
        <v>45</v>
      </c>
      <c r="M7812">
        <v>0</v>
      </c>
      <c r="N7812">
        <v>0</v>
      </c>
      <c r="O7812">
        <v>1199</v>
      </c>
      <c r="Q7812">
        <f>167-73</f>
        <v>94</v>
      </c>
      <c r="R7812" t="s">
        <v>79</v>
      </c>
      <c r="S7812" t="s">
        <v>39</v>
      </c>
      <c r="AB7812" t="s">
        <v>1136</v>
      </c>
      <c r="AC7812" t="s">
        <v>87</v>
      </c>
    </row>
    <row r="7813" spans="1:30" x14ac:dyDescent="0.35">
      <c r="A7813" s="7">
        <v>43305</v>
      </c>
      <c r="B7813" t="s">
        <v>30</v>
      </c>
      <c r="C7813">
        <v>402</v>
      </c>
      <c r="D7813">
        <v>1</v>
      </c>
      <c r="E7813">
        <v>1</v>
      </c>
      <c r="F7813" t="s">
        <v>1139</v>
      </c>
      <c r="G7813" t="s">
        <v>32</v>
      </c>
      <c r="H7813" t="s">
        <v>33</v>
      </c>
      <c r="I7813" t="s">
        <v>34</v>
      </c>
      <c r="J7813" t="s">
        <v>44</v>
      </c>
      <c r="K7813" t="s">
        <v>36</v>
      </c>
      <c r="L7813" t="s">
        <v>45</v>
      </c>
      <c r="M7813">
        <v>0</v>
      </c>
      <c r="N7813">
        <v>0</v>
      </c>
      <c r="O7813">
        <v>1309</v>
      </c>
      <c r="Q7813">
        <f>190-105</f>
        <v>85</v>
      </c>
      <c r="R7813" t="s">
        <v>46</v>
      </c>
      <c r="S7813" t="s">
        <v>39</v>
      </c>
      <c r="AB7813" t="s">
        <v>86</v>
      </c>
      <c r="AC7813" t="s">
        <v>87</v>
      </c>
    </row>
    <row r="7814" spans="1:30" x14ac:dyDescent="0.35">
      <c r="A7814" s="7">
        <v>43305</v>
      </c>
      <c r="B7814" t="s">
        <v>30</v>
      </c>
      <c r="C7814">
        <v>402</v>
      </c>
      <c r="D7814">
        <v>3</v>
      </c>
      <c r="E7814">
        <v>1</v>
      </c>
      <c r="F7814" t="s">
        <v>1139</v>
      </c>
      <c r="G7814" t="s">
        <v>32</v>
      </c>
      <c r="H7814" t="s">
        <v>33</v>
      </c>
      <c r="I7814" t="s">
        <v>34</v>
      </c>
      <c r="J7814" t="s">
        <v>44</v>
      </c>
      <c r="K7814" t="s">
        <v>36</v>
      </c>
      <c r="L7814" t="s">
        <v>45</v>
      </c>
      <c r="M7814">
        <v>0</v>
      </c>
      <c r="N7814">
        <v>0</v>
      </c>
      <c r="O7814">
        <v>1385</v>
      </c>
      <c r="Q7814">
        <f>190-105</f>
        <v>85</v>
      </c>
      <c r="R7814" t="s">
        <v>46</v>
      </c>
      <c r="S7814" t="s">
        <v>39</v>
      </c>
      <c r="AB7814" t="s">
        <v>86</v>
      </c>
      <c r="AC7814" t="s">
        <v>87</v>
      </c>
    </row>
    <row r="7815" spans="1:30" x14ac:dyDescent="0.35">
      <c r="A7815" s="7">
        <v>43305</v>
      </c>
      <c r="B7815" t="s">
        <v>30</v>
      </c>
      <c r="C7815">
        <v>402</v>
      </c>
      <c r="D7815">
        <v>4</v>
      </c>
      <c r="E7815">
        <v>1</v>
      </c>
      <c r="F7815" t="s">
        <v>1139</v>
      </c>
      <c r="G7815" t="s">
        <v>32</v>
      </c>
      <c r="H7815" t="s">
        <v>33</v>
      </c>
      <c r="I7815" t="s">
        <v>34</v>
      </c>
      <c r="J7815" t="s">
        <v>35</v>
      </c>
      <c r="K7815" t="s">
        <v>88</v>
      </c>
      <c r="L7815" t="s">
        <v>45</v>
      </c>
      <c r="M7815">
        <v>0</v>
      </c>
      <c r="N7815">
        <v>1</v>
      </c>
      <c r="O7815">
        <v>1451</v>
      </c>
      <c r="Q7815">
        <f>175-105</f>
        <v>70</v>
      </c>
      <c r="R7815" t="s">
        <v>46</v>
      </c>
      <c r="S7815" t="s">
        <v>39</v>
      </c>
      <c r="AB7815" t="s">
        <v>86</v>
      </c>
      <c r="AC7815" t="s">
        <v>87</v>
      </c>
    </row>
    <row r="7816" spans="1:30" x14ac:dyDescent="0.35">
      <c r="A7816" s="7">
        <v>43305</v>
      </c>
      <c r="B7816" t="s">
        <v>30</v>
      </c>
      <c r="C7816">
        <v>203</v>
      </c>
      <c r="D7816">
        <v>2</v>
      </c>
      <c r="E7816">
        <v>1</v>
      </c>
      <c r="F7816" t="s">
        <v>1170</v>
      </c>
      <c r="G7816" t="s">
        <v>32</v>
      </c>
      <c r="H7816" t="s">
        <v>33</v>
      </c>
      <c r="I7816" t="s">
        <v>780</v>
      </c>
      <c r="J7816" t="s">
        <v>35</v>
      </c>
      <c r="K7816" t="s">
        <v>36</v>
      </c>
      <c r="L7816" t="s">
        <v>37</v>
      </c>
      <c r="M7816">
        <v>0</v>
      </c>
      <c r="N7816">
        <v>1</v>
      </c>
      <c r="O7816">
        <v>1209</v>
      </c>
      <c r="Q7816">
        <f>42-12</f>
        <v>30</v>
      </c>
      <c r="R7816" t="s">
        <v>38</v>
      </c>
      <c r="Z7816" t="s">
        <v>102</v>
      </c>
      <c r="AB7816" t="s">
        <v>1136</v>
      </c>
      <c r="AC7816" t="s">
        <v>87</v>
      </c>
    </row>
    <row r="7817" spans="1:30" x14ac:dyDescent="0.35">
      <c r="A7817" s="7">
        <v>43305</v>
      </c>
      <c r="B7817" t="s">
        <v>30</v>
      </c>
      <c r="C7817">
        <v>402</v>
      </c>
      <c r="D7817">
        <v>10</v>
      </c>
      <c r="E7817">
        <v>2</v>
      </c>
      <c r="F7817" t="s">
        <v>1139</v>
      </c>
      <c r="G7817" t="s">
        <v>32</v>
      </c>
      <c r="H7817" t="s">
        <v>33</v>
      </c>
      <c r="I7817" t="s">
        <v>780</v>
      </c>
      <c r="J7817" t="s">
        <v>56</v>
      </c>
      <c r="AB7817" t="s">
        <v>86</v>
      </c>
      <c r="AC7817" t="s">
        <v>87</v>
      </c>
    </row>
    <row r="7818" spans="1:30" x14ac:dyDescent="0.35">
      <c r="A7818" s="7">
        <v>43305</v>
      </c>
      <c r="B7818" t="s">
        <v>30</v>
      </c>
      <c r="C7818">
        <v>202</v>
      </c>
      <c r="D7818">
        <v>5</v>
      </c>
      <c r="E7818">
        <v>1</v>
      </c>
      <c r="F7818" t="s">
        <v>1170</v>
      </c>
      <c r="G7818" t="s">
        <v>32</v>
      </c>
      <c r="H7818" t="s">
        <v>33</v>
      </c>
      <c r="I7818" t="s">
        <v>58</v>
      </c>
      <c r="J7818" t="s">
        <v>35</v>
      </c>
      <c r="K7818" t="s">
        <v>36</v>
      </c>
      <c r="L7818" t="s">
        <v>37</v>
      </c>
      <c r="M7818">
        <v>0</v>
      </c>
      <c r="N7818">
        <v>1</v>
      </c>
      <c r="O7818">
        <v>1259</v>
      </c>
      <c r="Q7818">
        <f>38-13</f>
        <v>25</v>
      </c>
      <c r="R7818" t="s">
        <v>38</v>
      </c>
      <c r="Z7818" t="s">
        <v>102</v>
      </c>
      <c r="AB7818" t="s">
        <v>1136</v>
      </c>
      <c r="AC7818" t="s">
        <v>87</v>
      </c>
      <c r="AD7818" t="s">
        <v>1248</v>
      </c>
    </row>
    <row r="7819" spans="1:30" x14ac:dyDescent="0.35">
      <c r="A7819" s="7">
        <v>43305</v>
      </c>
      <c r="B7819" t="s">
        <v>30</v>
      </c>
      <c r="C7819">
        <v>203</v>
      </c>
      <c r="D7819">
        <v>7</v>
      </c>
      <c r="E7819">
        <v>1</v>
      </c>
      <c r="F7819" t="s">
        <v>1170</v>
      </c>
      <c r="G7819" t="s">
        <v>32</v>
      </c>
      <c r="H7819" t="s">
        <v>33</v>
      </c>
      <c r="I7819" t="s">
        <v>65</v>
      </c>
      <c r="J7819" t="s">
        <v>44</v>
      </c>
      <c r="K7819" t="s">
        <v>36</v>
      </c>
      <c r="L7819" t="s">
        <v>37</v>
      </c>
      <c r="M7819">
        <v>0</v>
      </c>
      <c r="N7819">
        <v>0</v>
      </c>
      <c r="O7819">
        <v>1159</v>
      </c>
      <c r="Q7819">
        <f>240-75</f>
        <v>165</v>
      </c>
      <c r="R7819" t="s">
        <v>38</v>
      </c>
      <c r="Z7819" t="s">
        <v>102</v>
      </c>
      <c r="AB7819" t="s">
        <v>1136</v>
      </c>
      <c r="AC7819" t="s">
        <v>87</v>
      </c>
      <c r="AD7819" t="s">
        <v>1249</v>
      </c>
    </row>
    <row r="7820" spans="1:30" x14ac:dyDescent="0.35">
      <c r="A7820" s="7">
        <v>43305</v>
      </c>
      <c r="B7820" t="s">
        <v>30</v>
      </c>
      <c r="C7820">
        <v>111</v>
      </c>
      <c r="D7820">
        <v>4</v>
      </c>
      <c r="E7820">
        <v>1</v>
      </c>
      <c r="F7820" t="s">
        <v>1139</v>
      </c>
      <c r="G7820" t="s">
        <v>32</v>
      </c>
      <c r="H7820" t="s">
        <v>33</v>
      </c>
      <c r="I7820" t="s">
        <v>72</v>
      </c>
      <c r="J7820" t="s">
        <v>56</v>
      </c>
      <c r="AB7820" t="s">
        <v>86</v>
      </c>
      <c r="AC7820" t="s">
        <v>87</v>
      </c>
    </row>
    <row r="7821" spans="1:30" x14ac:dyDescent="0.35">
      <c r="A7821" s="7">
        <v>43305</v>
      </c>
      <c r="B7821" t="s">
        <v>30</v>
      </c>
      <c r="C7821">
        <v>111</v>
      </c>
      <c r="D7821">
        <v>4</v>
      </c>
      <c r="E7821">
        <v>2</v>
      </c>
      <c r="F7821" t="s">
        <v>1139</v>
      </c>
      <c r="G7821" t="s">
        <v>32</v>
      </c>
      <c r="H7821" t="s">
        <v>33</v>
      </c>
      <c r="I7821" t="s">
        <v>72</v>
      </c>
      <c r="J7821" t="s">
        <v>56</v>
      </c>
      <c r="AB7821" t="s">
        <v>86</v>
      </c>
      <c r="AC7821" t="s">
        <v>87</v>
      </c>
    </row>
    <row r="7822" spans="1:30" x14ac:dyDescent="0.35">
      <c r="A7822" s="7">
        <v>43305</v>
      </c>
      <c r="B7822" t="s">
        <v>30</v>
      </c>
      <c r="C7822">
        <v>112</v>
      </c>
      <c r="D7822">
        <v>1</v>
      </c>
      <c r="E7822">
        <v>2</v>
      </c>
      <c r="F7822" t="s">
        <v>1139</v>
      </c>
      <c r="G7822" t="s">
        <v>32</v>
      </c>
      <c r="H7822" t="s">
        <v>33</v>
      </c>
      <c r="I7822" t="s">
        <v>72</v>
      </c>
      <c r="J7822" t="s">
        <v>56</v>
      </c>
      <c r="AB7822" t="s">
        <v>86</v>
      </c>
      <c r="AC7822" t="s">
        <v>87</v>
      </c>
    </row>
    <row r="7823" spans="1:30" x14ac:dyDescent="0.35">
      <c r="A7823" s="7">
        <v>43305</v>
      </c>
      <c r="B7823" t="s">
        <v>30</v>
      </c>
      <c r="C7823">
        <v>112</v>
      </c>
      <c r="D7823">
        <v>5</v>
      </c>
      <c r="E7823">
        <v>2</v>
      </c>
      <c r="F7823" t="s">
        <v>1139</v>
      </c>
      <c r="G7823" t="s">
        <v>32</v>
      </c>
      <c r="H7823" t="s">
        <v>33</v>
      </c>
      <c r="I7823" t="s">
        <v>72</v>
      </c>
      <c r="J7823" t="s">
        <v>56</v>
      </c>
      <c r="AB7823" t="s">
        <v>86</v>
      </c>
      <c r="AC7823" t="s">
        <v>87</v>
      </c>
    </row>
    <row r="7824" spans="1:30" x14ac:dyDescent="0.35">
      <c r="A7824" s="7">
        <v>43305</v>
      </c>
      <c r="B7824" t="s">
        <v>30</v>
      </c>
      <c r="C7824">
        <v>112</v>
      </c>
      <c r="D7824">
        <v>6</v>
      </c>
      <c r="E7824">
        <v>2</v>
      </c>
      <c r="F7824" t="s">
        <v>1139</v>
      </c>
      <c r="G7824" t="s">
        <v>32</v>
      </c>
      <c r="H7824" t="s">
        <v>33</v>
      </c>
      <c r="I7824" t="s">
        <v>72</v>
      </c>
      <c r="J7824" t="s">
        <v>56</v>
      </c>
      <c r="AB7824" t="s">
        <v>86</v>
      </c>
      <c r="AC7824" t="s">
        <v>87</v>
      </c>
    </row>
    <row r="7825" spans="1:29" x14ac:dyDescent="0.35">
      <c r="A7825" s="7">
        <v>43305</v>
      </c>
      <c r="B7825" t="s">
        <v>30</v>
      </c>
      <c r="C7825">
        <v>112</v>
      </c>
      <c r="D7825">
        <v>7</v>
      </c>
      <c r="E7825">
        <v>1</v>
      </c>
      <c r="F7825" t="s">
        <v>1139</v>
      </c>
      <c r="G7825" t="s">
        <v>32</v>
      </c>
      <c r="H7825" t="s">
        <v>33</v>
      </c>
      <c r="I7825" t="s">
        <v>72</v>
      </c>
      <c r="J7825" t="s">
        <v>56</v>
      </c>
      <c r="AB7825" t="s">
        <v>86</v>
      </c>
      <c r="AC7825" t="s">
        <v>87</v>
      </c>
    </row>
    <row r="7826" spans="1:29" x14ac:dyDescent="0.35">
      <c r="A7826" s="7">
        <v>43305</v>
      </c>
      <c r="B7826" t="s">
        <v>30</v>
      </c>
      <c r="C7826">
        <v>112</v>
      </c>
      <c r="D7826">
        <v>8</v>
      </c>
      <c r="E7826">
        <v>1</v>
      </c>
      <c r="F7826" t="s">
        <v>1139</v>
      </c>
      <c r="G7826" t="s">
        <v>32</v>
      </c>
      <c r="H7826" t="s">
        <v>33</v>
      </c>
      <c r="I7826" t="s">
        <v>72</v>
      </c>
      <c r="J7826" t="s">
        <v>56</v>
      </c>
      <c r="AB7826" t="s">
        <v>86</v>
      </c>
      <c r="AC7826" t="s">
        <v>87</v>
      </c>
    </row>
    <row r="7827" spans="1:29" x14ac:dyDescent="0.35">
      <c r="A7827" s="7">
        <v>43305</v>
      </c>
      <c r="B7827" t="s">
        <v>30</v>
      </c>
      <c r="C7827">
        <v>113</v>
      </c>
      <c r="D7827">
        <v>5</v>
      </c>
      <c r="E7827">
        <v>2</v>
      </c>
      <c r="F7827" t="s">
        <v>1139</v>
      </c>
      <c r="G7827" t="s">
        <v>32</v>
      </c>
      <c r="H7827" t="s">
        <v>33</v>
      </c>
      <c r="I7827" t="s">
        <v>72</v>
      </c>
      <c r="J7827" t="s">
        <v>56</v>
      </c>
      <c r="AB7827" t="s">
        <v>86</v>
      </c>
      <c r="AC7827" t="s">
        <v>87</v>
      </c>
    </row>
    <row r="7828" spans="1:29" x14ac:dyDescent="0.35">
      <c r="A7828" s="7">
        <v>43305</v>
      </c>
      <c r="B7828" t="s">
        <v>30</v>
      </c>
      <c r="C7828">
        <v>113</v>
      </c>
      <c r="D7828">
        <v>6</v>
      </c>
      <c r="E7828">
        <v>1</v>
      </c>
      <c r="F7828" t="s">
        <v>1139</v>
      </c>
      <c r="G7828" t="s">
        <v>32</v>
      </c>
      <c r="H7828" t="s">
        <v>33</v>
      </c>
      <c r="I7828" t="s">
        <v>72</v>
      </c>
      <c r="J7828" t="s">
        <v>56</v>
      </c>
      <c r="AB7828" t="s">
        <v>86</v>
      </c>
      <c r="AC7828" t="s">
        <v>87</v>
      </c>
    </row>
    <row r="7829" spans="1:29" x14ac:dyDescent="0.35">
      <c r="A7829" s="7">
        <v>43305</v>
      </c>
      <c r="B7829" t="s">
        <v>30</v>
      </c>
      <c r="C7829">
        <v>113</v>
      </c>
      <c r="D7829">
        <v>7</v>
      </c>
      <c r="E7829">
        <v>1</v>
      </c>
      <c r="F7829" t="s">
        <v>1139</v>
      </c>
      <c r="G7829" t="s">
        <v>32</v>
      </c>
      <c r="H7829" t="s">
        <v>33</v>
      </c>
      <c r="I7829" t="s">
        <v>72</v>
      </c>
      <c r="J7829" t="s">
        <v>56</v>
      </c>
      <c r="AB7829" t="s">
        <v>86</v>
      </c>
      <c r="AC7829" t="s">
        <v>87</v>
      </c>
    </row>
    <row r="7830" spans="1:29" x14ac:dyDescent="0.35">
      <c r="A7830" s="7">
        <v>43305</v>
      </c>
      <c r="B7830" t="s">
        <v>30</v>
      </c>
      <c r="C7830">
        <v>202</v>
      </c>
      <c r="D7830">
        <v>6</v>
      </c>
      <c r="E7830">
        <v>1</v>
      </c>
      <c r="F7830" t="s">
        <v>1170</v>
      </c>
      <c r="G7830" t="s">
        <v>32</v>
      </c>
      <c r="H7830" t="s">
        <v>33</v>
      </c>
      <c r="I7830" t="s">
        <v>72</v>
      </c>
      <c r="J7830" t="s">
        <v>66</v>
      </c>
      <c r="AB7830" t="s">
        <v>1136</v>
      </c>
      <c r="AC7830" t="s">
        <v>87</v>
      </c>
    </row>
    <row r="7831" spans="1:29" x14ac:dyDescent="0.35">
      <c r="A7831" s="7">
        <v>43305</v>
      </c>
      <c r="B7831" t="s">
        <v>30</v>
      </c>
      <c r="C7831">
        <v>203</v>
      </c>
      <c r="D7831">
        <v>1</v>
      </c>
      <c r="E7831">
        <v>1</v>
      </c>
      <c r="F7831" t="s">
        <v>1170</v>
      </c>
      <c r="G7831" t="s">
        <v>32</v>
      </c>
      <c r="H7831" t="s">
        <v>33</v>
      </c>
      <c r="I7831" t="s">
        <v>72</v>
      </c>
      <c r="J7831" t="s">
        <v>56</v>
      </c>
      <c r="AB7831" t="s">
        <v>1136</v>
      </c>
      <c r="AC7831" t="s">
        <v>87</v>
      </c>
    </row>
    <row r="7832" spans="1:29" x14ac:dyDescent="0.35">
      <c r="A7832" s="7">
        <v>43305</v>
      </c>
      <c r="B7832" t="s">
        <v>30</v>
      </c>
      <c r="C7832">
        <v>203</v>
      </c>
      <c r="D7832">
        <v>1</v>
      </c>
      <c r="E7832">
        <v>2</v>
      </c>
      <c r="F7832" t="s">
        <v>1170</v>
      </c>
      <c r="G7832" t="s">
        <v>32</v>
      </c>
      <c r="H7832" t="s">
        <v>33</v>
      </c>
      <c r="I7832" t="s">
        <v>72</v>
      </c>
      <c r="J7832" t="s">
        <v>56</v>
      </c>
      <c r="AB7832" t="s">
        <v>1136</v>
      </c>
      <c r="AC7832" t="s">
        <v>87</v>
      </c>
    </row>
    <row r="7833" spans="1:29" x14ac:dyDescent="0.35">
      <c r="A7833" s="7">
        <v>43305</v>
      </c>
      <c r="B7833" t="s">
        <v>30</v>
      </c>
      <c r="C7833">
        <v>203</v>
      </c>
      <c r="D7833">
        <v>3</v>
      </c>
      <c r="E7833">
        <v>1</v>
      </c>
      <c r="F7833" t="s">
        <v>1170</v>
      </c>
      <c r="G7833" t="s">
        <v>32</v>
      </c>
      <c r="H7833" t="s">
        <v>33</v>
      </c>
      <c r="I7833" t="s">
        <v>72</v>
      </c>
      <c r="J7833" t="s">
        <v>56</v>
      </c>
      <c r="AB7833" t="s">
        <v>1136</v>
      </c>
      <c r="AC7833" t="s">
        <v>87</v>
      </c>
    </row>
    <row r="7834" spans="1:29" x14ac:dyDescent="0.35">
      <c r="A7834" s="7">
        <v>43305</v>
      </c>
      <c r="B7834" t="s">
        <v>30</v>
      </c>
      <c r="C7834">
        <v>203</v>
      </c>
      <c r="D7834">
        <v>6</v>
      </c>
      <c r="E7834">
        <v>1</v>
      </c>
      <c r="F7834" t="s">
        <v>1170</v>
      </c>
      <c r="G7834" t="s">
        <v>32</v>
      </c>
      <c r="H7834" t="s">
        <v>33</v>
      </c>
      <c r="I7834" t="s">
        <v>72</v>
      </c>
      <c r="J7834" t="s">
        <v>56</v>
      </c>
      <c r="AB7834" t="s">
        <v>1136</v>
      </c>
      <c r="AC7834" t="s">
        <v>87</v>
      </c>
    </row>
    <row r="7835" spans="1:29" x14ac:dyDescent="0.35">
      <c r="A7835" s="7">
        <v>43305</v>
      </c>
      <c r="B7835" t="s">
        <v>30</v>
      </c>
      <c r="C7835">
        <v>203</v>
      </c>
      <c r="D7835">
        <v>8</v>
      </c>
      <c r="E7835">
        <v>1</v>
      </c>
      <c r="F7835" t="s">
        <v>1170</v>
      </c>
      <c r="G7835" t="s">
        <v>32</v>
      </c>
      <c r="H7835" t="s">
        <v>33</v>
      </c>
      <c r="I7835" t="s">
        <v>72</v>
      </c>
      <c r="J7835" t="s">
        <v>56</v>
      </c>
      <c r="AB7835" t="s">
        <v>1136</v>
      </c>
      <c r="AC7835" t="s">
        <v>87</v>
      </c>
    </row>
    <row r="7836" spans="1:29" x14ac:dyDescent="0.35">
      <c r="A7836" s="7">
        <v>43305</v>
      </c>
      <c r="B7836" t="s">
        <v>30</v>
      </c>
      <c r="C7836">
        <v>203</v>
      </c>
      <c r="D7836">
        <v>9</v>
      </c>
      <c r="E7836">
        <v>1</v>
      </c>
      <c r="F7836" t="s">
        <v>1170</v>
      </c>
      <c r="G7836" t="s">
        <v>32</v>
      </c>
      <c r="H7836" t="s">
        <v>33</v>
      </c>
      <c r="I7836" t="s">
        <v>72</v>
      </c>
      <c r="J7836" t="s">
        <v>56</v>
      </c>
      <c r="AB7836" t="s">
        <v>1136</v>
      </c>
      <c r="AC7836" t="s">
        <v>87</v>
      </c>
    </row>
    <row r="7837" spans="1:29" x14ac:dyDescent="0.35">
      <c r="A7837" s="7">
        <v>43305</v>
      </c>
      <c r="B7837" t="s">
        <v>30</v>
      </c>
      <c r="C7837">
        <v>304</v>
      </c>
      <c r="D7837">
        <v>10</v>
      </c>
      <c r="E7837">
        <v>1</v>
      </c>
      <c r="F7837" t="s">
        <v>1170</v>
      </c>
      <c r="G7837" t="s">
        <v>32</v>
      </c>
      <c r="H7837" t="s">
        <v>33</v>
      </c>
      <c r="I7837" t="s">
        <v>72</v>
      </c>
      <c r="J7837" t="s">
        <v>56</v>
      </c>
      <c r="AB7837" t="s">
        <v>86</v>
      </c>
      <c r="AC7837" t="s">
        <v>87</v>
      </c>
    </row>
    <row r="7838" spans="1:29" x14ac:dyDescent="0.35">
      <c r="A7838" s="7">
        <v>43305</v>
      </c>
      <c r="B7838" t="s">
        <v>30</v>
      </c>
      <c r="C7838">
        <v>402</v>
      </c>
      <c r="D7838">
        <v>2</v>
      </c>
      <c r="E7838">
        <v>1</v>
      </c>
      <c r="F7838" t="s">
        <v>1139</v>
      </c>
      <c r="G7838" t="s">
        <v>32</v>
      </c>
      <c r="H7838" t="s">
        <v>33</v>
      </c>
      <c r="I7838" t="s">
        <v>72</v>
      </c>
      <c r="J7838" t="s">
        <v>56</v>
      </c>
      <c r="AB7838" t="s">
        <v>86</v>
      </c>
      <c r="AC7838" t="s">
        <v>87</v>
      </c>
    </row>
    <row r="7839" spans="1:29" x14ac:dyDescent="0.35">
      <c r="A7839" s="7">
        <v>43305</v>
      </c>
      <c r="B7839" t="s">
        <v>30</v>
      </c>
      <c r="C7839">
        <v>402</v>
      </c>
      <c r="D7839">
        <v>9</v>
      </c>
      <c r="E7839">
        <v>1</v>
      </c>
      <c r="F7839" t="s">
        <v>1139</v>
      </c>
      <c r="G7839" t="s">
        <v>32</v>
      </c>
      <c r="H7839" t="s">
        <v>33</v>
      </c>
      <c r="I7839" t="s">
        <v>72</v>
      </c>
      <c r="J7839" t="s">
        <v>56</v>
      </c>
      <c r="AB7839" t="s">
        <v>86</v>
      </c>
      <c r="AC7839" t="s">
        <v>87</v>
      </c>
    </row>
    <row r="7840" spans="1:29" x14ac:dyDescent="0.35">
      <c r="A7840" s="7">
        <v>43305</v>
      </c>
      <c r="B7840" t="s">
        <v>30</v>
      </c>
      <c r="C7840">
        <v>304</v>
      </c>
      <c r="D7840">
        <v>2</v>
      </c>
      <c r="E7840">
        <v>1</v>
      </c>
      <c r="F7840" t="s">
        <v>1170</v>
      </c>
      <c r="G7840" t="s">
        <v>32</v>
      </c>
      <c r="H7840" t="s">
        <v>33</v>
      </c>
      <c r="I7840" t="s">
        <v>1183</v>
      </c>
      <c r="J7840" t="s">
        <v>56</v>
      </c>
      <c r="AB7840" t="s">
        <v>1136</v>
      </c>
      <c r="AC7840" t="s">
        <v>87</v>
      </c>
    </row>
    <row r="7841" spans="1:29" x14ac:dyDescent="0.35">
      <c r="A7841" s="7">
        <v>43305</v>
      </c>
      <c r="B7841" t="s">
        <v>30</v>
      </c>
      <c r="C7841">
        <v>112</v>
      </c>
      <c r="D7841">
        <v>10</v>
      </c>
      <c r="E7841">
        <v>1</v>
      </c>
      <c r="F7841" t="s">
        <v>1139</v>
      </c>
      <c r="G7841" t="s">
        <v>32</v>
      </c>
      <c r="H7841" t="s">
        <v>33</v>
      </c>
      <c r="I7841" t="s">
        <v>84</v>
      </c>
      <c r="AB7841" t="s">
        <v>86</v>
      </c>
      <c r="AC7841" t="s">
        <v>87</v>
      </c>
    </row>
    <row r="7842" spans="1:29" x14ac:dyDescent="0.35">
      <c r="A7842" s="7">
        <v>43305</v>
      </c>
      <c r="B7842" t="s">
        <v>30</v>
      </c>
      <c r="C7842">
        <v>113</v>
      </c>
      <c r="D7842">
        <v>2</v>
      </c>
      <c r="E7842">
        <v>1</v>
      </c>
      <c r="F7842" t="s">
        <v>1139</v>
      </c>
      <c r="G7842" t="s">
        <v>32</v>
      </c>
      <c r="H7842" t="s">
        <v>33</v>
      </c>
      <c r="I7842" t="s">
        <v>84</v>
      </c>
      <c r="AB7842" t="s">
        <v>86</v>
      </c>
      <c r="AC7842" t="s">
        <v>87</v>
      </c>
    </row>
    <row r="7843" spans="1:29" x14ac:dyDescent="0.35">
      <c r="A7843" s="7">
        <v>43305</v>
      </c>
      <c r="B7843" t="s">
        <v>30</v>
      </c>
      <c r="C7843">
        <v>113</v>
      </c>
      <c r="D7843">
        <v>3</v>
      </c>
      <c r="E7843">
        <v>1</v>
      </c>
      <c r="F7843" t="s">
        <v>1139</v>
      </c>
      <c r="G7843" t="s">
        <v>32</v>
      </c>
      <c r="H7843" t="s">
        <v>33</v>
      </c>
      <c r="I7843" t="s">
        <v>84</v>
      </c>
      <c r="AB7843" t="s">
        <v>86</v>
      </c>
      <c r="AC7843" t="s">
        <v>87</v>
      </c>
    </row>
    <row r="7844" spans="1:29" x14ac:dyDescent="0.35">
      <c r="A7844" s="7">
        <v>43305</v>
      </c>
      <c r="B7844" t="s">
        <v>30</v>
      </c>
      <c r="C7844">
        <v>113</v>
      </c>
      <c r="D7844">
        <v>4</v>
      </c>
      <c r="E7844">
        <v>1</v>
      </c>
      <c r="F7844" t="s">
        <v>1139</v>
      </c>
      <c r="G7844" t="s">
        <v>32</v>
      </c>
      <c r="H7844" t="s">
        <v>33</v>
      </c>
      <c r="I7844" t="s">
        <v>84</v>
      </c>
      <c r="AB7844" t="s">
        <v>86</v>
      </c>
      <c r="AC7844" t="s">
        <v>87</v>
      </c>
    </row>
    <row r="7845" spans="1:29" x14ac:dyDescent="0.35">
      <c r="A7845" s="7">
        <v>43305</v>
      </c>
      <c r="B7845" t="s">
        <v>30</v>
      </c>
      <c r="C7845">
        <v>113</v>
      </c>
      <c r="D7845">
        <v>4</v>
      </c>
      <c r="E7845">
        <v>2</v>
      </c>
      <c r="F7845" t="s">
        <v>1139</v>
      </c>
      <c r="G7845" t="s">
        <v>32</v>
      </c>
      <c r="H7845" t="s">
        <v>33</v>
      </c>
      <c r="I7845" t="s">
        <v>84</v>
      </c>
      <c r="AB7845" t="s">
        <v>86</v>
      </c>
      <c r="AC7845" t="s">
        <v>87</v>
      </c>
    </row>
    <row r="7846" spans="1:29" x14ac:dyDescent="0.35">
      <c r="A7846" s="7">
        <v>43305</v>
      </c>
      <c r="B7846" t="s">
        <v>30</v>
      </c>
      <c r="C7846">
        <v>113</v>
      </c>
      <c r="D7846">
        <v>5</v>
      </c>
      <c r="E7846">
        <v>1</v>
      </c>
      <c r="F7846" t="s">
        <v>1139</v>
      </c>
      <c r="G7846" t="s">
        <v>32</v>
      </c>
      <c r="H7846" t="s">
        <v>33</v>
      </c>
      <c r="I7846" t="s">
        <v>84</v>
      </c>
      <c r="AB7846" t="s">
        <v>86</v>
      </c>
      <c r="AC7846" t="s">
        <v>87</v>
      </c>
    </row>
    <row r="7847" spans="1:29" x14ac:dyDescent="0.35">
      <c r="A7847" s="7">
        <v>43305</v>
      </c>
      <c r="B7847" t="s">
        <v>30</v>
      </c>
      <c r="C7847">
        <v>202</v>
      </c>
      <c r="D7847">
        <v>6</v>
      </c>
      <c r="E7847">
        <v>2</v>
      </c>
      <c r="F7847" t="s">
        <v>1170</v>
      </c>
      <c r="G7847" t="s">
        <v>32</v>
      </c>
      <c r="H7847" t="s">
        <v>33</v>
      </c>
      <c r="I7847" t="s">
        <v>84</v>
      </c>
      <c r="AB7847" t="s">
        <v>1136</v>
      </c>
      <c r="AC7847" t="s">
        <v>87</v>
      </c>
    </row>
    <row r="7848" spans="1:29" x14ac:dyDescent="0.35">
      <c r="A7848" s="7">
        <v>43305</v>
      </c>
      <c r="B7848" t="s">
        <v>30</v>
      </c>
      <c r="C7848">
        <v>111</v>
      </c>
      <c r="D7848">
        <v>2</v>
      </c>
      <c r="E7848">
        <v>2</v>
      </c>
      <c r="F7848" t="s">
        <v>1139</v>
      </c>
      <c r="G7848" t="s">
        <v>32</v>
      </c>
      <c r="H7848" t="s">
        <v>33</v>
      </c>
      <c r="I7848" t="s">
        <v>59</v>
      </c>
      <c r="AB7848" t="s">
        <v>86</v>
      </c>
      <c r="AC7848" t="s">
        <v>87</v>
      </c>
    </row>
    <row r="7849" spans="1:29" x14ac:dyDescent="0.35">
      <c r="A7849" s="7">
        <v>43305</v>
      </c>
      <c r="B7849" t="s">
        <v>30</v>
      </c>
      <c r="C7849">
        <v>111</v>
      </c>
      <c r="D7849">
        <v>3</v>
      </c>
      <c r="E7849">
        <v>1</v>
      </c>
      <c r="F7849" t="s">
        <v>1139</v>
      </c>
      <c r="G7849" t="s">
        <v>32</v>
      </c>
      <c r="H7849" t="s">
        <v>33</v>
      </c>
      <c r="I7849" t="s">
        <v>59</v>
      </c>
      <c r="AB7849" t="s">
        <v>86</v>
      </c>
      <c r="AC7849" t="s">
        <v>87</v>
      </c>
    </row>
    <row r="7850" spans="1:29" x14ac:dyDescent="0.35">
      <c r="A7850" s="7">
        <v>43305</v>
      </c>
      <c r="B7850" t="s">
        <v>30</v>
      </c>
      <c r="C7850">
        <v>111</v>
      </c>
      <c r="D7850">
        <v>8</v>
      </c>
      <c r="E7850">
        <v>2</v>
      </c>
      <c r="F7850" t="s">
        <v>1139</v>
      </c>
      <c r="G7850" t="s">
        <v>32</v>
      </c>
      <c r="H7850" t="s">
        <v>33</v>
      </c>
      <c r="I7850" t="s">
        <v>59</v>
      </c>
      <c r="AB7850" t="s">
        <v>86</v>
      </c>
      <c r="AC7850" t="s">
        <v>87</v>
      </c>
    </row>
    <row r="7851" spans="1:29" x14ac:dyDescent="0.35">
      <c r="A7851" s="7">
        <v>43305</v>
      </c>
      <c r="B7851" t="s">
        <v>30</v>
      </c>
      <c r="C7851">
        <v>113</v>
      </c>
      <c r="D7851">
        <v>2</v>
      </c>
      <c r="E7851">
        <v>2</v>
      </c>
      <c r="F7851" t="s">
        <v>1139</v>
      </c>
      <c r="G7851" t="s">
        <v>32</v>
      </c>
      <c r="H7851" t="s">
        <v>33</v>
      </c>
      <c r="I7851" t="s">
        <v>59</v>
      </c>
      <c r="AB7851" t="s">
        <v>86</v>
      </c>
      <c r="AC7851" t="s">
        <v>87</v>
      </c>
    </row>
    <row r="7852" spans="1:29" x14ac:dyDescent="0.35">
      <c r="A7852" s="7">
        <v>43305</v>
      </c>
      <c r="B7852" t="s">
        <v>30</v>
      </c>
      <c r="C7852">
        <v>113</v>
      </c>
      <c r="D7852">
        <v>6</v>
      </c>
      <c r="E7852">
        <v>2</v>
      </c>
      <c r="F7852" t="s">
        <v>1139</v>
      </c>
      <c r="G7852" t="s">
        <v>32</v>
      </c>
      <c r="H7852" t="s">
        <v>33</v>
      </c>
      <c r="I7852" t="s">
        <v>59</v>
      </c>
      <c r="AB7852" t="s">
        <v>86</v>
      </c>
      <c r="AC7852" t="s">
        <v>87</v>
      </c>
    </row>
    <row r="7853" spans="1:29" x14ac:dyDescent="0.35">
      <c r="A7853" s="7">
        <v>43305</v>
      </c>
      <c r="B7853" t="s">
        <v>30</v>
      </c>
      <c r="C7853">
        <v>113</v>
      </c>
      <c r="D7853">
        <v>9</v>
      </c>
      <c r="E7853">
        <v>1</v>
      </c>
      <c r="F7853" t="s">
        <v>1139</v>
      </c>
      <c r="G7853" t="s">
        <v>32</v>
      </c>
      <c r="H7853" t="s">
        <v>33</v>
      </c>
      <c r="I7853" t="s">
        <v>59</v>
      </c>
      <c r="AB7853" t="s">
        <v>86</v>
      </c>
      <c r="AC7853" t="s">
        <v>87</v>
      </c>
    </row>
    <row r="7854" spans="1:29" x14ac:dyDescent="0.35">
      <c r="A7854" s="7">
        <v>43305</v>
      </c>
      <c r="B7854" t="s">
        <v>30</v>
      </c>
      <c r="C7854">
        <v>201</v>
      </c>
      <c r="D7854">
        <v>1</v>
      </c>
      <c r="E7854">
        <v>1</v>
      </c>
      <c r="F7854" t="s">
        <v>1170</v>
      </c>
      <c r="G7854" t="s">
        <v>32</v>
      </c>
      <c r="H7854" t="s">
        <v>33</v>
      </c>
      <c r="I7854" t="s">
        <v>59</v>
      </c>
      <c r="AB7854" t="s">
        <v>1136</v>
      </c>
      <c r="AC7854" t="s">
        <v>87</v>
      </c>
    </row>
    <row r="7855" spans="1:29" x14ac:dyDescent="0.35">
      <c r="A7855" s="7">
        <v>43305</v>
      </c>
      <c r="B7855" t="s">
        <v>30</v>
      </c>
      <c r="C7855">
        <v>201</v>
      </c>
      <c r="D7855">
        <v>1</v>
      </c>
      <c r="E7855">
        <v>2</v>
      </c>
      <c r="F7855" t="s">
        <v>1170</v>
      </c>
      <c r="G7855" t="s">
        <v>32</v>
      </c>
      <c r="H7855" t="s">
        <v>33</v>
      </c>
      <c r="I7855" t="s">
        <v>59</v>
      </c>
      <c r="AB7855" t="s">
        <v>1136</v>
      </c>
      <c r="AC7855" t="s">
        <v>87</v>
      </c>
    </row>
    <row r="7856" spans="1:29" x14ac:dyDescent="0.35">
      <c r="A7856" s="7">
        <v>43305</v>
      </c>
      <c r="B7856" t="s">
        <v>30</v>
      </c>
      <c r="C7856">
        <v>201</v>
      </c>
      <c r="D7856">
        <v>2</v>
      </c>
      <c r="E7856">
        <v>1</v>
      </c>
      <c r="F7856" t="s">
        <v>1170</v>
      </c>
      <c r="G7856" t="s">
        <v>32</v>
      </c>
      <c r="H7856" t="s">
        <v>33</v>
      </c>
      <c r="I7856" t="s">
        <v>59</v>
      </c>
      <c r="AB7856" t="s">
        <v>1136</v>
      </c>
      <c r="AC7856" t="s">
        <v>87</v>
      </c>
    </row>
    <row r="7857" spans="1:30" x14ac:dyDescent="0.35">
      <c r="A7857" s="7">
        <v>43305</v>
      </c>
      <c r="B7857" t="s">
        <v>30</v>
      </c>
      <c r="C7857">
        <v>201</v>
      </c>
      <c r="D7857">
        <v>4</v>
      </c>
      <c r="E7857">
        <v>1</v>
      </c>
      <c r="F7857" t="s">
        <v>1170</v>
      </c>
      <c r="G7857" t="s">
        <v>32</v>
      </c>
      <c r="H7857" t="s">
        <v>33</v>
      </c>
      <c r="I7857" t="s">
        <v>59</v>
      </c>
      <c r="AB7857" t="s">
        <v>1136</v>
      </c>
      <c r="AC7857" t="s">
        <v>87</v>
      </c>
    </row>
    <row r="7858" spans="1:30" x14ac:dyDescent="0.35">
      <c r="A7858" s="7">
        <v>43305</v>
      </c>
      <c r="B7858" t="s">
        <v>30</v>
      </c>
      <c r="C7858">
        <v>201</v>
      </c>
      <c r="D7858">
        <v>4</v>
      </c>
      <c r="E7858">
        <v>2</v>
      </c>
      <c r="F7858" t="s">
        <v>1170</v>
      </c>
      <c r="G7858" t="s">
        <v>32</v>
      </c>
      <c r="H7858" t="s">
        <v>33</v>
      </c>
      <c r="I7858" t="s">
        <v>59</v>
      </c>
      <c r="AB7858" t="s">
        <v>1136</v>
      </c>
      <c r="AC7858" t="s">
        <v>87</v>
      </c>
    </row>
    <row r="7859" spans="1:30" x14ac:dyDescent="0.35">
      <c r="A7859" s="7">
        <v>43305</v>
      </c>
      <c r="B7859" t="s">
        <v>30</v>
      </c>
      <c r="C7859">
        <v>201</v>
      </c>
      <c r="D7859">
        <v>6</v>
      </c>
      <c r="E7859">
        <v>1</v>
      </c>
      <c r="F7859" t="s">
        <v>1170</v>
      </c>
      <c r="G7859" t="s">
        <v>32</v>
      </c>
      <c r="H7859" t="s">
        <v>33</v>
      </c>
      <c r="I7859" t="s">
        <v>59</v>
      </c>
      <c r="AB7859" t="s">
        <v>1136</v>
      </c>
      <c r="AC7859" t="s">
        <v>87</v>
      </c>
    </row>
    <row r="7860" spans="1:30" x14ac:dyDescent="0.35">
      <c r="A7860" s="7">
        <v>43305</v>
      </c>
      <c r="B7860" t="s">
        <v>30</v>
      </c>
      <c r="C7860">
        <v>201</v>
      </c>
      <c r="D7860">
        <v>8</v>
      </c>
      <c r="E7860">
        <v>1</v>
      </c>
      <c r="F7860" t="s">
        <v>1170</v>
      </c>
      <c r="G7860" t="s">
        <v>32</v>
      </c>
      <c r="H7860" t="s">
        <v>33</v>
      </c>
      <c r="I7860" t="s">
        <v>59</v>
      </c>
      <c r="AB7860" t="s">
        <v>1136</v>
      </c>
      <c r="AC7860" t="s">
        <v>87</v>
      </c>
    </row>
    <row r="7861" spans="1:30" x14ac:dyDescent="0.35">
      <c r="A7861" s="7">
        <v>43305</v>
      </c>
      <c r="B7861" t="s">
        <v>30</v>
      </c>
      <c r="C7861">
        <v>203</v>
      </c>
      <c r="D7861">
        <v>4</v>
      </c>
      <c r="E7861">
        <v>1</v>
      </c>
      <c r="F7861" t="s">
        <v>1170</v>
      </c>
      <c r="G7861" t="s">
        <v>32</v>
      </c>
      <c r="H7861" t="s">
        <v>33</v>
      </c>
      <c r="I7861" t="s">
        <v>59</v>
      </c>
      <c r="AB7861" t="s">
        <v>1136</v>
      </c>
      <c r="AC7861" t="s">
        <v>87</v>
      </c>
    </row>
    <row r="7862" spans="1:30" x14ac:dyDescent="0.35">
      <c r="A7862" s="7">
        <v>43305</v>
      </c>
      <c r="B7862" t="s">
        <v>30</v>
      </c>
      <c r="C7862">
        <v>304</v>
      </c>
      <c r="D7862">
        <v>1</v>
      </c>
      <c r="E7862">
        <v>1</v>
      </c>
      <c r="F7862" t="s">
        <v>1170</v>
      </c>
      <c r="G7862" t="s">
        <v>32</v>
      </c>
      <c r="H7862" t="s">
        <v>33</v>
      </c>
      <c r="I7862" t="s">
        <v>59</v>
      </c>
      <c r="AB7862" t="s">
        <v>1136</v>
      </c>
      <c r="AC7862" t="s">
        <v>87</v>
      </c>
    </row>
    <row r="7863" spans="1:30" x14ac:dyDescent="0.35">
      <c r="A7863" s="7">
        <v>43305</v>
      </c>
      <c r="B7863" t="s">
        <v>30</v>
      </c>
      <c r="C7863">
        <v>304</v>
      </c>
      <c r="D7863">
        <v>3</v>
      </c>
      <c r="E7863">
        <v>1</v>
      </c>
      <c r="F7863" t="s">
        <v>1170</v>
      </c>
      <c r="G7863" t="s">
        <v>32</v>
      </c>
      <c r="H7863" t="s">
        <v>33</v>
      </c>
      <c r="I7863" t="s">
        <v>59</v>
      </c>
      <c r="AB7863" t="s">
        <v>1136</v>
      </c>
      <c r="AC7863" t="s">
        <v>87</v>
      </c>
    </row>
    <row r="7864" spans="1:30" x14ac:dyDescent="0.35">
      <c r="A7864" s="7">
        <v>43305</v>
      </c>
      <c r="B7864" t="s">
        <v>30</v>
      </c>
      <c r="C7864">
        <v>304</v>
      </c>
      <c r="D7864">
        <v>8</v>
      </c>
      <c r="E7864">
        <v>1</v>
      </c>
      <c r="F7864" t="s">
        <v>1170</v>
      </c>
      <c r="G7864" t="s">
        <v>32</v>
      </c>
      <c r="H7864" t="s">
        <v>33</v>
      </c>
      <c r="I7864" t="s">
        <v>59</v>
      </c>
      <c r="AB7864" t="s">
        <v>1136</v>
      </c>
      <c r="AC7864" t="s">
        <v>87</v>
      </c>
    </row>
    <row r="7865" spans="1:30" x14ac:dyDescent="0.35">
      <c r="A7865" s="7">
        <v>43305</v>
      </c>
      <c r="B7865" t="s">
        <v>30</v>
      </c>
      <c r="C7865">
        <v>402</v>
      </c>
      <c r="D7865">
        <v>10</v>
      </c>
      <c r="E7865">
        <v>1</v>
      </c>
      <c r="F7865" t="s">
        <v>1139</v>
      </c>
      <c r="G7865" t="s">
        <v>32</v>
      </c>
      <c r="H7865" t="s">
        <v>33</v>
      </c>
      <c r="I7865" t="s">
        <v>59</v>
      </c>
      <c r="AB7865" t="s">
        <v>86</v>
      </c>
      <c r="AC7865" t="s">
        <v>87</v>
      </c>
    </row>
    <row r="7866" spans="1:30" x14ac:dyDescent="0.35">
      <c r="A7866" s="7">
        <v>43305</v>
      </c>
      <c r="B7866" t="s">
        <v>30</v>
      </c>
      <c r="C7866">
        <v>112</v>
      </c>
      <c r="D7866">
        <v>10</v>
      </c>
      <c r="E7866">
        <v>2</v>
      </c>
      <c r="F7866" t="s">
        <v>1139</v>
      </c>
      <c r="G7866" t="s">
        <v>32</v>
      </c>
      <c r="H7866" t="s">
        <v>33</v>
      </c>
      <c r="J7866" t="s">
        <v>139</v>
      </c>
      <c r="AB7866" t="s">
        <v>86</v>
      </c>
      <c r="AC7866" t="s">
        <v>87</v>
      </c>
    </row>
    <row r="7867" spans="1:30" x14ac:dyDescent="0.35">
      <c r="A7867" s="7">
        <v>43311</v>
      </c>
      <c r="B7867" t="s">
        <v>30</v>
      </c>
      <c r="C7867">
        <v>303</v>
      </c>
      <c r="D7867">
        <v>1</v>
      </c>
      <c r="E7867">
        <v>1</v>
      </c>
      <c r="F7867" t="s">
        <v>1020</v>
      </c>
      <c r="G7867" t="s">
        <v>32</v>
      </c>
      <c r="H7867" t="s">
        <v>33</v>
      </c>
      <c r="I7867" t="s">
        <v>43</v>
      </c>
      <c r="J7867" t="s">
        <v>44</v>
      </c>
      <c r="K7867" t="s">
        <v>113</v>
      </c>
      <c r="L7867" t="s">
        <v>45</v>
      </c>
      <c r="M7867">
        <v>0</v>
      </c>
      <c r="N7867">
        <v>0</v>
      </c>
      <c r="O7867">
        <v>1116</v>
      </c>
      <c r="P7867">
        <v>1183</v>
      </c>
      <c r="Q7867">
        <f>25-10.5</f>
        <v>14.5</v>
      </c>
      <c r="R7867" t="s">
        <v>46</v>
      </c>
      <c r="S7867" t="s">
        <v>39</v>
      </c>
      <c r="AB7867" t="s">
        <v>86</v>
      </c>
      <c r="AC7867" t="s">
        <v>87</v>
      </c>
    </row>
    <row r="7868" spans="1:30" x14ac:dyDescent="0.35">
      <c r="A7868" s="7">
        <v>43311</v>
      </c>
      <c r="B7868" t="s">
        <v>30</v>
      </c>
      <c r="C7868">
        <v>303</v>
      </c>
      <c r="D7868">
        <v>3</v>
      </c>
      <c r="E7868">
        <v>1</v>
      </c>
      <c r="F7868" t="s">
        <v>1020</v>
      </c>
      <c r="G7868" t="s">
        <v>32</v>
      </c>
      <c r="H7868" t="s">
        <v>33</v>
      </c>
      <c r="I7868" t="s">
        <v>43</v>
      </c>
      <c r="J7868" t="s">
        <v>44</v>
      </c>
      <c r="K7868" t="s">
        <v>36</v>
      </c>
      <c r="L7868" t="s">
        <v>45</v>
      </c>
      <c r="M7868">
        <v>0</v>
      </c>
      <c r="N7868">
        <v>0</v>
      </c>
      <c r="O7868">
        <v>2903</v>
      </c>
      <c r="P7868">
        <v>2901</v>
      </c>
      <c r="Q7868">
        <f>28.5-11</f>
        <v>17.5</v>
      </c>
      <c r="R7868" t="s">
        <v>79</v>
      </c>
      <c r="S7868" t="s">
        <v>39</v>
      </c>
      <c r="AB7868" t="s">
        <v>86</v>
      </c>
      <c r="AC7868" t="s">
        <v>87</v>
      </c>
    </row>
    <row r="7869" spans="1:30" x14ac:dyDescent="0.35">
      <c r="A7869" s="7">
        <v>43311</v>
      </c>
      <c r="B7869" t="s">
        <v>30</v>
      </c>
      <c r="C7869">
        <v>303</v>
      </c>
      <c r="D7869">
        <v>4</v>
      </c>
      <c r="E7869">
        <v>1</v>
      </c>
      <c r="F7869" t="s">
        <v>1020</v>
      </c>
      <c r="G7869" t="s">
        <v>32</v>
      </c>
      <c r="H7869" t="s">
        <v>33</v>
      </c>
      <c r="I7869" t="s">
        <v>43</v>
      </c>
      <c r="J7869" t="s">
        <v>44</v>
      </c>
      <c r="K7869" t="s">
        <v>88</v>
      </c>
      <c r="L7869" t="s">
        <v>45</v>
      </c>
      <c r="M7869">
        <v>0</v>
      </c>
      <c r="N7869">
        <v>0</v>
      </c>
      <c r="O7869">
        <v>1006</v>
      </c>
      <c r="P7869">
        <v>1005</v>
      </c>
      <c r="Q7869">
        <f>25-11</f>
        <v>14</v>
      </c>
      <c r="R7869" t="s">
        <v>46</v>
      </c>
      <c r="S7869" t="s">
        <v>39</v>
      </c>
      <c r="AB7869" t="s">
        <v>86</v>
      </c>
      <c r="AC7869" t="s">
        <v>87</v>
      </c>
    </row>
    <row r="7870" spans="1:30" x14ac:dyDescent="0.35">
      <c r="A7870" s="7">
        <v>43311</v>
      </c>
      <c r="B7870" t="s">
        <v>30</v>
      </c>
      <c r="C7870">
        <v>303</v>
      </c>
      <c r="D7870">
        <v>7</v>
      </c>
      <c r="E7870">
        <v>1</v>
      </c>
      <c r="F7870" t="s">
        <v>1020</v>
      </c>
      <c r="G7870" t="s">
        <v>32</v>
      </c>
      <c r="H7870" t="s">
        <v>33</v>
      </c>
      <c r="I7870" t="s">
        <v>43</v>
      </c>
      <c r="J7870" t="s">
        <v>44</v>
      </c>
      <c r="K7870" t="s">
        <v>36</v>
      </c>
      <c r="L7870" t="s">
        <v>45</v>
      </c>
      <c r="M7870">
        <v>0</v>
      </c>
      <c r="N7870">
        <v>0</v>
      </c>
      <c r="O7870">
        <v>2913</v>
      </c>
      <c r="P7870">
        <v>2912</v>
      </c>
      <c r="Q7870">
        <f>31-11</f>
        <v>20</v>
      </c>
      <c r="R7870" t="s">
        <v>46</v>
      </c>
      <c r="S7870" t="s">
        <v>39</v>
      </c>
      <c r="AB7870" t="s">
        <v>86</v>
      </c>
      <c r="AC7870" t="s">
        <v>87</v>
      </c>
    </row>
    <row r="7871" spans="1:30" x14ac:dyDescent="0.35">
      <c r="A7871" s="7">
        <v>43311</v>
      </c>
      <c r="B7871" t="s">
        <v>30</v>
      </c>
      <c r="C7871">
        <v>303</v>
      </c>
      <c r="D7871">
        <v>10</v>
      </c>
      <c r="E7871">
        <v>1</v>
      </c>
      <c r="F7871" t="s">
        <v>1020</v>
      </c>
      <c r="G7871" t="s">
        <v>32</v>
      </c>
      <c r="H7871" t="s">
        <v>33</v>
      </c>
      <c r="I7871" t="s">
        <v>43</v>
      </c>
      <c r="J7871" t="s">
        <v>44</v>
      </c>
      <c r="K7871" t="s">
        <v>88</v>
      </c>
      <c r="L7871" t="s">
        <v>45</v>
      </c>
      <c r="M7871">
        <v>0</v>
      </c>
      <c r="N7871">
        <v>0</v>
      </c>
      <c r="O7871">
        <v>1221</v>
      </c>
      <c r="P7871">
        <v>1220</v>
      </c>
      <c r="Q7871">
        <f>24-10.75</f>
        <v>13.25</v>
      </c>
      <c r="R7871" t="s">
        <v>46</v>
      </c>
      <c r="S7871" t="s">
        <v>39</v>
      </c>
      <c r="AB7871" t="s">
        <v>86</v>
      </c>
      <c r="AC7871" t="s">
        <v>87</v>
      </c>
    </row>
    <row r="7872" spans="1:30" x14ac:dyDescent="0.35">
      <c r="A7872" s="7">
        <v>43311</v>
      </c>
      <c r="B7872" t="s">
        <v>30</v>
      </c>
      <c r="C7872">
        <v>401</v>
      </c>
      <c r="D7872">
        <v>2</v>
      </c>
      <c r="E7872">
        <v>1</v>
      </c>
      <c r="F7872" t="s">
        <v>1020</v>
      </c>
      <c r="G7872" t="s">
        <v>32</v>
      </c>
      <c r="H7872" t="s">
        <v>33</v>
      </c>
      <c r="I7872" t="s">
        <v>43</v>
      </c>
      <c r="J7872" t="s">
        <v>44</v>
      </c>
      <c r="K7872" t="s">
        <v>113</v>
      </c>
      <c r="L7872" t="s">
        <v>37</v>
      </c>
      <c r="M7872">
        <v>0</v>
      </c>
      <c r="N7872">
        <v>0</v>
      </c>
      <c r="O7872">
        <v>1146</v>
      </c>
      <c r="P7872">
        <v>1145</v>
      </c>
      <c r="Q7872">
        <f>23.5-10</f>
        <v>13.5</v>
      </c>
      <c r="R7872" t="s">
        <v>64</v>
      </c>
      <c r="AB7872" t="s">
        <v>86</v>
      </c>
      <c r="AC7872" t="s">
        <v>87</v>
      </c>
      <c r="AD7872" t="s">
        <v>1250</v>
      </c>
    </row>
    <row r="7873" spans="1:30" x14ac:dyDescent="0.35">
      <c r="A7873" s="7">
        <v>43311</v>
      </c>
      <c r="B7873" t="s">
        <v>30</v>
      </c>
      <c r="C7873">
        <v>501</v>
      </c>
      <c r="D7873">
        <v>2</v>
      </c>
      <c r="E7873">
        <v>1</v>
      </c>
      <c r="F7873" t="s">
        <v>1020</v>
      </c>
      <c r="G7873" t="s">
        <v>32</v>
      </c>
      <c r="H7873" t="s">
        <v>33</v>
      </c>
      <c r="I7873" t="s">
        <v>43</v>
      </c>
      <c r="J7873" t="s">
        <v>44</v>
      </c>
      <c r="K7873" t="s">
        <v>88</v>
      </c>
      <c r="L7873" t="s">
        <v>37</v>
      </c>
      <c r="M7873">
        <v>0</v>
      </c>
      <c r="N7873">
        <v>0</v>
      </c>
      <c r="O7873">
        <v>1110</v>
      </c>
      <c r="P7873">
        <v>1109</v>
      </c>
      <c r="Q7873">
        <f>25-10.5</f>
        <v>14.5</v>
      </c>
      <c r="R7873" t="s">
        <v>64</v>
      </c>
      <c r="AB7873" t="s">
        <v>86</v>
      </c>
      <c r="AC7873" t="s">
        <v>87</v>
      </c>
    </row>
    <row r="7874" spans="1:30" x14ac:dyDescent="0.35">
      <c r="A7874" s="7">
        <v>43311</v>
      </c>
      <c r="B7874" t="s">
        <v>30</v>
      </c>
      <c r="C7874">
        <v>501</v>
      </c>
      <c r="D7874">
        <v>1</v>
      </c>
      <c r="E7874">
        <v>1</v>
      </c>
      <c r="F7874" t="s">
        <v>1020</v>
      </c>
      <c r="G7874" t="s">
        <v>32</v>
      </c>
      <c r="H7874" t="s">
        <v>33</v>
      </c>
      <c r="I7874" t="s">
        <v>34</v>
      </c>
      <c r="J7874" t="s">
        <v>44</v>
      </c>
      <c r="K7874" t="s">
        <v>36</v>
      </c>
      <c r="L7874" t="s">
        <v>45</v>
      </c>
      <c r="M7874">
        <v>0</v>
      </c>
      <c r="N7874">
        <v>0</v>
      </c>
      <c r="P7874">
        <v>39189</v>
      </c>
      <c r="Q7874">
        <f>202-94</f>
        <v>108</v>
      </c>
      <c r="R7874" t="s">
        <v>46</v>
      </c>
      <c r="S7874" t="s">
        <v>39</v>
      </c>
      <c r="AB7874" t="s">
        <v>86</v>
      </c>
      <c r="AC7874" t="s">
        <v>87</v>
      </c>
      <c r="AD7874" t="s">
        <v>1251</v>
      </c>
    </row>
    <row r="7875" spans="1:30" x14ac:dyDescent="0.35">
      <c r="A7875" s="7">
        <v>43311</v>
      </c>
      <c r="B7875" t="s">
        <v>30</v>
      </c>
      <c r="C7875">
        <v>401</v>
      </c>
      <c r="D7875">
        <v>10</v>
      </c>
      <c r="E7875">
        <v>1</v>
      </c>
      <c r="F7875" t="s">
        <v>1020</v>
      </c>
      <c r="G7875" t="s">
        <v>32</v>
      </c>
      <c r="H7875" t="s">
        <v>33</v>
      </c>
      <c r="I7875" t="s">
        <v>58</v>
      </c>
      <c r="J7875" t="s">
        <v>44</v>
      </c>
      <c r="K7875" t="s">
        <v>36</v>
      </c>
      <c r="L7875" t="s">
        <v>45</v>
      </c>
      <c r="M7875">
        <v>0</v>
      </c>
      <c r="N7875">
        <v>0</v>
      </c>
      <c r="O7875">
        <v>2811</v>
      </c>
      <c r="Q7875">
        <f>37-10.25</f>
        <v>26.75</v>
      </c>
      <c r="R7875" t="s">
        <v>1021</v>
      </c>
      <c r="S7875" t="s">
        <v>102</v>
      </c>
      <c r="Z7875" t="s">
        <v>102</v>
      </c>
      <c r="AB7875" t="s">
        <v>86</v>
      </c>
      <c r="AC7875" t="s">
        <v>87</v>
      </c>
    </row>
    <row r="7876" spans="1:30" x14ac:dyDescent="0.35">
      <c r="A7876" s="7">
        <v>43311</v>
      </c>
      <c r="B7876" t="s">
        <v>30</v>
      </c>
      <c r="C7876">
        <v>501</v>
      </c>
      <c r="D7876">
        <v>7</v>
      </c>
      <c r="E7876">
        <v>1</v>
      </c>
      <c r="F7876" t="s">
        <v>1020</v>
      </c>
      <c r="G7876" t="s">
        <v>32</v>
      </c>
      <c r="H7876" t="s">
        <v>33</v>
      </c>
      <c r="I7876" t="s">
        <v>58</v>
      </c>
      <c r="J7876" t="s">
        <v>44</v>
      </c>
      <c r="K7876" t="s">
        <v>36</v>
      </c>
      <c r="L7876" t="s">
        <v>45</v>
      </c>
      <c r="M7876">
        <v>0</v>
      </c>
      <c r="N7876">
        <v>0</v>
      </c>
      <c r="O7876">
        <v>2818</v>
      </c>
      <c r="Q7876">
        <f>37-10</f>
        <v>27</v>
      </c>
      <c r="R7876" t="s">
        <v>1028</v>
      </c>
      <c r="S7876" t="s">
        <v>102</v>
      </c>
      <c r="Z7876" t="s">
        <v>102</v>
      </c>
      <c r="AB7876" t="s">
        <v>86</v>
      </c>
      <c r="AC7876" t="s">
        <v>87</v>
      </c>
      <c r="AD7876" t="s">
        <v>1252</v>
      </c>
    </row>
    <row r="7877" spans="1:30" x14ac:dyDescent="0.35">
      <c r="A7877" s="7">
        <v>43311</v>
      </c>
      <c r="B7877" t="s">
        <v>30</v>
      </c>
      <c r="C7877">
        <v>501</v>
      </c>
      <c r="D7877">
        <v>9</v>
      </c>
      <c r="E7877">
        <v>1</v>
      </c>
      <c r="F7877" t="s">
        <v>1020</v>
      </c>
      <c r="G7877" t="s">
        <v>32</v>
      </c>
      <c r="H7877" t="s">
        <v>33</v>
      </c>
      <c r="I7877" t="s">
        <v>72</v>
      </c>
      <c r="J7877" t="s">
        <v>56</v>
      </c>
      <c r="AB7877" t="s">
        <v>86</v>
      </c>
      <c r="AC7877" t="s">
        <v>87</v>
      </c>
    </row>
    <row r="7878" spans="1:30" x14ac:dyDescent="0.35">
      <c r="A7878" s="7">
        <v>43311</v>
      </c>
      <c r="B7878" t="s">
        <v>30</v>
      </c>
      <c r="C7878">
        <v>503</v>
      </c>
      <c r="D7878">
        <v>2</v>
      </c>
      <c r="E7878">
        <v>1</v>
      </c>
      <c r="F7878" t="s">
        <v>1020</v>
      </c>
      <c r="G7878" t="s">
        <v>32</v>
      </c>
      <c r="H7878" t="s">
        <v>33</v>
      </c>
      <c r="I7878" t="s">
        <v>72</v>
      </c>
      <c r="J7878" t="s">
        <v>56</v>
      </c>
      <c r="AB7878" t="s">
        <v>86</v>
      </c>
      <c r="AC7878" t="s">
        <v>87</v>
      </c>
    </row>
    <row r="7879" spans="1:30" x14ac:dyDescent="0.35">
      <c r="A7879" s="7">
        <v>43311</v>
      </c>
      <c r="B7879" t="s">
        <v>30</v>
      </c>
      <c r="C7879">
        <v>503</v>
      </c>
      <c r="D7879">
        <v>7</v>
      </c>
      <c r="E7879">
        <v>1</v>
      </c>
      <c r="F7879" t="s">
        <v>1020</v>
      </c>
      <c r="G7879" t="s">
        <v>32</v>
      </c>
      <c r="H7879" t="s">
        <v>33</v>
      </c>
      <c r="I7879" t="s">
        <v>72</v>
      </c>
      <c r="J7879" t="s">
        <v>56</v>
      </c>
      <c r="AB7879" t="s">
        <v>86</v>
      </c>
      <c r="AC7879" t="s">
        <v>87</v>
      </c>
    </row>
    <row r="7880" spans="1:30" x14ac:dyDescent="0.35">
      <c r="A7880" s="7">
        <v>43311</v>
      </c>
      <c r="B7880" t="s">
        <v>30</v>
      </c>
      <c r="C7880">
        <v>303</v>
      </c>
      <c r="D7880">
        <v>6</v>
      </c>
      <c r="E7880">
        <v>1</v>
      </c>
      <c r="F7880" t="s">
        <v>1020</v>
      </c>
      <c r="G7880" t="s">
        <v>32</v>
      </c>
      <c r="H7880" t="s">
        <v>33</v>
      </c>
      <c r="I7880" t="s">
        <v>84</v>
      </c>
      <c r="AB7880" t="s">
        <v>86</v>
      </c>
      <c r="AC7880" t="s">
        <v>87</v>
      </c>
    </row>
    <row r="7881" spans="1:30" x14ac:dyDescent="0.35">
      <c r="A7881" s="7">
        <v>43311</v>
      </c>
      <c r="B7881" t="s">
        <v>30</v>
      </c>
      <c r="C7881">
        <v>303</v>
      </c>
      <c r="D7881">
        <v>1</v>
      </c>
      <c r="E7881">
        <v>2</v>
      </c>
      <c r="F7881" t="s">
        <v>1020</v>
      </c>
      <c r="G7881" t="s">
        <v>32</v>
      </c>
      <c r="H7881" t="s">
        <v>33</v>
      </c>
      <c r="I7881" t="s">
        <v>59</v>
      </c>
      <c r="AB7881" t="s">
        <v>86</v>
      </c>
      <c r="AC7881" t="s">
        <v>87</v>
      </c>
    </row>
    <row r="7882" spans="1:30" x14ac:dyDescent="0.35">
      <c r="A7882" s="7">
        <v>43311</v>
      </c>
      <c r="B7882" t="s">
        <v>30</v>
      </c>
      <c r="C7882">
        <v>303</v>
      </c>
      <c r="D7882">
        <v>2</v>
      </c>
      <c r="E7882">
        <v>1</v>
      </c>
      <c r="F7882" t="s">
        <v>1020</v>
      </c>
      <c r="G7882" t="s">
        <v>32</v>
      </c>
      <c r="H7882" t="s">
        <v>33</v>
      </c>
      <c r="I7882" t="s">
        <v>59</v>
      </c>
      <c r="AB7882" t="s">
        <v>86</v>
      </c>
      <c r="AC7882" t="s">
        <v>87</v>
      </c>
    </row>
    <row r="7883" spans="1:30" x14ac:dyDescent="0.35">
      <c r="A7883" s="7">
        <v>43311</v>
      </c>
      <c r="B7883" t="s">
        <v>30</v>
      </c>
      <c r="C7883">
        <v>303</v>
      </c>
      <c r="D7883">
        <v>7</v>
      </c>
      <c r="E7883">
        <v>2</v>
      </c>
      <c r="F7883" t="s">
        <v>1020</v>
      </c>
      <c r="G7883" t="s">
        <v>32</v>
      </c>
      <c r="H7883" t="s">
        <v>33</v>
      </c>
      <c r="I7883" t="s">
        <v>59</v>
      </c>
      <c r="AB7883" t="s">
        <v>86</v>
      </c>
      <c r="AC7883" t="s">
        <v>87</v>
      </c>
    </row>
    <row r="7884" spans="1:30" x14ac:dyDescent="0.35">
      <c r="A7884" s="7">
        <v>43311</v>
      </c>
      <c r="B7884" t="s">
        <v>30</v>
      </c>
      <c r="C7884">
        <v>303</v>
      </c>
      <c r="D7884">
        <v>8</v>
      </c>
      <c r="E7884">
        <v>1</v>
      </c>
      <c r="F7884" t="s">
        <v>1020</v>
      </c>
      <c r="G7884" t="s">
        <v>32</v>
      </c>
      <c r="H7884" t="s">
        <v>33</v>
      </c>
      <c r="I7884" t="s">
        <v>59</v>
      </c>
      <c r="AB7884" t="s">
        <v>86</v>
      </c>
      <c r="AC7884" t="s">
        <v>87</v>
      </c>
    </row>
    <row r="7885" spans="1:30" x14ac:dyDescent="0.35">
      <c r="A7885" s="7">
        <v>43311</v>
      </c>
      <c r="B7885" t="s">
        <v>30</v>
      </c>
      <c r="C7885">
        <v>303</v>
      </c>
      <c r="D7885">
        <v>8</v>
      </c>
      <c r="E7885">
        <v>2</v>
      </c>
      <c r="F7885" t="s">
        <v>1020</v>
      </c>
      <c r="G7885" t="s">
        <v>32</v>
      </c>
      <c r="H7885" t="s">
        <v>33</v>
      </c>
      <c r="I7885" t="s">
        <v>59</v>
      </c>
      <c r="AB7885" t="s">
        <v>86</v>
      </c>
      <c r="AC7885" t="s">
        <v>87</v>
      </c>
    </row>
    <row r="7886" spans="1:30" x14ac:dyDescent="0.35">
      <c r="A7886" s="7">
        <v>43311</v>
      </c>
      <c r="B7886" t="s">
        <v>30</v>
      </c>
      <c r="C7886">
        <v>401</v>
      </c>
      <c r="D7886">
        <v>3</v>
      </c>
      <c r="E7886">
        <v>1</v>
      </c>
      <c r="F7886" t="s">
        <v>1020</v>
      </c>
      <c r="G7886" t="s">
        <v>32</v>
      </c>
      <c r="H7886" t="s">
        <v>33</v>
      </c>
      <c r="I7886" t="s">
        <v>59</v>
      </c>
      <c r="AB7886" t="s">
        <v>86</v>
      </c>
      <c r="AC7886" t="s">
        <v>87</v>
      </c>
    </row>
    <row r="7887" spans="1:30" x14ac:dyDescent="0.35">
      <c r="A7887" s="7">
        <v>43311</v>
      </c>
      <c r="B7887" t="s">
        <v>30</v>
      </c>
      <c r="C7887">
        <v>401</v>
      </c>
      <c r="D7887">
        <v>4</v>
      </c>
      <c r="E7887">
        <v>1</v>
      </c>
      <c r="F7887" t="s">
        <v>1020</v>
      </c>
      <c r="G7887" t="s">
        <v>32</v>
      </c>
      <c r="H7887" t="s">
        <v>33</v>
      </c>
      <c r="I7887" t="s">
        <v>59</v>
      </c>
      <c r="AB7887" t="s">
        <v>86</v>
      </c>
      <c r="AC7887" t="s">
        <v>87</v>
      </c>
    </row>
    <row r="7888" spans="1:30" x14ac:dyDescent="0.35">
      <c r="A7888" s="7">
        <v>43311</v>
      </c>
      <c r="B7888" t="s">
        <v>30</v>
      </c>
      <c r="C7888">
        <v>401</v>
      </c>
      <c r="D7888">
        <v>6</v>
      </c>
      <c r="E7888">
        <v>1</v>
      </c>
      <c r="F7888" t="s">
        <v>1020</v>
      </c>
      <c r="G7888" t="s">
        <v>32</v>
      </c>
      <c r="H7888" t="s">
        <v>33</v>
      </c>
      <c r="I7888" t="s">
        <v>59</v>
      </c>
      <c r="AB7888" t="s">
        <v>86</v>
      </c>
      <c r="AC7888" t="s">
        <v>87</v>
      </c>
    </row>
    <row r="7889" spans="1:29" x14ac:dyDescent="0.35">
      <c r="A7889" s="7">
        <v>43312</v>
      </c>
      <c r="B7889" t="s">
        <v>30</v>
      </c>
      <c r="C7889">
        <v>303</v>
      </c>
      <c r="D7889">
        <v>1</v>
      </c>
      <c r="E7889">
        <v>1</v>
      </c>
      <c r="F7889" t="s">
        <v>1139</v>
      </c>
      <c r="G7889" t="s">
        <v>32</v>
      </c>
      <c r="H7889" t="s">
        <v>33</v>
      </c>
      <c r="I7889" t="s">
        <v>43</v>
      </c>
      <c r="J7889" t="s">
        <v>44</v>
      </c>
      <c r="K7889" t="s">
        <v>113</v>
      </c>
      <c r="L7889" t="s">
        <v>45</v>
      </c>
      <c r="M7889">
        <v>0</v>
      </c>
      <c r="N7889">
        <v>0</v>
      </c>
      <c r="O7889">
        <v>1116</v>
      </c>
      <c r="P7889">
        <v>1183</v>
      </c>
      <c r="Q7889">
        <f>23-12.5</f>
        <v>10.5</v>
      </c>
      <c r="R7889" t="s">
        <v>46</v>
      </c>
      <c r="S7889" t="s">
        <v>39</v>
      </c>
      <c r="AB7889" t="s">
        <v>47</v>
      </c>
      <c r="AC7889" t="s">
        <v>41</v>
      </c>
    </row>
    <row r="7890" spans="1:29" x14ac:dyDescent="0.35">
      <c r="A7890" s="7">
        <v>43312</v>
      </c>
      <c r="B7890" t="s">
        <v>30</v>
      </c>
      <c r="C7890">
        <v>303</v>
      </c>
      <c r="D7890">
        <v>2</v>
      </c>
      <c r="E7890">
        <v>1</v>
      </c>
      <c r="F7890" t="s">
        <v>1139</v>
      </c>
      <c r="G7890" t="s">
        <v>32</v>
      </c>
      <c r="H7890" t="s">
        <v>33</v>
      </c>
      <c r="I7890" t="s">
        <v>43</v>
      </c>
      <c r="J7890" t="s">
        <v>44</v>
      </c>
      <c r="K7890" t="s">
        <v>36</v>
      </c>
      <c r="L7890" t="s">
        <v>45</v>
      </c>
      <c r="M7890">
        <v>0</v>
      </c>
      <c r="N7890">
        <v>0</v>
      </c>
      <c r="O7890">
        <v>2903</v>
      </c>
      <c r="P7890">
        <v>2901</v>
      </c>
      <c r="Q7890">
        <f>28-11</f>
        <v>17</v>
      </c>
      <c r="R7890" t="s">
        <v>79</v>
      </c>
      <c r="S7890" t="s">
        <v>39</v>
      </c>
      <c r="Z7890" t="s">
        <v>102</v>
      </c>
      <c r="AB7890" t="s">
        <v>47</v>
      </c>
      <c r="AC7890" t="s">
        <v>41</v>
      </c>
    </row>
    <row r="7891" spans="1:29" x14ac:dyDescent="0.35">
      <c r="A7891" s="7">
        <v>43312</v>
      </c>
      <c r="B7891" t="s">
        <v>30</v>
      </c>
      <c r="C7891">
        <v>303</v>
      </c>
      <c r="D7891">
        <v>4</v>
      </c>
      <c r="E7891">
        <v>1</v>
      </c>
      <c r="F7891" t="s">
        <v>1139</v>
      </c>
      <c r="G7891" t="s">
        <v>32</v>
      </c>
      <c r="H7891" t="s">
        <v>33</v>
      </c>
      <c r="I7891" t="s">
        <v>43</v>
      </c>
      <c r="J7891" t="s">
        <v>44</v>
      </c>
      <c r="K7891" t="s">
        <v>88</v>
      </c>
      <c r="L7891" t="s">
        <v>45</v>
      </c>
      <c r="M7891">
        <v>0</v>
      </c>
      <c r="N7891">
        <v>0</v>
      </c>
      <c r="O7891">
        <v>1006</v>
      </c>
      <c r="P7891">
        <v>1005</v>
      </c>
      <c r="Q7891">
        <f>23-11</f>
        <v>12</v>
      </c>
      <c r="R7891" t="s">
        <v>46</v>
      </c>
      <c r="S7891" t="s">
        <v>39</v>
      </c>
      <c r="AB7891" t="s">
        <v>47</v>
      </c>
      <c r="AC7891" t="s">
        <v>41</v>
      </c>
    </row>
    <row r="7892" spans="1:29" x14ac:dyDescent="0.35">
      <c r="A7892" s="7">
        <v>43312</v>
      </c>
      <c r="B7892" t="s">
        <v>30</v>
      </c>
      <c r="C7892">
        <v>303</v>
      </c>
      <c r="D7892">
        <v>7</v>
      </c>
      <c r="E7892">
        <v>2</v>
      </c>
      <c r="F7892" t="s">
        <v>1139</v>
      </c>
      <c r="G7892" t="s">
        <v>32</v>
      </c>
      <c r="H7892" t="s">
        <v>33</v>
      </c>
      <c r="I7892" t="s">
        <v>43</v>
      </c>
      <c r="J7892" t="s">
        <v>35</v>
      </c>
      <c r="K7892" t="s">
        <v>88</v>
      </c>
      <c r="L7892" t="s">
        <v>45</v>
      </c>
      <c r="M7892">
        <v>0</v>
      </c>
      <c r="N7892">
        <v>1</v>
      </c>
      <c r="O7892">
        <v>1458</v>
      </c>
      <c r="P7892">
        <v>1457</v>
      </c>
      <c r="Q7892">
        <f>24.5-11</f>
        <v>13.5</v>
      </c>
      <c r="R7892" t="s">
        <v>46</v>
      </c>
      <c r="S7892" t="s">
        <v>39</v>
      </c>
      <c r="Z7892" t="s">
        <v>102</v>
      </c>
      <c r="AB7892" t="s">
        <v>47</v>
      </c>
      <c r="AC7892" t="s">
        <v>41</v>
      </c>
    </row>
    <row r="7893" spans="1:29" x14ac:dyDescent="0.35">
      <c r="A7893" s="7">
        <v>43312</v>
      </c>
      <c r="B7893" t="s">
        <v>30</v>
      </c>
      <c r="C7893">
        <v>303</v>
      </c>
      <c r="D7893">
        <v>8</v>
      </c>
      <c r="E7893">
        <v>2</v>
      </c>
      <c r="F7893" t="s">
        <v>1139</v>
      </c>
      <c r="G7893" t="s">
        <v>32</v>
      </c>
      <c r="H7893" t="s">
        <v>33</v>
      </c>
      <c r="I7893" t="s">
        <v>43</v>
      </c>
      <c r="J7893" t="s">
        <v>44</v>
      </c>
      <c r="K7893" t="s">
        <v>88</v>
      </c>
      <c r="L7893" t="s">
        <v>45</v>
      </c>
      <c r="M7893">
        <v>0</v>
      </c>
      <c r="N7893">
        <v>0</v>
      </c>
      <c r="O7893">
        <v>1221</v>
      </c>
      <c r="P7893">
        <v>1220</v>
      </c>
      <c r="Q7893">
        <f>23-10.5</f>
        <v>12.5</v>
      </c>
      <c r="R7893" t="s">
        <v>46</v>
      </c>
      <c r="S7893" t="s">
        <v>39</v>
      </c>
      <c r="AB7893" t="s">
        <v>47</v>
      </c>
      <c r="AC7893" t="s">
        <v>41</v>
      </c>
    </row>
    <row r="7894" spans="1:29" x14ac:dyDescent="0.35">
      <c r="A7894" s="7">
        <v>43312</v>
      </c>
      <c r="B7894" t="s">
        <v>30</v>
      </c>
      <c r="C7894">
        <v>303</v>
      </c>
      <c r="D7894">
        <v>9</v>
      </c>
      <c r="E7894">
        <v>2</v>
      </c>
      <c r="F7894" t="s">
        <v>1139</v>
      </c>
      <c r="G7894" t="s">
        <v>32</v>
      </c>
      <c r="H7894" t="s">
        <v>33</v>
      </c>
      <c r="I7894" t="s">
        <v>43</v>
      </c>
      <c r="J7894" t="s">
        <v>35</v>
      </c>
      <c r="K7894" t="s">
        <v>88</v>
      </c>
      <c r="L7894" t="s">
        <v>37</v>
      </c>
      <c r="M7894">
        <v>0</v>
      </c>
      <c r="N7894">
        <v>1</v>
      </c>
      <c r="O7894">
        <v>1456</v>
      </c>
      <c r="P7894">
        <v>1455</v>
      </c>
      <c r="Q7894">
        <f>23-10</f>
        <v>13</v>
      </c>
      <c r="R7894" t="s">
        <v>64</v>
      </c>
      <c r="AB7894" t="s">
        <v>47</v>
      </c>
      <c r="AC7894" t="s">
        <v>41</v>
      </c>
    </row>
    <row r="7895" spans="1:29" x14ac:dyDescent="0.35">
      <c r="A7895" s="7">
        <v>43312</v>
      </c>
      <c r="B7895" t="s">
        <v>30</v>
      </c>
      <c r="C7895">
        <v>303</v>
      </c>
      <c r="D7895">
        <v>10</v>
      </c>
      <c r="E7895">
        <v>1</v>
      </c>
      <c r="F7895" t="s">
        <v>1139</v>
      </c>
      <c r="G7895" t="s">
        <v>32</v>
      </c>
      <c r="H7895" t="s">
        <v>33</v>
      </c>
      <c r="I7895" t="s">
        <v>43</v>
      </c>
      <c r="J7895" t="s">
        <v>44</v>
      </c>
      <c r="K7895" t="s">
        <v>36</v>
      </c>
      <c r="L7895" t="s">
        <v>45</v>
      </c>
      <c r="M7895">
        <v>0</v>
      </c>
      <c r="N7895">
        <v>0</v>
      </c>
      <c r="O7895">
        <v>2913</v>
      </c>
      <c r="P7895">
        <v>2912</v>
      </c>
      <c r="Q7895">
        <f>28.5-9</f>
        <v>19.5</v>
      </c>
      <c r="R7895" t="s">
        <v>46</v>
      </c>
      <c r="S7895" t="s">
        <v>39</v>
      </c>
      <c r="AB7895" t="s">
        <v>47</v>
      </c>
      <c r="AC7895" t="s">
        <v>41</v>
      </c>
    </row>
    <row r="7896" spans="1:29" x14ac:dyDescent="0.35">
      <c r="A7896" s="7">
        <v>43312</v>
      </c>
      <c r="B7896" t="s">
        <v>30</v>
      </c>
      <c r="C7896">
        <v>401</v>
      </c>
      <c r="D7896">
        <v>3</v>
      </c>
      <c r="E7896">
        <v>1</v>
      </c>
      <c r="F7896" t="s">
        <v>1139</v>
      </c>
      <c r="G7896" t="s">
        <v>32</v>
      </c>
      <c r="H7896" t="s">
        <v>33</v>
      </c>
      <c r="I7896" t="s">
        <v>43</v>
      </c>
      <c r="J7896" t="s">
        <v>44</v>
      </c>
      <c r="K7896" t="s">
        <v>88</v>
      </c>
      <c r="L7896" t="s">
        <v>37</v>
      </c>
      <c r="M7896">
        <v>0</v>
      </c>
      <c r="N7896">
        <v>0</v>
      </c>
      <c r="O7896">
        <v>1250</v>
      </c>
      <c r="P7896">
        <v>1249</v>
      </c>
      <c r="Q7896">
        <f>24-11</f>
        <v>13</v>
      </c>
      <c r="R7896" t="s">
        <v>64</v>
      </c>
      <c r="Z7896" t="s">
        <v>102</v>
      </c>
      <c r="AB7896" t="s">
        <v>47</v>
      </c>
      <c r="AC7896" t="s">
        <v>41</v>
      </c>
    </row>
    <row r="7897" spans="1:29" x14ac:dyDescent="0.35">
      <c r="A7897" s="7">
        <v>43312</v>
      </c>
      <c r="B7897" t="s">
        <v>30</v>
      </c>
      <c r="C7897">
        <v>401</v>
      </c>
      <c r="D7897">
        <v>8</v>
      </c>
      <c r="E7897">
        <v>1</v>
      </c>
      <c r="F7897" t="s">
        <v>1139</v>
      </c>
      <c r="G7897" t="s">
        <v>32</v>
      </c>
      <c r="H7897" t="s">
        <v>33</v>
      </c>
      <c r="I7897" t="s">
        <v>43</v>
      </c>
      <c r="J7897" t="s">
        <v>44</v>
      </c>
      <c r="K7897" t="s">
        <v>113</v>
      </c>
      <c r="L7897" t="s">
        <v>37</v>
      </c>
      <c r="M7897">
        <v>0</v>
      </c>
      <c r="N7897">
        <v>0</v>
      </c>
      <c r="O7897">
        <v>1146</v>
      </c>
      <c r="P7897">
        <v>1145</v>
      </c>
      <c r="Q7897">
        <f>23-10.5</f>
        <v>12.5</v>
      </c>
      <c r="R7897" t="s">
        <v>64</v>
      </c>
      <c r="AB7897" t="s">
        <v>47</v>
      </c>
      <c r="AC7897" t="s">
        <v>41</v>
      </c>
    </row>
    <row r="7898" spans="1:29" x14ac:dyDescent="0.35">
      <c r="A7898" s="7">
        <v>43312</v>
      </c>
      <c r="B7898" t="s">
        <v>30</v>
      </c>
      <c r="C7898">
        <v>501</v>
      </c>
      <c r="D7898">
        <v>1</v>
      </c>
      <c r="E7898">
        <v>2</v>
      </c>
      <c r="F7898" t="s">
        <v>1139</v>
      </c>
      <c r="G7898" t="s">
        <v>32</v>
      </c>
      <c r="H7898" t="s">
        <v>33</v>
      </c>
      <c r="I7898" t="s">
        <v>43</v>
      </c>
      <c r="J7898" t="s">
        <v>44</v>
      </c>
      <c r="K7898" t="s">
        <v>36</v>
      </c>
      <c r="L7898" t="s">
        <v>45</v>
      </c>
      <c r="M7898">
        <v>0</v>
      </c>
      <c r="N7898">
        <v>0</v>
      </c>
      <c r="O7898">
        <v>2953</v>
      </c>
      <c r="P7898">
        <v>2952</v>
      </c>
      <c r="Q7898">
        <f>31-12.5</f>
        <v>18.5</v>
      </c>
      <c r="R7898" t="s">
        <v>1028</v>
      </c>
      <c r="S7898" t="s">
        <v>102</v>
      </c>
      <c r="AB7898" t="s">
        <v>47</v>
      </c>
      <c r="AC7898" t="s">
        <v>41</v>
      </c>
    </row>
    <row r="7899" spans="1:29" x14ac:dyDescent="0.35">
      <c r="A7899" s="7">
        <v>43312</v>
      </c>
      <c r="B7899" t="s">
        <v>30</v>
      </c>
      <c r="C7899">
        <v>501</v>
      </c>
      <c r="D7899">
        <v>2</v>
      </c>
      <c r="E7899">
        <v>1</v>
      </c>
      <c r="F7899" t="s">
        <v>1139</v>
      </c>
      <c r="G7899" t="s">
        <v>32</v>
      </c>
      <c r="H7899" t="s">
        <v>33</v>
      </c>
      <c r="I7899" t="s">
        <v>43</v>
      </c>
      <c r="J7899" t="s">
        <v>44</v>
      </c>
      <c r="K7899" t="s">
        <v>88</v>
      </c>
      <c r="L7899" t="s">
        <v>37</v>
      </c>
      <c r="M7899">
        <v>0</v>
      </c>
      <c r="N7899">
        <v>0</v>
      </c>
      <c r="O7899">
        <v>1110</v>
      </c>
      <c r="P7899">
        <v>1109</v>
      </c>
      <c r="Q7899">
        <f>26-13.5</f>
        <v>12.5</v>
      </c>
      <c r="R7899" t="s">
        <v>64</v>
      </c>
      <c r="AB7899" t="s">
        <v>47</v>
      </c>
      <c r="AC7899" t="s">
        <v>41</v>
      </c>
    </row>
    <row r="7900" spans="1:29" x14ac:dyDescent="0.35">
      <c r="A7900" s="7">
        <v>43312</v>
      </c>
      <c r="B7900" t="s">
        <v>30</v>
      </c>
      <c r="C7900">
        <v>501</v>
      </c>
      <c r="D7900">
        <v>4</v>
      </c>
      <c r="E7900">
        <v>2</v>
      </c>
      <c r="F7900" t="s">
        <v>1139</v>
      </c>
      <c r="G7900" t="s">
        <v>32</v>
      </c>
      <c r="H7900" t="s">
        <v>33</v>
      </c>
      <c r="I7900" t="s">
        <v>43</v>
      </c>
      <c r="J7900" t="s">
        <v>35</v>
      </c>
      <c r="K7900" t="s">
        <v>113</v>
      </c>
      <c r="L7900" t="s">
        <v>37</v>
      </c>
      <c r="M7900">
        <v>0</v>
      </c>
      <c r="N7900">
        <v>1</v>
      </c>
      <c r="O7900">
        <v>1453</v>
      </c>
      <c r="P7900">
        <v>1454</v>
      </c>
      <c r="Q7900">
        <f>35-15</f>
        <v>20</v>
      </c>
      <c r="R7900" t="s">
        <v>64</v>
      </c>
      <c r="AB7900" t="s">
        <v>47</v>
      </c>
      <c r="AC7900" t="s">
        <v>41</v>
      </c>
    </row>
    <row r="7901" spans="1:29" x14ac:dyDescent="0.35">
      <c r="A7901" s="7">
        <v>43312</v>
      </c>
      <c r="B7901" t="s">
        <v>30</v>
      </c>
      <c r="C7901">
        <v>503</v>
      </c>
      <c r="D7901">
        <v>4</v>
      </c>
      <c r="E7901">
        <v>1</v>
      </c>
      <c r="F7901" t="s">
        <v>1139</v>
      </c>
      <c r="G7901" t="s">
        <v>32</v>
      </c>
      <c r="H7901" t="s">
        <v>33</v>
      </c>
      <c r="I7901" t="s">
        <v>43</v>
      </c>
      <c r="J7901" t="s">
        <v>44</v>
      </c>
      <c r="K7901" t="s">
        <v>113</v>
      </c>
      <c r="L7901" t="s">
        <v>45</v>
      </c>
      <c r="M7901">
        <v>0</v>
      </c>
      <c r="N7901">
        <v>0</v>
      </c>
      <c r="O7901">
        <v>1253</v>
      </c>
      <c r="P7901">
        <v>1252</v>
      </c>
      <c r="Q7901">
        <f>26-11</f>
        <v>15</v>
      </c>
      <c r="R7901" t="s">
        <v>1021</v>
      </c>
      <c r="S7901" t="s">
        <v>102</v>
      </c>
      <c r="AB7901" t="s">
        <v>47</v>
      </c>
      <c r="AC7901" t="s">
        <v>41</v>
      </c>
    </row>
    <row r="7902" spans="1:29" x14ac:dyDescent="0.35">
      <c r="A7902" s="7">
        <v>43312</v>
      </c>
      <c r="B7902" t="s">
        <v>30</v>
      </c>
      <c r="C7902">
        <v>401</v>
      </c>
      <c r="D7902">
        <v>1</v>
      </c>
      <c r="E7902">
        <v>2</v>
      </c>
      <c r="F7902" t="s">
        <v>1139</v>
      </c>
      <c r="G7902" t="s">
        <v>32</v>
      </c>
      <c r="H7902" t="s">
        <v>33</v>
      </c>
      <c r="I7902" t="s">
        <v>34</v>
      </c>
      <c r="J7902" t="s">
        <v>35</v>
      </c>
      <c r="K7902" t="s">
        <v>36</v>
      </c>
      <c r="L7902" t="s">
        <v>45</v>
      </c>
      <c r="M7902">
        <v>0</v>
      </c>
      <c r="N7902">
        <v>1</v>
      </c>
      <c r="O7902">
        <v>1461</v>
      </c>
      <c r="Q7902">
        <f>160-85</f>
        <v>75</v>
      </c>
      <c r="R7902" t="s">
        <v>46</v>
      </c>
      <c r="S7902" t="s">
        <v>39</v>
      </c>
      <c r="AB7902" t="s">
        <v>47</v>
      </c>
      <c r="AC7902" t="s">
        <v>41</v>
      </c>
    </row>
    <row r="7903" spans="1:29" x14ac:dyDescent="0.35">
      <c r="A7903" s="7">
        <v>43312</v>
      </c>
      <c r="B7903" t="s">
        <v>30</v>
      </c>
      <c r="C7903">
        <v>401</v>
      </c>
      <c r="D7903">
        <v>9</v>
      </c>
      <c r="E7903">
        <v>1</v>
      </c>
      <c r="F7903" t="s">
        <v>1139</v>
      </c>
      <c r="G7903" t="s">
        <v>32</v>
      </c>
      <c r="H7903" t="s">
        <v>33</v>
      </c>
      <c r="I7903" t="s">
        <v>58</v>
      </c>
      <c r="J7903" t="s">
        <v>44</v>
      </c>
      <c r="K7903" t="s">
        <v>36</v>
      </c>
      <c r="L7903" t="s">
        <v>45</v>
      </c>
      <c r="M7903">
        <v>0</v>
      </c>
      <c r="N7903">
        <v>0</v>
      </c>
      <c r="O7903">
        <v>2811</v>
      </c>
      <c r="Q7903">
        <f>37-11</f>
        <v>26</v>
      </c>
      <c r="R7903" t="s">
        <v>1021</v>
      </c>
      <c r="S7903" t="s">
        <v>102</v>
      </c>
      <c r="Z7903" t="s">
        <v>102</v>
      </c>
      <c r="AB7903" t="s">
        <v>47</v>
      </c>
      <c r="AC7903" t="s">
        <v>41</v>
      </c>
    </row>
    <row r="7904" spans="1:29" x14ac:dyDescent="0.35">
      <c r="A7904" s="7">
        <v>43312</v>
      </c>
      <c r="B7904" t="s">
        <v>30</v>
      </c>
      <c r="C7904">
        <v>501</v>
      </c>
      <c r="D7904">
        <v>4</v>
      </c>
      <c r="E7904">
        <v>1</v>
      </c>
      <c r="F7904" t="s">
        <v>1139</v>
      </c>
      <c r="G7904" t="s">
        <v>32</v>
      </c>
      <c r="H7904" t="s">
        <v>33</v>
      </c>
      <c r="I7904" t="s">
        <v>58</v>
      </c>
      <c r="J7904" t="s">
        <v>44</v>
      </c>
      <c r="K7904" t="s">
        <v>36</v>
      </c>
      <c r="L7904" t="s">
        <v>45</v>
      </c>
      <c r="M7904">
        <v>0</v>
      </c>
      <c r="N7904">
        <v>0</v>
      </c>
      <c r="O7904">
        <v>2818</v>
      </c>
      <c r="Q7904">
        <f>43-26</f>
        <v>17</v>
      </c>
      <c r="R7904" t="s">
        <v>1028</v>
      </c>
      <c r="S7904" t="s">
        <v>102</v>
      </c>
      <c r="Z7904" t="s">
        <v>102</v>
      </c>
      <c r="AB7904" t="s">
        <v>47</v>
      </c>
      <c r="AC7904" t="s">
        <v>41</v>
      </c>
    </row>
    <row r="7905" spans="1:29" x14ac:dyDescent="0.35">
      <c r="A7905" s="7">
        <v>43312</v>
      </c>
      <c r="B7905" t="s">
        <v>30</v>
      </c>
      <c r="C7905">
        <v>503</v>
      </c>
      <c r="D7905">
        <v>7</v>
      </c>
      <c r="E7905">
        <v>1</v>
      </c>
      <c r="F7905" t="s">
        <v>1139</v>
      </c>
      <c r="G7905" t="s">
        <v>32</v>
      </c>
      <c r="H7905" t="s">
        <v>33</v>
      </c>
      <c r="I7905" t="s">
        <v>1029</v>
      </c>
      <c r="J7905" t="s">
        <v>66</v>
      </c>
      <c r="AB7905" t="s">
        <v>47</v>
      </c>
      <c r="AC7905" t="s">
        <v>41</v>
      </c>
    </row>
    <row r="7906" spans="1:29" x14ac:dyDescent="0.35">
      <c r="A7906" s="7">
        <v>43312</v>
      </c>
      <c r="B7906" t="s">
        <v>30</v>
      </c>
      <c r="C7906">
        <v>303</v>
      </c>
      <c r="D7906">
        <v>8</v>
      </c>
      <c r="E7906">
        <v>1</v>
      </c>
      <c r="F7906" t="s">
        <v>1139</v>
      </c>
      <c r="G7906" t="s">
        <v>32</v>
      </c>
      <c r="H7906" t="s">
        <v>33</v>
      </c>
      <c r="I7906" t="s">
        <v>72</v>
      </c>
      <c r="J7906" t="s">
        <v>56</v>
      </c>
      <c r="AB7906" t="s">
        <v>47</v>
      </c>
      <c r="AC7906" t="s">
        <v>41</v>
      </c>
    </row>
    <row r="7907" spans="1:29" x14ac:dyDescent="0.35">
      <c r="A7907" s="7">
        <v>43312</v>
      </c>
      <c r="B7907" t="s">
        <v>30</v>
      </c>
      <c r="C7907">
        <v>501</v>
      </c>
      <c r="D7907">
        <v>1</v>
      </c>
      <c r="E7907">
        <v>1</v>
      </c>
      <c r="F7907" t="s">
        <v>1139</v>
      </c>
      <c r="G7907" t="s">
        <v>32</v>
      </c>
      <c r="H7907" t="s">
        <v>33</v>
      </c>
      <c r="I7907" t="s">
        <v>72</v>
      </c>
      <c r="J7907" t="s">
        <v>56</v>
      </c>
      <c r="AB7907" t="s">
        <v>47</v>
      </c>
      <c r="AC7907" t="s">
        <v>41</v>
      </c>
    </row>
    <row r="7908" spans="1:29" x14ac:dyDescent="0.35">
      <c r="A7908" s="7">
        <v>43312</v>
      </c>
      <c r="B7908" t="s">
        <v>30</v>
      </c>
      <c r="C7908">
        <v>501</v>
      </c>
      <c r="D7908">
        <v>9</v>
      </c>
      <c r="E7908">
        <v>1</v>
      </c>
      <c r="F7908" t="s">
        <v>1139</v>
      </c>
      <c r="G7908" t="s">
        <v>32</v>
      </c>
      <c r="H7908" t="s">
        <v>33</v>
      </c>
      <c r="I7908" t="s">
        <v>72</v>
      </c>
      <c r="J7908" t="s">
        <v>56</v>
      </c>
      <c r="AB7908" t="s">
        <v>47</v>
      </c>
      <c r="AC7908" t="s">
        <v>41</v>
      </c>
    </row>
    <row r="7909" spans="1:29" x14ac:dyDescent="0.35">
      <c r="A7909" s="7">
        <v>43312</v>
      </c>
      <c r="B7909" t="s">
        <v>30</v>
      </c>
      <c r="C7909">
        <v>501</v>
      </c>
      <c r="D7909">
        <v>10</v>
      </c>
      <c r="E7909">
        <v>1</v>
      </c>
      <c r="F7909" t="s">
        <v>1139</v>
      </c>
      <c r="G7909" t="s">
        <v>32</v>
      </c>
      <c r="H7909" t="s">
        <v>33</v>
      </c>
      <c r="I7909" t="s">
        <v>72</v>
      </c>
      <c r="J7909" t="s">
        <v>56</v>
      </c>
      <c r="AB7909" t="s">
        <v>47</v>
      </c>
      <c r="AC7909" t="s">
        <v>41</v>
      </c>
    </row>
    <row r="7910" spans="1:29" x14ac:dyDescent="0.35">
      <c r="A7910" s="7">
        <v>43312</v>
      </c>
      <c r="B7910" t="s">
        <v>30</v>
      </c>
      <c r="C7910">
        <v>503</v>
      </c>
      <c r="D7910">
        <v>4</v>
      </c>
      <c r="E7910">
        <v>2</v>
      </c>
      <c r="F7910" t="s">
        <v>1139</v>
      </c>
      <c r="G7910" t="s">
        <v>32</v>
      </c>
      <c r="H7910" t="s">
        <v>33</v>
      </c>
      <c r="I7910" t="s">
        <v>72</v>
      </c>
      <c r="J7910" t="s">
        <v>56</v>
      </c>
      <c r="AB7910" t="s">
        <v>47</v>
      </c>
      <c r="AC7910" t="s">
        <v>41</v>
      </c>
    </row>
    <row r="7911" spans="1:29" x14ac:dyDescent="0.35">
      <c r="A7911" s="7">
        <v>43312</v>
      </c>
      <c r="B7911" t="s">
        <v>30</v>
      </c>
      <c r="C7911">
        <v>303</v>
      </c>
      <c r="D7911">
        <v>7</v>
      </c>
      <c r="E7911">
        <v>1</v>
      </c>
      <c r="F7911" t="s">
        <v>1139</v>
      </c>
      <c r="G7911" t="s">
        <v>32</v>
      </c>
      <c r="H7911" t="s">
        <v>33</v>
      </c>
      <c r="I7911" t="s">
        <v>59</v>
      </c>
      <c r="AB7911" t="s">
        <v>47</v>
      </c>
      <c r="AC7911" t="s">
        <v>41</v>
      </c>
    </row>
    <row r="7912" spans="1:29" x14ac:dyDescent="0.35">
      <c r="A7912" s="7">
        <v>43312</v>
      </c>
      <c r="B7912" t="s">
        <v>30</v>
      </c>
      <c r="C7912">
        <v>303</v>
      </c>
      <c r="D7912">
        <v>9</v>
      </c>
      <c r="E7912">
        <v>1</v>
      </c>
      <c r="F7912" t="s">
        <v>1139</v>
      </c>
      <c r="G7912" t="s">
        <v>32</v>
      </c>
      <c r="H7912" t="s">
        <v>33</v>
      </c>
      <c r="I7912" t="s">
        <v>59</v>
      </c>
      <c r="AB7912" t="s">
        <v>47</v>
      </c>
      <c r="AC7912" t="s">
        <v>41</v>
      </c>
    </row>
    <row r="7913" spans="1:29" x14ac:dyDescent="0.35">
      <c r="A7913" s="7">
        <v>43312</v>
      </c>
      <c r="B7913" t="s">
        <v>30</v>
      </c>
      <c r="C7913">
        <v>401</v>
      </c>
      <c r="D7913">
        <v>1</v>
      </c>
      <c r="E7913">
        <v>1</v>
      </c>
      <c r="F7913" t="s">
        <v>1139</v>
      </c>
      <c r="G7913" t="s">
        <v>32</v>
      </c>
      <c r="H7913" t="s">
        <v>33</v>
      </c>
      <c r="I7913" t="s">
        <v>59</v>
      </c>
      <c r="AB7913" t="s">
        <v>47</v>
      </c>
      <c r="AC7913" t="s">
        <v>41</v>
      </c>
    </row>
    <row r="7914" spans="1:29" x14ac:dyDescent="0.35">
      <c r="A7914" s="7">
        <v>43312</v>
      </c>
      <c r="B7914" t="s">
        <v>30</v>
      </c>
      <c r="C7914">
        <v>401</v>
      </c>
      <c r="D7914">
        <v>4</v>
      </c>
      <c r="E7914">
        <v>1</v>
      </c>
      <c r="F7914" t="s">
        <v>1139</v>
      </c>
      <c r="G7914" t="s">
        <v>32</v>
      </c>
      <c r="H7914" t="s">
        <v>33</v>
      </c>
      <c r="I7914" t="s">
        <v>59</v>
      </c>
      <c r="AB7914" t="s">
        <v>47</v>
      </c>
      <c r="AC7914" t="s">
        <v>41</v>
      </c>
    </row>
    <row r="7915" spans="1:29" x14ac:dyDescent="0.35">
      <c r="A7915" s="7">
        <v>43312</v>
      </c>
      <c r="B7915" t="s">
        <v>30</v>
      </c>
      <c r="C7915">
        <v>401</v>
      </c>
      <c r="D7915">
        <v>4</v>
      </c>
      <c r="E7915">
        <v>2</v>
      </c>
      <c r="F7915" t="s">
        <v>1139</v>
      </c>
      <c r="G7915" t="s">
        <v>32</v>
      </c>
      <c r="H7915" t="s">
        <v>33</v>
      </c>
      <c r="I7915" t="s">
        <v>59</v>
      </c>
      <c r="AB7915" t="s">
        <v>47</v>
      </c>
      <c r="AC7915" t="s">
        <v>41</v>
      </c>
    </row>
    <row r="7916" spans="1:29" x14ac:dyDescent="0.35">
      <c r="A7916" s="7">
        <v>43312</v>
      </c>
      <c r="B7916" t="s">
        <v>30</v>
      </c>
      <c r="C7916">
        <v>401</v>
      </c>
      <c r="D7916">
        <v>6</v>
      </c>
      <c r="E7916">
        <v>1</v>
      </c>
      <c r="F7916" t="s">
        <v>1139</v>
      </c>
      <c r="G7916" t="s">
        <v>32</v>
      </c>
      <c r="H7916" t="s">
        <v>33</v>
      </c>
      <c r="I7916" t="s">
        <v>59</v>
      </c>
      <c r="AB7916" t="s">
        <v>47</v>
      </c>
      <c r="AC7916" t="s">
        <v>41</v>
      </c>
    </row>
    <row r="7917" spans="1:29" x14ac:dyDescent="0.35">
      <c r="A7917" s="7">
        <v>43312</v>
      </c>
      <c r="B7917" t="s">
        <v>30</v>
      </c>
      <c r="C7917">
        <v>401</v>
      </c>
      <c r="D7917">
        <v>10</v>
      </c>
      <c r="E7917">
        <v>1</v>
      </c>
      <c r="F7917" t="s">
        <v>1139</v>
      </c>
      <c r="G7917" t="s">
        <v>32</v>
      </c>
      <c r="H7917" t="s">
        <v>33</v>
      </c>
      <c r="I7917" t="s">
        <v>59</v>
      </c>
      <c r="AB7917" t="s">
        <v>47</v>
      </c>
      <c r="AC7917" t="s">
        <v>41</v>
      </c>
    </row>
    <row r="7918" spans="1:29" x14ac:dyDescent="0.35">
      <c r="A7918" s="7">
        <v>43312</v>
      </c>
      <c r="B7918" t="s">
        <v>30</v>
      </c>
      <c r="C7918">
        <v>401</v>
      </c>
      <c r="D7918">
        <v>10</v>
      </c>
      <c r="E7918">
        <v>2</v>
      </c>
      <c r="F7918" t="s">
        <v>1139</v>
      </c>
      <c r="G7918" t="s">
        <v>32</v>
      </c>
      <c r="H7918" t="s">
        <v>33</v>
      </c>
      <c r="I7918" t="s">
        <v>59</v>
      </c>
      <c r="AB7918" t="s">
        <v>47</v>
      </c>
      <c r="AC7918" t="s">
        <v>41</v>
      </c>
    </row>
    <row r="7919" spans="1:29" x14ac:dyDescent="0.35">
      <c r="A7919" s="7">
        <v>43313</v>
      </c>
      <c r="B7919" t="s">
        <v>30</v>
      </c>
      <c r="C7919">
        <v>303</v>
      </c>
      <c r="D7919">
        <v>1</v>
      </c>
      <c r="E7919">
        <v>1</v>
      </c>
      <c r="F7919" t="s">
        <v>1139</v>
      </c>
      <c r="G7919" t="s">
        <v>32</v>
      </c>
      <c r="H7919" t="s">
        <v>33</v>
      </c>
      <c r="I7919" t="s">
        <v>43</v>
      </c>
      <c r="J7919" t="s">
        <v>44</v>
      </c>
      <c r="K7919" t="s">
        <v>88</v>
      </c>
      <c r="L7919" t="s">
        <v>45</v>
      </c>
      <c r="M7919">
        <v>0</v>
      </c>
      <c r="N7919">
        <v>0</v>
      </c>
      <c r="O7919">
        <v>1006</v>
      </c>
      <c r="P7919">
        <v>1005</v>
      </c>
      <c r="Q7919">
        <f>25-11</f>
        <v>14</v>
      </c>
      <c r="R7919" t="s">
        <v>46</v>
      </c>
      <c r="S7919" t="s">
        <v>39</v>
      </c>
      <c r="AB7919" t="s">
        <v>86</v>
      </c>
      <c r="AC7919" t="s">
        <v>1140</v>
      </c>
    </row>
    <row r="7920" spans="1:29" x14ac:dyDescent="0.35">
      <c r="A7920" s="7">
        <v>43313</v>
      </c>
      <c r="B7920" t="s">
        <v>30</v>
      </c>
      <c r="C7920">
        <v>303</v>
      </c>
      <c r="D7920">
        <v>1</v>
      </c>
      <c r="E7920">
        <v>2</v>
      </c>
      <c r="F7920" t="s">
        <v>1139</v>
      </c>
      <c r="G7920" t="s">
        <v>32</v>
      </c>
      <c r="H7920" t="s">
        <v>33</v>
      </c>
      <c r="I7920" t="s">
        <v>43</v>
      </c>
      <c r="J7920" t="s">
        <v>44</v>
      </c>
      <c r="K7920" t="s">
        <v>113</v>
      </c>
      <c r="L7920" t="s">
        <v>45</v>
      </c>
      <c r="M7920">
        <v>0</v>
      </c>
      <c r="N7920">
        <v>0</v>
      </c>
      <c r="O7920">
        <v>1116</v>
      </c>
      <c r="P7920">
        <v>1183</v>
      </c>
      <c r="Q7920">
        <f>25-11</f>
        <v>14</v>
      </c>
      <c r="R7920" t="s">
        <v>46</v>
      </c>
      <c r="S7920" t="s">
        <v>39</v>
      </c>
      <c r="AB7920" t="s">
        <v>86</v>
      </c>
      <c r="AC7920" t="s">
        <v>1140</v>
      </c>
    </row>
    <row r="7921" spans="1:30" x14ac:dyDescent="0.35">
      <c r="A7921" s="7">
        <v>43313</v>
      </c>
      <c r="B7921" t="s">
        <v>30</v>
      </c>
      <c r="C7921">
        <v>303</v>
      </c>
      <c r="D7921">
        <v>3</v>
      </c>
      <c r="E7921">
        <v>1</v>
      </c>
      <c r="F7921" t="s">
        <v>1139</v>
      </c>
      <c r="G7921" t="s">
        <v>32</v>
      </c>
      <c r="H7921" t="s">
        <v>33</v>
      </c>
      <c r="I7921" t="s">
        <v>43</v>
      </c>
      <c r="J7921" t="s">
        <v>44</v>
      </c>
      <c r="K7921" t="s">
        <v>36</v>
      </c>
      <c r="L7921" t="s">
        <v>45</v>
      </c>
      <c r="M7921">
        <v>0</v>
      </c>
      <c r="N7921">
        <v>0</v>
      </c>
      <c r="O7921">
        <v>2903</v>
      </c>
      <c r="P7921">
        <v>2901</v>
      </c>
      <c r="Q7921">
        <f>29-11</f>
        <v>18</v>
      </c>
      <c r="R7921" t="s">
        <v>79</v>
      </c>
      <c r="S7921" t="s">
        <v>39</v>
      </c>
      <c r="Z7921" t="s">
        <v>102</v>
      </c>
      <c r="AB7921" t="s">
        <v>86</v>
      </c>
      <c r="AC7921" t="s">
        <v>1140</v>
      </c>
    </row>
    <row r="7922" spans="1:30" x14ac:dyDescent="0.35">
      <c r="A7922" s="7">
        <v>43313</v>
      </c>
      <c r="B7922" t="s">
        <v>30</v>
      </c>
      <c r="C7922">
        <v>303</v>
      </c>
      <c r="D7922">
        <v>4</v>
      </c>
      <c r="E7922">
        <v>1</v>
      </c>
      <c r="F7922" t="s">
        <v>1139</v>
      </c>
      <c r="G7922" t="s">
        <v>32</v>
      </c>
      <c r="H7922" t="s">
        <v>33</v>
      </c>
      <c r="I7922" t="s">
        <v>43</v>
      </c>
      <c r="J7922" t="s">
        <v>44</v>
      </c>
      <c r="K7922" t="s">
        <v>113</v>
      </c>
      <c r="L7922" t="s">
        <v>37</v>
      </c>
      <c r="M7922">
        <v>0</v>
      </c>
      <c r="N7922">
        <v>0</v>
      </c>
      <c r="O7922">
        <v>1202</v>
      </c>
      <c r="P7922">
        <v>1201</v>
      </c>
      <c r="Q7922">
        <f>30-16</f>
        <v>14</v>
      </c>
      <c r="R7922" t="s">
        <v>64</v>
      </c>
      <c r="AB7922" t="s">
        <v>86</v>
      </c>
      <c r="AC7922" t="s">
        <v>1140</v>
      </c>
    </row>
    <row r="7923" spans="1:30" x14ac:dyDescent="0.35">
      <c r="A7923" s="7">
        <v>43313</v>
      </c>
      <c r="B7923" t="s">
        <v>30</v>
      </c>
      <c r="C7923">
        <v>303</v>
      </c>
      <c r="D7923">
        <v>5</v>
      </c>
      <c r="E7923">
        <v>1</v>
      </c>
      <c r="F7923" t="s">
        <v>1139</v>
      </c>
      <c r="G7923" t="s">
        <v>32</v>
      </c>
      <c r="H7923" t="s">
        <v>33</v>
      </c>
      <c r="I7923" t="s">
        <v>43</v>
      </c>
      <c r="J7923" t="s">
        <v>35</v>
      </c>
      <c r="K7923" t="s">
        <v>88</v>
      </c>
      <c r="L7923" t="s">
        <v>45</v>
      </c>
      <c r="M7923">
        <v>0</v>
      </c>
      <c r="N7923">
        <v>1</v>
      </c>
      <c r="O7923">
        <v>1460</v>
      </c>
      <c r="P7923">
        <v>1459</v>
      </c>
      <c r="Q7923">
        <f>29.5-16</f>
        <v>13.5</v>
      </c>
      <c r="R7923" t="s">
        <v>46</v>
      </c>
      <c r="S7923" t="s">
        <v>39</v>
      </c>
      <c r="AB7923" t="s">
        <v>86</v>
      </c>
      <c r="AC7923" t="s">
        <v>1140</v>
      </c>
    </row>
    <row r="7924" spans="1:30" x14ac:dyDescent="0.35">
      <c r="A7924" s="7">
        <v>43313</v>
      </c>
      <c r="B7924" t="s">
        <v>30</v>
      </c>
      <c r="C7924">
        <v>303</v>
      </c>
      <c r="D7924">
        <v>8</v>
      </c>
      <c r="E7924">
        <v>1</v>
      </c>
      <c r="F7924" t="s">
        <v>1139</v>
      </c>
      <c r="G7924" t="s">
        <v>32</v>
      </c>
      <c r="H7924" t="s">
        <v>33</v>
      </c>
      <c r="I7924" t="s">
        <v>43</v>
      </c>
      <c r="J7924" t="s">
        <v>44</v>
      </c>
      <c r="K7924" t="s">
        <v>36</v>
      </c>
      <c r="L7924" t="s">
        <v>45</v>
      </c>
      <c r="M7924">
        <v>0</v>
      </c>
      <c r="N7924">
        <v>0</v>
      </c>
      <c r="O7924">
        <v>2913</v>
      </c>
      <c r="P7924">
        <v>2912</v>
      </c>
      <c r="Q7924">
        <f>33-14</f>
        <v>19</v>
      </c>
      <c r="R7924" t="s">
        <v>46</v>
      </c>
      <c r="S7924" t="s">
        <v>39</v>
      </c>
      <c r="AB7924" t="s">
        <v>86</v>
      </c>
      <c r="AC7924" t="s">
        <v>1140</v>
      </c>
    </row>
    <row r="7925" spans="1:30" x14ac:dyDescent="0.35">
      <c r="A7925" s="7">
        <v>43313</v>
      </c>
      <c r="B7925" t="s">
        <v>30</v>
      </c>
      <c r="C7925">
        <v>303</v>
      </c>
      <c r="D7925">
        <v>9</v>
      </c>
      <c r="E7925">
        <v>1</v>
      </c>
      <c r="F7925" t="s">
        <v>1139</v>
      </c>
      <c r="G7925" t="s">
        <v>32</v>
      </c>
      <c r="H7925" t="s">
        <v>33</v>
      </c>
      <c r="I7925" t="s">
        <v>43</v>
      </c>
      <c r="J7925" t="s">
        <v>44</v>
      </c>
      <c r="K7925" t="s">
        <v>88</v>
      </c>
      <c r="L7925" t="s">
        <v>45</v>
      </c>
      <c r="M7925">
        <v>0</v>
      </c>
      <c r="N7925">
        <v>0</v>
      </c>
      <c r="O7925">
        <v>1458</v>
      </c>
      <c r="P7925">
        <v>1457</v>
      </c>
      <c r="Q7925">
        <f>27-14</f>
        <v>13</v>
      </c>
      <c r="R7925" t="s">
        <v>46</v>
      </c>
      <c r="S7925" t="s">
        <v>39</v>
      </c>
      <c r="AB7925" t="s">
        <v>86</v>
      </c>
      <c r="AC7925" t="s">
        <v>1140</v>
      </c>
    </row>
    <row r="7926" spans="1:30" x14ac:dyDescent="0.35">
      <c r="A7926" s="7">
        <v>43313</v>
      </c>
      <c r="B7926" t="s">
        <v>30</v>
      </c>
      <c r="C7926">
        <v>303</v>
      </c>
      <c r="D7926">
        <v>10</v>
      </c>
      <c r="E7926">
        <v>1</v>
      </c>
      <c r="F7926" t="s">
        <v>1139</v>
      </c>
      <c r="G7926" t="s">
        <v>32</v>
      </c>
      <c r="H7926" t="s">
        <v>33</v>
      </c>
      <c r="I7926" t="s">
        <v>43</v>
      </c>
      <c r="J7926" t="s">
        <v>44</v>
      </c>
      <c r="K7926" t="s">
        <v>88</v>
      </c>
      <c r="L7926" t="s">
        <v>45</v>
      </c>
      <c r="M7926">
        <v>0</v>
      </c>
      <c r="N7926">
        <v>0</v>
      </c>
      <c r="O7926">
        <v>1221</v>
      </c>
      <c r="P7926">
        <v>1220</v>
      </c>
      <c r="Q7926">
        <f>39-25.5</f>
        <v>13.5</v>
      </c>
      <c r="R7926" t="s">
        <v>46</v>
      </c>
      <c r="S7926" t="s">
        <v>39</v>
      </c>
      <c r="AB7926" t="s">
        <v>86</v>
      </c>
      <c r="AC7926" t="s">
        <v>1140</v>
      </c>
    </row>
    <row r="7927" spans="1:30" x14ac:dyDescent="0.35">
      <c r="A7927" s="7">
        <v>43313</v>
      </c>
      <c r="B7927" t="s">
        <v>30</v>
      </c>
      <c r="C7927">
        <v>401</v>
      </c>
      <c r="D7927">
        <v>8</v>
      </c>
      <c r="E7927">
        <v>1</v>
      </c>
      <c r="F7927" t="s">
        <v>1139</v>
      </c>
      <c r="G7927" t="s">
        <v>32</v>
      </c>
      <c r="H7927" t="s">
        <v>33</v>
      </c>
      <c r="I7927" t="s">
        <v>43</v>
      </c>
      <c r="J7927" t="s">
        <v>44</v>
      </c>
      <c r="K7927" t="s">
        <v>36</v>
      </c>
      <c r="L7927" t="s">
        <v>45</v>
      </c>
      <c r="M7927">
        <v>0</v>
      </c>
      <c r="N7927">
        <v>0</v>
      </c>
      <c r="O7927">
        <v>2911</v>
      </c>
      <c r="P7927">
        <v>2910</v>
      </c>
      <c r="Q7927">
        <f>36-15</f>
        <v>21</v>
      </c>
      <c r="R7927" t="s">
        <v>79</v>
      </c>
      <c r="S7927" t="s">
        <v>39</v>
      </c>
      <c r="AB7927" t="s">
        <v>86</v>
      </c>
      <c r="AC7927" t="s">
        <v>1140</v>
      </c>
      <c r="AD7927" t="s">
        <v>1253</v>
      </c>
    </row>
    <row r="7928" spans="1:30" x14ac:dyDescent="0.35">
      <c r="A7928" s="7">
        <v>43313</v>
      </c>
      <c r="B7928" t="s">
        <v>30</v>
      </c>
      <c r="C7928">
        <v>401</v>
      </c>
      <c r="D7928">
        <v>8</v>
      </c>
      <c r="E7928">
        <v>2</v>
      </c>
      <c r="F7928" t="s">
        <v>1139</v>
      </c>
      <c r="G7928" t="s">
        <v>32</v>
      </c>
      <c r="H7928" t="s">
        <v>33</v>
      </c>
      <c r="I7928" t="s">
        <v>43</v>
      </c>
      <c r="J7928" t="s">
        <v>44</v>
      </c>
      <c r="K7928" t="s">
        <v>113</v>
      </c>
      <c r="L7928" t="s">
        <v>37</v>
      </c>
      <c r="M7928">
        <v>0</v>
      </c>
      <c r="N7928">
        <v>0</v>
      </c>
      <c r="O7928">
        <v>1146</v>
      </c>
      <c r="P7928">
        <v>1145</v>
      </c>
      <c r="Q7928">
        <f>28-16</f>
        <v>12</v>
      </c>
      <c r="R7928" t="s">
        <v>64</v>
      </c>
      <c r="Z7928" t="s">
        <v>102</v>
      </c>
      <c r="AB7928" t="s">
        <v>86</v>
      </c>
      <c r="AC7928" t="s">
        <v>1140</v>
      </c>
    </row>
    <row r="7929" spans="1:30" x14ac:dyDescent="0.35">
      <c r="A7929" s="7">
        <v>43313</v>
      </c>
      <c r="B7929" t="s">
        <v>30</v>
      </c>
      <c r="C7929">
        <v>401</v>
      </c>
      <c r="D7929">
        <v>9</v>
      </c>
      <c r="E7929">
        <v>1</v>
      </c>
      <c r="F7929" t="s">
        <v>1139</v>
      </c>
      <c r="G7929" t="s">
        <v>32</v>
      </c>
      <c r="H7929" t="s">
        <v>33</v>
      </c>
      <c r="I7929" t="s">
        <v>43</v>
      </c>
      <c r="J7929" t="s">
        <v>44</v>
      </c>
      <c r="K7929" t="s">
        <v>113</v>
      </c>
      <c r="L7929" t="s">
        <v>37</v>
      </c>
      <c r="M7929">
        <v>0</v>
      </c>
      <c r="N7929">
        <v>0</v>
      </c>
      <c r="O7929">
        <v>1250</v>
      </c>
      <c r="P7929">
        <v>1249</v>
      </c>
      <c r="Q7929">
        <f>29-16</f>
        <v>13</v>
      </c>
      <c r="R7929" t="s">
        <v>64</v>
      </c>
      <c r="AB7929" t="s">
        <v>86</v>
      </c>
      <c r="AC7929" t="s">
        <v>1140</v>
      </c>
    </row>
    <row r="7930" spans="1:30" x14ac:dyDescent="0.35">
      <c r="A7930" s="7">
        <v>43313</v>
      </c>
      <c r="B7930" t="s">
        <v>30</v>
      </c>
      <c r="C7930">
        <v>501</v>
      </c>
      <c r="D7930">
        <v>2</v>
      </c>
      <c r="E7930">
        <v>1</v>
      </c>
      <c r="F7930" t="s">
        <v>1139</v>
      </c>
      <c r="G7930" t="s">
        <v>32</v>
      </c>
      <c r="H7930" t="s">
        <v>33</v>
      </c>
      <c r="I7930" t="s">
        <v>43</v>
      </c>
      <c r="J7930" t="s">
        <v>44</v>
      </c>
      <c r="K7930" t="s">
        <v>113</v>
      </c>
      <c r="L7930" t="s">
        <v>37</v>
      </c>
      <c r="M7930">
        <v>0</v>
      </c>
      <c r="N7930">
        <v>0</v>
      </c>
      <c r="O7930">
        <v>1110</v>
      </c>
      <c r="P7930">
        <v>1109</v>
      </c>
      <c r="Q7930">
        <f>25-10</f>
        <v>15</v>
      </c>
      <c r="R7930" t="s">
        <v>64</v>
      </c>
      <c r="AB7930" t="s">
        <v>86</v>
      </c>
      <c r="AC7930" t="s">
        <v>1140</v>
      </c>
    </row>
    <row r="7931" spans="1:30" x14ac:dyDescent="0.35">
      <c r="A7931" s="7">
        <v>43313</v>
      </c>
      <c r="B7931" t="s">
        <v>30</v>
      </c>
      <c r="C7931">
        <v>501</v>
      </c>
      <c r="D7931">
        <v>5</v>
      </c>
      <c r="E7931">
        <v>1</v>
      </c>
      <c r="F7931" t="s">
        <v>1139</v>
      </c>
      <c r="G7931" t="s">
        <v>32</v>
      </c>
      <c r="H7931" t="s">
        <v>33</v>
      </c>
      <c r="I7931" t="s">
        <v>43</v>
      </c>
      <c r="J7931" t="s">
        <v>44</v>
      </c>
      <c r="K7931" t="s">
        <v>36</v>
      </c>
      <c r="L7931" t="s">
        <v>45</v>
      </c>
      <c r="M7931">
        <v>0</v>
      </c>
      <c r="N7931">
        <v>0</v>
      </c>
      <c r="O7931">
        <v>2953</v>
      </c>
      <c r="P7931">
        <v>2952</v>
      </c>
      <c r="Q7931">
        <f>31-10.5</f>
        <v>20.5</v>
      </c>
      <c r="R7931" t="s">
        <v>1021</v>
      </c>
      <c r="S7931" t="s">
        <v>102</v>
      </c>
      <c r="Z7931" t="s">
        <v>102</v>
      </c>
      <c r="AB7931" t="s">
        <v>86</v>
      </c>
      <c r="AC7931" t="s">
        <v>1140</v>
      </c>
    </row>
    <row r="7932" spans="1:30" x14ac:dyDescent="0.35">
      <c r="A7932" s="7">
        <v>43313</v>
      </c>
      <c r="B7932" t="s">
        <v>30</v>
      </c>
      <c r="C7932">
        <v>501</v>
      </c>
      <c r="D7932">
        <v>6</v>
      </c>
      <c r="E7932">
        <v>2</v>
      </c>
      <c r="F7932" t="s">
        <v>1139</v>
      </c>
      <c r="G7932" t="s">
        <v>32</v>
      </c>
      <c r="H7932" t="s">
        <v>33</v>
      </c>
      <c r="I7932" t="s">
        <v>43</v>
      </c>
      <c r="J7932" t="s">
        <v>44</v>
      </c>
      <c r="K7932" t="s">
        <v>88</v>
      </c>
      <c r="L7932" t="s">
        <v>45</v>
      </c>
      <c r="M7932">
        <v>0</v>
      </c>
      <c r="N7932">
        <v>0</v>
      </c>
      <c r="O7932">
        <v>1104</v>
      </c>
      <c r="P7932">
        <v>1103</v>
      </c>
      <c r="Q7932">
        <f>27-14.5</f>
        <v>12.5</v>
      </c>
      <c r="R7932" t="s">
        <v>46</v>
      </c>
      <c r="S7932" t="s">
        <v>39</v>
      </c>
      <c r="AB7932" t="s">
        <v>86</v>
      </c>
      <c r="AC7932" t="s">
        <v>1140</v>
      </c>
    </row>
    <row r="7933" spans="1:30" x14ac:dyDescent="0.35">
      <c r="A7933" s="7">
        <v>43313</v>
      </c>
      <c r="B7933" t="s">
        <v>30</v>
      </c>
      <c r="C7933">
        <v>503</v>
      </c>
      <c r="D7933">
        <v>2</v>
      </c>
      <c r="E7933">
        <v>1</v>
      </c>
      <c r="F7933" t="s">
        <v>1139</v>
      </c>
      <c r="G7933" t="s">
        <v>32</v>
      </c>
      <c r="H7933" t="s">
        <v>33</v>
      </c>
      <c r="I7933" t="s">
        <v>43</v>
      </c>
      <c r="J7933" t="s">
        <v>44</v>
      </c>
      <c r="K7933" t="s">
        <v>113</v>
      </c>
      <c r="L7933" t="s">
        <v>45</v>
      </c>
      <c r="M7933">
        <v>0</v>
      </c>
      <c r="N7933">
        <v>0</v>
      </c>
      <c r="O7933">
        <v>1254</v>
      </c>
      <c r="P7933">
        <v>1253</v>
      </c>
      <c r="Q7933">
        <f>37-23</f>
        <v>14</v>
      </c>
      <c r="R7933" t="s">
        <v>1021</v>
      </c>
      <c r="S7933" t="s">
        <v>102</v>
      </c>
      <c r="AB7933" t="s">
        <v>86</v>
      </c>
      <c r="AC7933" t="s">
        <v>1140</v>
      </c>
    </row>
    <row r="7934" spans="1:30" x14ac:dyDescent="0.35">
      <c r="A7934" s="7">
        <v>43313</v>
      </c>
      <c r="B7934" t="s">
        <v>30</v>
      </c>
      <c r="C7934">
        <v>503</v>
      </c>
      <c r="D7934">
        <v>4</v>
      </c>
      <c r="E7934">
        <v>1</v>
      </c>
      <c r="F7934" t="s">
        <v>1139</v>
      </c>
      <c r="G7934" t="s">
        <v>32</v>
      </c>
      <c r="H7934" t="s">
        <v>33</v>
      </c>
      <c r="I7934" t="s">
        <v>43</v>
      </c>
      <c r="J7934" t="s">
        <v>44</v>
      </c>
      <c r="K7934" t="s">
        <v>113</v>
      </c>
      <c r="L7934" t="s">
        <v>45</v>
      </c>
      <c r="M7934">
        <v>0</v>
      </c>
      <c r="N7934">
        <v>0</v>
      </c>
      <c r="O7934">
        <v>1248</v>
      </c>
      <c r="P7934">
        <v>1247</v>
      </c>
      <c r="Q7934">
        <f>38-24</f>
        <v>14</v>
      </c>
      <c r="R7934" t="s">
        <v>46</v>
      </c>
      <c r="S7934" t="s">
        <v>39</v>
      </c>
      <c r="AB7934" t="s">
        <v>86</v>
      </c>
      <c r="AC7934" t="s">
        <v>1140</v>
      </c>
    </row>
    <row r="7935" spans="1:30" x14ac:dyDescent="0.35">
      <c r="A7935" s="7">
        <v>43313</v>
      </c>
      <c r="B7935" t="s">
        <v>30</v>
      </c>
      <c r="C7935">
        <v>303</v>
      </c>
      <c r="D7935">
        <v>2</v>
      </c>
      <c r="E7935">
        <v>1</v>
      </c>
      <c r="F7935" t="s">
        <v>1139</v>
      </c>
      <c r="G7935" t="s">
        <v>32</v>
      </c>
      <c r="H7935" t="s">
        <v>33</v>
      </c>
      <c r="I7935" t="s">
        <v>34</v>
      </c>
      <c r="J7935" t="s">
        <v>35</v>
      </c>
      <c r="K7935" t="s">
        <v>36</v>
      </c>
      <c r="L7935" t="s">
        <v>45</v>
      </c>
      <c r="M7935">
        <v>0</v>
      </c>
      <c r="N7935">
        <v>1</v>
      </c>
      <c r="O7935">
        <v>1462</v>
      </c>
      <c r="Q7935">
        <f>160-85</f>
        <v>75</v>
      </c>
      <c r="R7935" t="s">
        <v>46</v>
      </c>
      <c r="S7935" t="s">
        <v>39</v>
      </c>
      <c r="AB7935" t="s">
        <v>86</v>
      </c>
      <c r="AC7935" t="s">
        <v>1140</v>
      </c>
    </row>
    <row r="7936" spans="1:30" x14ac:dyDescent="0.35">
      <c r="A7936" s="7">
        <v>43313</v>
      </c>
      <c r="B7936" t="s">
        <v>30</v>
      </c>
      <c r="C7936">
        <v>401</v>
      </c>
      <c r="D7936">
        <v>1</v>
      </c>
      <c r="E7936">
        <v>1</v>
      </c>
      <c r="F7936" t="s">
        <v>1139</v>
      </c>
      <c r="G7936" t="s">
        <v>32</v>
      </c>
      <c r="H7936" t="s">
        <v>33</v>
      </c>
      <c r="I7936" t="s">
        <v>34</v>
      </c>
      <c r="J7936" t="s">
        <v>44</v>
      </c>
      <c r="K7936" t="s">
        <v>36</v>
      </c>
      <c r="L7936" t="s">
        <v>45</v>
      </c>
      <c r="M7936">
        <v>0</v>
      </c>
      <c r="N7936">
        <v>0</v>
      </c>
      <c r="O7936">
        <v>1461</v>
      </c>
      <c r="Q7936">
        <f>165-90</f>
        <v>75</v>
      </c>
      <c r="R7936" t="s">
        <v>79</v>
      </c>
      <c r="S7936" t="s">
        <v>39</v>
      </c>
      <c r="AB7936" t="s">
        <v>86</v>
      </c>
      <c r="AC7936" t="s">
        <v>1140</v>
      </c>
    </row>
    <row r="7937" spans="1:30" x14ac:dyDescent="0.35">
      <c r="A7937" s="7">
        <v>43313</v>
      </c>
      <c r="B7937" t="s">
        <v>30</v>
      </c>
      <c r="C7937">
        <v>401</v>
      </c>
      <c r="D7937">
        <v>10</v>
      </c>
      <c r="E7937">
        <v>1</v>
      </c>
      <c r="F7937" t="s">
        <v>1139</v>
      </c>
      <c r="G7937" t="s">
        <v>32</v>
      </c>
      <c r="H7937" t="s">
        <v>33</v>
      </c>
      <c r="I7937" t="s">
        <v>58</v>
      </c>
      <c r="J7937" t="s">
        <v>44</v>
      </c>
      <c r="K7937" t="s">
        <v>36</v>
      </c>
      <c r="L7937" t="s">
        <v>45</v>
      </c>
      <c r="M7937">
        <v>0</v>
      </c>
      <c r="N7937">
        <v>0</v>
      </c>
      <c r="O7937">
        <v>2811</v>
      </c>
      <c r="Q7937">
        <f>40-16.5</f>
        <v>23.5</v>
      </c>
      <c r="R7937" t="s">
        <v>1021</v>
      </c>
      <c r="S7937" t="s">
        <v>102</v>
      </c>
      <c r="Z7937" t="s">
        <v>102</v>
      </c>
      <c r="AB7937" t="s">
        <v>86</v>
      </c>
      <c r="AC7937" t="s">
        <v>1140</v>
      </c>
    </row>
    <row r="7938" spans="1:30" x14ac:dyDescent="0.35">
      <c r="A7938" s="7">
        <v>43313</v>
      </c>
      <c r="B7938" t="s">
        <v>30</v>
      </c>
      <c r="C7938">
        <v>501</v>
      </c>
      <c r="D7938">
        <v>3</v>
      </c>
      <c r="E7938">
        <v>1</v>
      </c>
      <c r="F7938" t="s">
        <v>1139</v>
      </c>
      <c r="G7938" t="s">
        <v>32</v>
      </c>
      <c r="H7938" t="s">
        <v>33</v>
      </c>
      <c r="I7938" t="s">
        <v>58</v>
      </c>
      <c r="J7938" t="s">
        <v>44</v>
      </c>
      <c r="K7938" t="s">
        <v>36</v>
      </c>
      <c r="L7938" t="s">
        <v>45</v>
      </c>
      <c r="M7938">
        <v>0</v>
      </c>
      <c r="N7938">
        <v>0</v>
      </c>
      <c r="O7938">
        <v>2818</v>
      </c>
      <c r="R7938" t="s">
        <v>46</v>
      </c>
      <c r="S7938" t="s">
        <v>39</v>
      </c>
      <c r="AB7938" t="s">
        <v>86</v>
      </c>
      <c r="AC7938" t="s">
        <v>1140</v>
      </c>
      <c r="AD7938" t="s">
        <v>1254</v>
      </c>
    </row>
    <row r="7939" spans="1:30" x14ac:dyDescent="0.35">
      <c r="A7939" s="7">
        <v>43313</v>
      </c>
      <c r="B7939" t="s">
        <v>30</v>
      </c>
      <c r="C7939">
        <v>503</v>
      </c>
      <c r="D7939">
        <v>3</v>
      </c>
      <c r="E7939">
        <v>1</v>
      </c>
      <c r="F7939" t="s">
        <v>1139</v>
      </c>
      <c r="G7939" t="s">
        <v>32</v>
      </c>
      <c r="H7939" t="s">
        <v>33</v>
      </c>
      <c r="I7939" t="s">
        <v>1029</v>
      </c>
      <c r="J7939" t="s">
        <v>66</v>
      </c>
      <c r="AB7939" t="s">
        <v>86</v>
      </c>
      <c r="AC7939" t="s">
        <v>1140</v>
      </c>
    </row>
    <row r="7940" spans="1:30" x14ac:dyDescent="0.35">
      <c r="A7940" s="7">
        <v>43313</v>
      </c>
      <c r="B7940" t="s">
        <v>30</v>
      </c>
      <c r="C7940">
        <v>503</v>
      </c>
      <c r="D7940">
        <v>6</v>
      </c>
      <c r="E7940">
        <v>1</v>
      </c>
      <c r="F7940" t="s">
        <v>1139</v>
      </c>
      <c r="G7940" t="s">
        <v>32</v>
      </c>
      <c r="H7940" t="s">
        <v>33</v>
      </c>
      <c r="I7940" t="s">
        <v>1029</v>
      </c>
      <c r="J7940" t="s">
        <v>66</v>
      </c>
      <c r="AB7940" t="s">
        <v>86</v>
      </c>
      <c r="AC7940" t="s">
        <v>1140</v>
      </c>
    </row>
    <row r="7941" spans="1:30" x14ac:dyDescent="0.35">
      <c r="A7941" s="7">
        <v>43313</v>
      </c>
      <c r="B7941" t="s">
        <v>30</v>
      </c>
      <c r="C7941">
        <v>303</v>
      </c>
      <c r="D7941">
        <v>6</v>
      </c>
      <c r="E7941">
        <v>1</v>
      </c>
      <c r="F7941" t="s">
        <v>1139</v>
      </c>
      <c r="G7941" t="s">
        <v>32</v>
      </c>
      <c r="H7941" t="s">
        <v>33</v>
      </c>
      <c r="I7941" t="s">
        <v>72</v>
      </c>
      <c r="J7941" t="s">
        <v>56</v>
      </c>
      <c r="AB7941" t="s">
        <v>86</v>
      </c>
      <c r="AC7941" t="s">
        <v>1140</v>
      </c>
    </row>
    <row r="7942" spans="1:30" x14ac:dyDescent="0.35">
      <c r="A7942" s="7">
        <v>43313</v>
      </c>
      <c r="B7942" t="s">
        <v>30</v>
      </c>
      <c r="C7942">
        <v>303</v>
      </c>
      <c r="D7942">
        <v>8</v>
      </c>
      <c r="E7942">
        <v>2</v>
      </c>
      <c r="F7942" t="s">
        <v>1139</v>
      </c>
      <c r="G7942" t="s">
        <v>32</v>
      </c>
      <c r="H7942" t="s">
        <v>33</v>
      </c>
      <c r="I7942" t="s">
        <v>72</v>
      </c>
      <c r="J7942" t="s">
        <v>56</v>
      </c>
      <c r="AB7942" t="s">
        <v>86</v>
      </c>
      <c r="AC7942" t="s">
        <v>1140</v>
      </c>
    </row>
    <row r="7943" spans="1:30" x14ac:dyDescent="0.35">
      <c r="A7943" s="7">
        <v>43313</v>
      </c>
      <c r="B7943" t="s">
        <v>30</v>
      </c>
      <c r="C7943">
        <v>501</v>
      </c>
      <c r="D7943">
        <v>1</v>
      </c>
      <c r="E7943">
        <v>1</v>
      </c>
      <c r="F7943" t="s">
        <v>1139</v>
      </c>
      <c r="G7943" t="s">
        <v>32</v>
      </c>
      <c r="H7943" t="s">
        <v>33</v>
      </c>
      <c r="I7943" t="s">
        <v>72</v>
      </c>
      <c r="J7943" t="s">
        <v>56</v>
      </c>
      <c r="AB7943" t="s">
        <v>86</v>
      </c>
      <c r="AC7943" t="s">
        <v>1140</v>
      </c>
    </row>
    <row r="7944" spans="1:30" x14ac:dyDescent="0.35">
      <c r="A7944" s="7">
        <v>43313</v>
      </c>
      <c r="B7944" t="s">
        <v>30</v>
      </c>
      <c r="C7944">
        <v>501</v>
      </c>
      <c r="D7944">
        <v>6</v>
      </c>
      <c r="E7944">
        <v>1</v>
      </c>
      <c r="F7944" t="s">
        <v>1139</v>
      </c>
      <c r="G7944" t="s">
        <v>32</v>
      </c>
      <c r="H7944" t="s">
        <v>33</v>
      </c>
      <c r="I7944" t="s">
        <v>72</v>
      </c>
      <c r="J7944" t="s">
        <v>56</v>
      </c>
      <c r="AB7944" t="s">
        <v>86</v>
      </c>
      <c r="AC7944" t="s">
        <v>1140</v>
      </c>
    </row>
    <row r="7945" spans="1:30" x14ac:dyDescent="0.35">
      <c r="A7945" s="7">
        <v>43313</v>
      </c>
      <c r="B7945" t="s">
        <v>30</v>
      </c>
      <c r="C7945">
        <v>501</v>
      </c>
      <c r="D7945">
        <v>9</v>
      </c>
      <c r="E7945">
        <v>1</v>
      </c>
      <c r="F7945" t="s">
        <v>1139</v>
      </c>
      <c r="G7945" t="s">
        <v>32</v>
      </c>
      <c r="H7945" t="s">
        <v>33</v>
      </c>
      <c r="I7945" t="s">
        <v>72</v>
      </c>
      <c r="J7945" t="s">
        <v>56</v>
      </c>
      <c r="AB7945" t="s">
        <v>86</v>
      </c>
      <c r="AC7945" t="s">
        <v>1140</v>
      </c>
    </row>
    <row r="7946" spans="1:30" x14ac:dyDescent="0.35">
      <c r="A7946" s="7">
        <v>43313</v>
      </c>
      <c r="B7946" t="s">
        <v>30</v>
      </c>
      <c r="C7946">
        <v>501</v>
      </c>
      <c r="D7946">
        <v>10</v>
      </c>
      <c r="E7946">
        <v>1</v>
      </c>
      <c r="F7946" t="s">
        <v>1139</v>
      </c>
      <c r="G7946" t="s">
        <v>32</v>
      </c>
      <c r="H7946" t="s">
        <v>33</v>
      </c>
      <c r="I7946" t="s">
        <v>72</v>
      </c>
      <c r="J7946" t="s">
        <v>56</v>
      </c>
      <c r="AB7946" t="s">
        <v>86</v>
      </c>
      <c r="AC7946" t="s">
        <v>1140</v>
      </c>
    </row>
    <row r="7947" spans="1:30" x14ac:dyDescent="0.35">
      <c r="A7947" s="7">
        <v>43313</v>
      </c>
      <c r="B7947" t="s">
        <v>30</v>
      </c>
      <c r="C7947">
        <v>503</v>
      </c>
      <c r="D7947">
        <v>5</v>
      </c>
      <c r="E7947">
        <v>1</v>
      </c>
      <c r="F7947" t="s">
        <v>1139</v>
      </c>
      <c r="G7947" t="s">
        <v>32</v>
      </c>
      <c r="H7947" t="s">
        <v>33</v>
      </c>
      <c r="I7947" t="s">
        <v>72</v>
      </c>
      <c r="J7947" t="s">
        <v>56</v>
      </c>
      <c r="AB7947" t="s">
        <v>86</v>
      </c>
      <c r="AC7947" t="s">
        <v>1140</v>
      </c>
    </row>
    <row r="7948" spans="1:30" x14ac:dyDescent="0.35">
      <c r="A7948" s="7">
        <v>43313</v>
      </c>
      <c r="B7948" t="s">
        <v>30</v>
      </c>
      <c r="C7948">
        <v>503</v>
      </c>
      <c r="D7948">
        <v>7</v>
      </c>
      <c r="E7948">
        <v>1</v>
      </c>
      <c r="F7948" t="s">
        <v>1139</v>
      </c>
      <c r="G7948" t="s">
        <v>32</v>
      </c>
      <c r="H7948" t="s">
        <v>33</v>
      </c>
      <c r="I7948" t="s">
        <v>72</v>
      </c>
      <c r="J7948" t="s">
        <v>56</v>
      </c>
      <c r="AB7948" t="s">
        <v>86</v>
      </c>
      <c r="AC7948" t="s">
        <v>1140</v>
      </c>
    </row>
    <row r="7949" spans="1:30" x14ac:dyDescent="0.35">
      <c r="A7949" s="7">
        <v>43313</v>
      </c>
      <c r="B7949" t="s">
        <v>30</v>
      </c>
      <c r="C7949">
        <v>503</v>
      </c>
      <c r="D7949">
        <v>8</v>
      </c>
      <c r="E7949">
        <v>1</v>
      </c>
      <c r="F7949" t="s">
        <v>1139</v>
      </c>
      <c r="G7949" t="s">
        <v>32</v>
      </c>
      <c r="H7949" t="s">
        <v>33</v>
      </c>
      <c r="I7949" t="s">
        <v>72</v>
      </c>
      <c r="J7949" t="s">
        <v>56</v>
      </c>
      <c r="AB7949" t="s">
        <v>86</v>
      </c>
      <c r="AC7949" t="s">
        <v>1140</v>
      </c>
    </row>
    <row r="7950" spans="1:30" x14ac:dyDescent="0.35">
      <c r="A7950" s="7">
        <v>43313</v>
      </c>
      <c r="B7950" t="s">
        <v>30</v>
      </c>
      <c r="C7950">
        <v>401</v>
      </c>
      <c r="D7950">
        <v>4</v>
      </c>
      <c r="E7950">
        <v>1</v>
      </c>
      <c r="F7950" t="s">
        <v>1139</v>
      </c>
      <c r="G7950" t="s">
        <v>32</v>
      </c>
      <c r="H7950" t="s">
        <v>33</v>
      </c>
      <c r="I7950" t="s">
        <v>59</v>
      </c>
      <c r="AB7950" t="s">
        <v>86</v>
      </c>
      <c r="AC7950" t="s">
        <v>1140</v>
      </c>
    </row>
    <row r="7951" spans="1:30" x14ac:dyDescent="0.35">
      <c r="A7951" s="7">
        <v>43313</v>
      </c>
      <c r="B7951" t="s">
        <v>30</v>
      </c>
      <c r="C7951">
        <v>401</v>
      </c>
      <c r="D7951">
        <v>5</v>
      </c>
      <c r="E7951">
        <v>1</v>
      </c>
      <c r="F7951" t="s">
        <v>1139</v>
      </c>
      <c r="G7951" t="s">
        <v>32</v>
      </c>
      <c r="H7951" t="s">
        <v>33</v>
      </c>
      <c r="I7951" t="s">
        <v>59</v>
      </c>
      <c r="AB7951" t="s">
        <v>86</v>
      </c>
      <c r="AC7951" t="s">
        <v>1140</v>
      </c>
    </row>
    <row r="7952" spans="1:30" x14ac:dyDescent="0.35">
      <c r="A7952" s="7">
        <v>43313</v>
      </c>
      <c r="B7952" t="s">
        <v>30</v>
      </c>
      <c r="C7952">
        <v>501</v>
      </c>
      <c r="D7952">
        <v>1</v>
      </c>
      <c r="E7952">
        <v>2</v>
      </c>
      <c r="F7952" t="s">
        <v>1139</v>
      </c>
      <c r="G7952" t="s">
        <v>32</v>
      </c>
      <c r="H7952" t="s">
        <v>33</v>
      </c>
      <c r="I7952" t="s">
        <v>59</v>
      </c>
      <c r="AB7952" t="s">
        <v>86</v>
      </c>
      <c r="AC7952" t="s">
        <v>1140</v>
      </c>
    </row>
    <row r="7953" spans="1:30" x14ac:dyDescent="0.35">
      <c r="A7953" s="7">
        <v>43316</v>
      </c>
      <c r="B7953" t="s">
        <v>30</v>
      </c>
      <c r="C7953">
        <v>701</v>
      </c>
      <c r="D7953">
        <v>1</v>
      </c>
      <c r="E7953">
        <v>1</v>
      </c>
      <c r="F7953" t="s">
        <v>1020</v>
      </c>
      <c r="G7953" t="s">
        <v>32</v>
      </c>
      <c r="H7953" t="s">
        <v>33</v>
      </c>
      <c r="I7953" t="s">
        <v>43</v>
      </c>
      <c r="J7953" t="s">
        <v>44</v>
      </c>
      <c r="K7953" t="s">
        <v>36</v>
      </c>
      <c r="L7953" t="s">
        <v>45</v>
      </c>
      <c r="M7953">
        <v>0</v>
      </c>
      <c r="N7953">
        <v>0</v>
      </c>
      <c r="O7953">
        <v>2471</v>
      </c>
      <c r="P7953">
        <v>2470</v>
      </c>
      <c r="Q7953">
        <f>32-10.5</f>
        <v>21.5</v>
      </c>
      <c r="R7953" t="s">
        <v>79</v>
      </c>
      <c r="S7953" t="s">
        <v>39</v>
      </c>
      <c r="AB7953" t="s">
        <v>60</v>
      </c>
      <c r="AC7953" t="s">
        <v>1140</v>
      </c>
    </row>
    <row r="7954" spans="1:30" x14ac:dyDescent="0.35">
      <c r="A7954" s="7">
        <v>43316</v>
      </c>
      <c r="B7954" t="s">
        <v>30</v>
      </c>
      <c r="C7954">
        <v>701</v>
      </c>
      <c r="D7954">
        <v>5</v>
      </c>
      <c r="E7954">
        <v>1</v>
      </c>
      <c r="F7954" t="s">
        <v>1020</v>
      </c>
      <c r="G7954" t="s">
        <v>32</v>
      </c>
      <c r="H7954" t="s">
        <v>33</v>
      </c>
      <c r="I7954" t="s">
        <v>43</v>
      </c>
      <c r="J7954" t="s">
        <v>44</v>
      </c>
      <c r="K7954" t="s">
        <v>113</v>
      </c>
      <c r="L7954" t="s">
        <v>37</v>
      </c>
      <c r="M7954">
        <v>0</v>
      </c>
      <c r="N7954">
        <v>0</v>
      </c>
      <c r="O7954">
        <v>1215</v>
      </c>
      <c r="P7954">
        <v>1214</v>
      </c>
      <c r="Q7954">
        <f>26-10.5</f>
        <v>15.5</v>
      </c>
      <c r="R7954" t="s">
        <v>64</v>
      </c>
      <c r="AB7954" t="s">
        <v>60</v>
      </c>
      <c r="AC7954" t="s">
        <v>1140</v>
      </c>
    </row>
    <row r="7955" spans="1:30" x14ac:dyDescent="0.35">
      <c r="A7955" s="7">
        <v>43316</v>
      </c>
      <c r="B7955" t="s">
        <v>30</v>
      </c>
      <c r="C7955">
        <v>701</v>
      </c>
      <c r="D7955">
        <v>10</v>
      </c>
      <c r="E7955">
        <v>1</v>
      </c>
      <c r="F7955" t="s">
        <v>1020</v>
      </c>
      <c r="G7955" t="s">
        <v>32</v>
      </c>
      <c r="H7955" t="s">
        <v>33</v>
      </c>
      <c r="I7955" t="s">
        <v>43</v>
      </c>
      <c r="J7955" t="s">
        <v>44</v>
      </c>
      <c r="K7955" t="s">
        <v>36</v>
      </c>
      <c r="L7955" t="s">
        <v>45</v>
      </c>
      <c r="M7955">
        <v>0</v>
      </c>
      <c r="N7955">
        <v>0</v>
      </c>
      <c r="O7955">
        <v>39771</v>
      </c>
      <c r="P7955">
        <v>39770</v>
      </c>
      <c r="Q7955">
        <f>30-9</f>
        <v>21</v>
      </c>
      <c r="R7955" t="s">
        <v>46</v>
      </c>
      <c r="S7955" t="s">
        <v>39</v>
      </c>
      <c r="AB7955" t="s">
        <v>60</v>
      </c>
      <c r="AC7955" t="s">
        <v>1140</v>
      </c>
    </row>
    <row r="7956" spans="1:30" x14ac:dyDescent="0.35">
      <c r="A7956" s="7">
        <v>43316</v>
      </c>
      <c r="B7956" t="s">
        <v>30</v>
      </c>
      <c r="C7956">
        <v>703</v>
      </c>
      <c r="D7956">
        <v>2</v>
      </c>
      <c r="E7956">
        <v>1</v>
      </c>
      <c r="F7956" t="s">
        <v>1020</v>
      </c>
      <c r="G7956" t="s">
        <v>32</v>
      </c>
      <c r="H7956" t="s">
        <v>33</v>
      </c>
      <c r="I7956" t="s">
        <v>43</v>
      </c>
      <c r="J7956" t="s">
        <v>44</v>
      </c>
      <c r="K7956" t="s">
        <v>88</v>
      </c>
      <c r="L7956" t="s">
        <v>45</v>
      </c>
      <c r="M7956">
        <v>0</v>
      </c>
      <c r="N7956">
        <v>0</v>
      </c>
      <c r="O7956">
        <v>1396</v>
      </c>
      <c r="P7956">
        <v>1395</v>
      </c>
      <c r="Q7956">
        <f>24-9.5</f>
        <v>14.5</v>
      </c>
      <c r="R7956" t="s">
        <v>46</v>
      </c>
      <c r="S7956" t="s">
        <v>39</v>
      </c>
      <c r="AB7956" t="s">
        <v>60</v>
      </c>
      <c r="AC7956" t="s">
        <v>1140</v>
      </c>
    </row>
    <row r="7957" spans="1:30" x14ac:dyDescent="0.35">
      <c r="A7957" s="7">
        <v>43316</v>
      </c>
      <c r="B7957" t="s">
        <v>30</v>
      </c>
      <c r="C7957">
        <v>703</v>
      </c>
      <c r="D7957">
        <v>3</v>
      </c>
      <c r="E7957">
        <v>1</v>
      </c>
      <c r="F7957" t="s">
        <v>1020</v>
      </c>
      <c r="G7957" t="s">
        <v>32</v>
      </c>
      <c r="H7957" t="s">
        <v>33</v>
      </c>
      <c r="I7957" t="s">
        <v>43</v>
      </c>
      <c r="J7957" t="s">
        <v>44</v>
      </c>
      <c r="K7957" t="s">
        <v>36</v>
      </c>
      <c r="L7957" t="s">
        <v>37</v>
      </c>
      <c r="M7957">
        <v>0</v>
      </c>
      <c r="N7957">
        <v>0</v>
      </c>
      <c r="O7957">
        <v>1100</v>
      </c>
      <c r="P7957">
        <v>1099</v>
      </c>
      <c r="Q7957">
        <f>24-10</f>
        <v>14</v>
      </c>
      <c r="R7957" t="s">
        <v>64</v>
      </c>
      <c r="AB7957" t="s">
        <v>60</v>
      </c>
      <c r="AC7957" t="s">
        <v>1140</v>
      </c>
    </row>
    <row r="7958" spans="1:30" x14ac:dyDescent="0.35">
      <c r="A7958" s="7">
        <v>43316</v>
      </c>
      <c r="B7958" t="s">
        <v>30</v>
      </c>
      <c r="C7958">
        <v>703</v>
      </c>
      <c r="D7958">
        <v>9</v>
      </c>
      <c r="E7958">
        <v>1</v>
      </c>
      <c r="F7958" t="s">
        <v>1020</v>
      </c>
      <c r="G7958" t="s">
        <v>32</v>
      </c>
      <c r="H7958" t="s">
        <v>33</v>
      </c>
      <c r="I7958" t="s">
        <v>43</v>
      </c>
      <c r="J7958" t="s">
        <v>44</v>
      </c>
      <c r="K7958" t="s">
        <v>36</v>
      </c>
      <c r="L7958" t="s">
        <v>45</v>
      </c>
      <c r="M7958">
        <v>0</v>
      </c>
      <c r="N7958">
        <v>0</v>
      </c>
      <c r="O7958">
        <v>2469</v>
      </c>
      <c r="P7958">
        <v>2468</v>
      </c>
      <c r="Q7958">
        <f>32-14.5</f>
        <v>17.5</v>
      </c>
      <c r="R7958" t="s">
        <v>46</v>
      </c>
      <c r="S7958" t="s">
        <v>39</v>
      </c>
      <c r="AB7958" t="s">
        <v>60</v>
      </c>
      <c r="AC7958" t="s">
        <v>1140</v>
      </c>
    </row>
    <row r="7959" spans="1:30" x14ac:dyDescent="0.35">
      <c r="A7959" s="7">
        <v>43316</v>
      </c>
      <c r="B7959" t="s">
        <v>30</v>
      </c>
      <c r="C7959">
        <v>703</v>
      </c>
      <c r="D7959">
        <v>10</v>
      </c>
      <c r="E7959">
        <v>1</v>
      </c>
      <c r="F7959" t="s">
        <v>1020</v>
      </c>
      <c r="G7959" t="s">
        <v>32</v>
      </c>
      <c r="H7959" t="s">
        <v>33</v>
      </c>
      <c r="I7959" t="s">
        <v>43</v>
      </c>
      <c r="J7959" t="s">
        <v>44</v>
      </c>
      <c r="K7959" t="s">
        <v>88</v>
      </c>
      <c r="L7959" t="s">
        <v>37</v>
      </c>
      <c r="M7959">
        <v>0</v>
      </c>
      <c r="N7959">
        <v>0</v>
      </c>
      <c r="O7959">
        <v>1270</v>
      </c>
      <c r="P7959">
        <v>1269</v>
      </c>
      <c r="Q7959">
        <f>24-10</f>
        <v>14</v>
      </c>
      <c r="R7959" t="s">
        <v>64</v>
      </c>
      <c r="AB7959" t="s">
        <v>60</v>
      </c>
      <c r="AC7959" t="s">
        <v>1140</v>
      </c>
    </row>
    <row r="7960" spans="1:30" x14ac:dyDescent="0.35">
      <c r="A7960" s="7">
        <v>43316</v>
      </c>
      <c r="B7960" t="s">
        <v>30</v>
      </c>
      <c r="C7960">
        <v>801</v>
      </c>
      <c r="D7960">
        <v>3</v>
      </c>
      <c r="E7960">
        <v>1</v>
      </c>
      <c r="F7960" t="s">
        <v>1020</v>
      </c>
      <c r="G7960" t="s">
        <v>32</v>
      </c>
      <c r="H7960" t="s">
        <v>33</v>
      </c>
      <c r="I7960" t="s">
        <v>43</v>
      </c>
      <c r="J7960" t="s">
        <v>44</v>
      </c>
      <c r="K7960" t="s">
        <v>88</v>
      </c>
      <c r="L7960" t="s">
        <v>37</v>
      </c>
      <c r="M7960">
        <v>0</v>
      </c>
      <c r="N7960">
        <v>1</v>
      </c>
      <c r="O7960">
        <v>1356</v>
      </c>
      <c r="P7960">
        <v>1355</v>
      </c>
      <c r="Q7960">
        <f>25.5-12</f>
        <v>13.5</v>
      </c>
      <c r="R7960" t="s">
        <v>64</v>
      </c>
      <c r="AB7960" t="s">
        <v>60</v>
      </c>
      <c r="AC7960" t="s">
        <v>1140</v>
      </c>
    </row>
    <row r="7961" spans="1:30" x14ac:dyDescent="0.35">
      <c r="A7961" s="7">
        <v>43316</v>
      </c>
      <c r="B7961" t="s">
        <v>30</v>
      </c>
      <c r="C7961">
        <v>801</v>
      </c>
      <c r="D7961">
        <v>6</v>
      </c>
      <c r="E7961">
        <v>1</v>
      </c>
      <c r="F7961" t="s">
        <v>1020</v>
      </c>
      <c r="G7961" t="s">
        <v>32</v>
      </c>
      <c r="H7961" t="s">
        <v>33</v>
      </c>
      <c r="I7961" t="s">
        <v>43</v>
      </c>
      <c r="J7961" t="s">
        <v>44</v>
      </c>
      <c r="K7961" t="s">
        <v>36</v>
      </c>
      <c r="L7961" t="s">
        <v>45</v>
      </c>
      <c r="M7961">
        <v>0</v>
      </c>
      <c r="N7961">
        <v>0</v>
      </c>
      <c r="O7961">
        <v>2425</v>
      </c>
      <c r="P7961">
        <v>2424</v>
      </c>
      <c r="Q7961">
        <f>30.5-11</f>
        <v>19.5</v>
      </c>
      <c r="R7961" t="s">
        <v>79</v>
      </c>
      <c r="S7961" t="s">
        <v>39</v>
      </c>
      <c r="AB7961" t="s">
        <v>60</v>
      </c>
      <c r="AC7961" t="s">
        <v>1140</v>
      </c>
      <c r="AD7961" t="s">
        <v>1255</v>
      </c>
    </row>
    <row r="7962" spans="1:30" x14ac:dyDescent="0.35">
      <c r="A7962" s="7">
        <v>43316</v>
      </c>
      <c r="B7962" t="s">
        <v>30</v>
      </c>
      <c r="C7962">
        <v>801</v>
      </c>
      <c r="D7962">
        <v>9</v>
      </c>
      <c r="E7962">
        <v>1</v>
      </c>
      <c r="F7962" t="s">
        <v>1020</v>
      </c>
      <c r="G7962" t="s">
        <v>32</v>
      </c>
      <c r="H7962" t="s">
        <v>33</v>
      </c>
      <c r="I7962" t="s">
        <v>43</v>
      </c>
      <c r="J7962" t="s">
        <v>44</v>
      </c>
      <c r="K7962" t="s">
        <v>36</v>
      </c>
      <c r="L7962" t="s">
        <v>37</v>
      </c>
      <c r="M7962">
        <v>0</v>
      </c>
      <c r="N7962">
        <v>0</v>
      </c>
      <c r="O7962">
        <v>1168</v>
      </c>
      <c r="P7962">
        <v>1167</v>
      </c>
      <c r="Q7962">
        <f>31.5-10.5</f>
        <v>21</v>
      </c>
      <c r="R7962" t="s">
        <v>64</v>
      </c>
      <c r="AB7962" t="s">
        <v>60</v>
      </c>
      <c r="AC7962" t="s">
        <v>1140</v>
      </c>
    </row>
    <row r="7963" spans="1:30" x14ac:dyDescent="0.35">
      <c r="A7963" s="7">
        <v>43316</v>
      </c>
      <c r="B7963" t="s">
        <v>30</v>
      </c>
      <c r="C7963">
        <v>803</v>
      </c>
      <c r="D7963">
        <v>7</v>
      </c>
      <c r="E7963">
        <v>1</v>
      </c>
      <c r="F7963" t="s">
        <v>1020</v>
      </c>
      <c r="G7963" t="s">
        <v>32</v>
      </c>
      <c r="H7963" t="s">
        <v>33</v>
      </c>
      <c r="I7963" t="s">
        <v>43</v>
      </c>
      <c r="J7963" t="s">
        <v>35</v>
      </c>
      <c r="K7963" t="s">
        <v>113</v>
      </c>
      <c r="L7963" t="s">
        <v>37</v>
      </c>
      <c r="M7963">
        <v>0</v>
      </c>
      <c r="N7963">
        <v>1</v>
      </c>
      <c r="O7963">
        <v>1358</v>
      </c>
      <c r="P7963">
        <v>1357</v>
      </c>
      <c r="Q7963">
        <f>29.5-12.25</f>
        <v>17.25</v>
      </c>
      <c r="R7963" t="s">
        <v>64</v>
      </c>
      <c r="AB7963" t="s">
        <v>60</v>
      </c>
      <c r="AC7963" t="s">
        <v>1140</v>
      </c>
    </row>
    <row r="7964" spans="1:30" x14ac:dyDescent="0.35">
      <c r="A7964" s="7">
        <v>43316</v>
      </c>
      <c r="B7964" t="s">
        <v>30</v>
      </c>
      <c r="C7964">
        <v>901</v>
      </c>
      <c r="D7964">
        <v>5</v>
      </c>
      <c r="E7964">
        <v>1</v>
      </c>
      <c r="F7964" t="s">
        <v>1020</v>
      </c>
      <c r="G7964" t="s">
        <v>32</v>
      </c>
      <c r="H7964" t="s">
        <v>33</v>
      </c>
      <c r="I7964" t="s">
        <v>43</v>
      </c>
      <c r="J7964" t="s">
        <v>35</v>
      </c>
      <c r="K7964" t="s">
        <v>88</v>
      </c>
      <c r="L7964" t="s">
        <v>45</v>
      </c>
      <c r="M7964">
        <v>0</v>
      </c>
      <c r="N7964">
        <v>1</v>
      </c>
      <c r="O7964">
        <v>1360</v>
      </c>
      <c r="P7964">
        <v>1359</v>
      </c>
      <c r="Q7964">
        <f>25-12</f>
        <v>13</v>
      </c>
      <c r="R7964" t="s">
        <v>46</v>
      </c>
      <c r="S7964" t="s">
        <v>39</v>
      </c>
      <c r="AB7964" t="s">
        <v>60</v>
      </c>
      <c r="AC7964" t="s">
        <v>1140</v>
      </c>
    </row>
    <row r="7965" spans="1:30" x14ac:dyDescent="0.35">
      <c r="A7965" s="7">
        <v>43316</v>
      </c>
      <c r="B7965" t="s">
        <v>30</v>
      </c>
      <c r="C7965">
        <v>901</v>
      </c>
      <c r="D7965">
        <v>7</v>
      </c>
      <c r="E7965">
        <v>1</v>
      </c>
      <c r="F7965" t="s">
        <v>1020</v>
      </c>
      <c r="G7965" t="s">
        <v>32</v>
      </c>
      <c r="H7965" t="s">
        <v>33</v>
      </c>
      <c r="I7965" t="s">
        <v>43</v>
      </c>
      <c r="J7965" t="s">
        <v>44</v>
      </c>
      <c r="K7965" t="s">
        <v>113</v>
      </c>
      <c r="L7965" t="s">
        <v>37</v>
      </c>
      <c r="M7965">
        <v>0</v>
      </c>
      <c r="N7965">
        <v>0</v>
      </c>
      <c r="O7965">
        <v>1362</v>
      </c>
      <c r="P7965">
        <v>1361</v>
      </c>
      <c r="Q7965">
        <f>30-10.5</f>
        <v>19.5</v>
      </c>
      <c r="R7965" t="s">
        <v>64</v>
      </c>
      <c r="AB7965" t="s">
        <v>60</v>
      </c>
      <c r="AC7965" t="s">
        <v>1140</v>
      </c>
    </row>
    <row r="7966" spans="1:30" x14ac:dyDescent="0.35">
      <c r="A7966" s="7">
        <v>43316</v>
      </c>
      <c r="B7966" t="s">
        <v>30</v>
      </c>
      <c r="C7966">
        <v>801</v>
      </c>
      <c r="D7966">
        <v>5</v>
      </c>
      <c r="E7966">
        <v>1</v>
      </c>
      <c r="F7966" t="s">
        <v>1020</v>
      </c>
      <c r="G7966" t="s">
        <v>32</v>
      </c>
      <c r="H7966" t="s">
        <v>33</v>
      </c>
      <c r="I7966" t="s">
        <v>34</v>
      </c>
      <c r="J7966" t="s">
        <v>44</v>
      </c>
      <c r="K7966" t="s">
        <v>36</v>
      </c>
      <c r="L7966" t="s">
        <v>45</v>
      </c>
      <c r="M7966">
        <v>0</v>
      </c>
      <c r="N7966">
        <v>0</v>
      </c>
      <c r="O7966">
        <v>1089</v>
      </c>
      <c r="Q7966">
        <f>212-125</f>
        <v>87</v>
      </c>
      <c r="R7966" t="s">
        <v>46</v>
      </c>
      <c r="S7966" t="s">
        <v>39</v>
      </c>
      <c r="AB7966" t="s">
        <v>60</v>
      </c>
      <c r="AC7966" t="s">
        <v>1140</v>
      </c>
    </row>
    <row r="7967" spans="1:30" x14ac:dyDescent="0.35">
      <c r="A7967" s="7">
        <v>43316</v>
      </c>
      <c r="B7967" t="s">
        <v>30</v>
      </c>
      <c r="C7967">
        <v>803</v>
      </c>
      <c r="D7967">
        <v>5</v>
      </c>
      <c r="E7967">
        <v>1</v>
      </c>
      <c r="F7967" t="s">
        <v>1020</v>
      </c>
      <c r="G7967" t="s">
        <v>32</v>
      </c>
      <c r="H7967" t="s">
        <v>33</v>
      </c>
      <c r="I7967" t="s">
        <v>34</v>
      </c>
      <c r="J7967" t="s">
        <v>44</v>
      </c>
      <c r="K7967" t="s">
        <v>88</v>
      </c>
      <c r="L7967" t="s">
        <v>37</v>
      </c>
      <c r="M7967">
        <v>0</v>
      </c>
      <c r="N7967">
        <v>0</v>
      </c>
      <c r="O7967">
        <v>1324</v>
      </c>
      <c r="Q7967">
        <f>212-134</f>
        <v>78</v>
      </c>
      <c r="R7967" t="s">
        <v>64</v>
      </c>
      <c r="AB7967" t="s">
        <v>60</v>
      </c>
      <c r="AC7967" t="s">
        <v>1140</v>
      </c>
    </row>
    <row r="7968" spans="1:30" x14ac:dyDescent="0.35">
      <c r="A7968" s="7">
        <v>43316</v>
      </c>
      <c r="B7968" t="s">
        <v>30</v>
      </c>
      <c r="C7968">
        <v>803</v>
      </c>
      <c r="D7968">
        <v>9</v>
      </c>
      <c r="E7968">
        <v>1</v>
      </c>
      <c r="F7968" t="s">
        <v>1020</v>
      </c>
      <c r="G7968" t="s">
        <v>32</v>
      </c>
      <c r="H7968" t="s">
        <v>33</v>
      </c>
      <c r="I7968" t="s">
        <v>34</v>
      </c>
      <c r="J7968" t="s">
        <v>44</v>
      </c>
      <c r="K7968" t="s">
        <v>36</v>
      </c>
      <c r="L7968" t="s">
        <v>45</v>
      </c>
      <c r="M7968">
        <v>0</v>
      </c>
      <c r="N7968">
        <v>0</v>
      </c>
      <c r="P7968">
        <v>1035</v>
      </c>
      <c r="Q7968">
        <f>224-130</f>
        <v>94</v>
      </c>
      <c r="R7968" t="s">
        <v>46</v>
      </c>
      <c r="S7968" t="s">
        <v>39</v>
      </c>
      <c r="AB7968" t="s">
        <v>60</v>
      </c>
      <c r="AC7968" t="s">
        <v>1140</v>
      </c>
    </row>
    <row r="7969" spans="1:29" x14ac:dyDescent="0.35">
      <c r="A7969" s="7">
        <v>43316</v>
      </c>
      <c r="B7969" t="s">
        <v>30</v>
      </c>
      <c r="C7969">
        <v>701</v>
      </c>
      <c r="D7969">
        <v>9</v>
      </c>
      <c r="E7969">
        <v>1</v>
      </c>
      <c r="F7969" t="s">
        <v>1020</v>
      </c>
      <c r="G7969" t="s">
        <v>32</v>
      </c>
      <c r="H7969" t="s">
        <v>33</v>
      </c>
      <c r="I7969" t="s">
        <v>58</v>
      </c>
      <c r="J7969" t="s">
        <v>44</v>
      </c>
      <c r="K7969" t="s">
        <v>36</v>
      </c>
      <c r="L7969" t="s">
        <v>45</v>
      </c>
      <c r="M7969">
        <v>0</v>
      </c>
      <c r="N7969">
        <v>0</v>
      </c>
      <c r="O7969">
        <v>1271</v>
      </c>
      <c r="Q7969">
        <f>33-9</f>
        <v>24</v>
      </c>
      <c r="R7969" t="s">
        <v>46</v>
      </c>
      <c r="S7969" t="s">
        <v>39</v>
      </c>
      <c r="Z7969" t="s">
        <v>102</v>
      </c>
      <c r="AB7969" t="s">
        <v>60</v>
      </c>
      <c r="AC7969" t="s">
        <v>1140</v>
      </c>
    </row>
    <row r="7970" spans="1:29" x14ac:dyDescent="0.35">
      <c r="A7970" s="7">
        <v>43316</v>
      </c>
      <c r="B7970" t="s">
        <v>30</v>
      </c>
      <c r="C7970">
        <v>703</v>
      </c>
      <c r="D7970">
        <v>1</v>
      </c>
      <c r="E7970">
        <v>1</v>
      </c>
      <c r="F7970" t="s">
        <v>1020</v>
      </c>
      <c r="G7970" t="s">
        <v>32</v>
      </c>
      <c r="H7970" t="s">
        <v>33</v>
      </c>
      <c r="I7970" t="s">
        <v>72</v>
      </c>
      <c r="J7970" t="s">
        <v>56</v>
      </c>
      <c r="AB7970" t="s">
        <v>60</v>
      </c>
      <c r="AC7970" t="s">
        <v>1140</v>
      </c>
    </row>
    <row r="7971" spans="1:29" x14ac:dyDescent="0.35">
      <c r="A7971" s="7">
        <v>43316</v>
      </c>
      <c r="B7971" t="s">
        <v>30</v>
      </c>
      <c r="C7971">
        <v>801</v>
      </c>
      <c r="D7971">
        <v>8</v>
      </c>
      <c r="E7971">
        <v>1</v>
      </c>
      <c r="F7971" t="s">
        <v>1020</v>
      </c>
      <c r="G7971" t="s">
        <v>32</v>
      </c>
      <c r="H7971" t="s">
        <v>33</v>
      </c>
      <c r="I7971" t="s">
        <v>72</v>
      </c>
      <c r="J7971" t="s">
        <v>66</v>
      </c>
      <c r="AB7971" t="s">
        <v>60</v>
      </c>
      <c r="AC7971" t="s">
        <v>1140</v>
      </c>
    </row>
    <row r="7972" spans="1:29" x14ac:dyDescent="0.35">
      <c r="A7972" s="7">
        <v>43316</v>
      </c>
      <c r="B7972" t="s">
        <v>30</v>
      </c>
      <c r="C7972">
        <v>701</v>
      </c>
      <c r="D7972">
        <v>2</v>
      </c>
      <c r="E7972">
        <v>1</v>
      </c>
      <c r="F7972" t="s">
        <v>1020</v>
      </c>
      <c r="G7972" t="s">
        <v>32</v>
      </c>
      <c r="H7972" t="s">
        <v>33</v>
      </c>
      <c r="I7972" t="s">
        <v>59</v>
      </c>
      <c r="AB7972" t="s">
        <v>60</v>
      </c>
      <c r="AC7972" t="s">
        <v>1140</v>
      </c>
    </row>
    <row r="7973" spans="1:29" x14ac:dyDescent="0.35">
      <c r="A7973" s="7">
        <v>43316</v>
      </c>
      <c r="B7973" t="s">
        <v>30</v>
      </c>
      <c r="C7973">
        <v>701</v>
      </c>
      <c r="D7973">
        <v>2</v>
      </c>
      <c r="E7973">
        <v>2</v>
      </c>
      <c r="F7973" t="s">
        <v>1020</v>
      </c>
      <c r="G7973" t="s">
        <v>32</v>
      </c>
      <c r="H7973" t="s">
        <v>33</v>
      </c>
      <c r="I7973" t="s">
        <v>59</v>
      </c>
      <c r="AB7973" t="s">
        <v>60</v>
      </c>
      <c r="AC7973" t="s">
        <v>1140</v>
      </c>
    </row>
    <row r="7974" spans="1:29" x14ac:dyDescent="0.35">
      <c r="A7974" s="7">
        <v>43316</v>
      </c>
      <c r="B7974" t="s">
        <v>30</v>
      </c>
      <c r="C7974">
        <v>701</v>
      </c>
      <c r="D7974">
        <v>3</v>
      </c>
      <c r="E7974">
        <v>1</v>
      </c>
      <c r="F7974" t="s">
        <v>1020</v>
      </c>
      <c r="G7974" t="s">
        <v>32</v>
      </c>
      <c r="H7974" t="s">
        <v>33</v>
      </c>
      <c r="I7974" t="s">
        <v>59</v>
      </c>
      <c r="AB7974" t="s">
        <v>60</v>
      </c>
      <c r="AC7974" t="s">
        <v>1140</v>
      </c>
    </row>
    <row r="7975" spans="1:29" x14ac:dyDescent="0.35">
      <c r="A7975" s="7">
        <v>43316</v>
      </c>
      <c r="B7975" t="s">
        <v>30</v>
      </c>
      <c r="C7975">
        <v>701</v>
      </c>
      <c r="D7975">
        <v>4</v>
      </c>
      <c r="E7975">
        <v>1</v>
      </c>
      <c r="F7975" t="s">
        <v>1020</v>
      </c>
      <c r="G7975" t="s">
        <v>32</v>
      </c>
      <c r="H7975" t="s">
        <v>33</v>
      </c>
      <c r="I7975" t="s">
        <v>59</v>
      </c>
      <c r="AB7975" t="s">
        <v>60</v>
      </c>
      <c r="AC7975" t="s">
        <v>1140</v>
      </c>
    </row>
    <row r="7976" spans="1:29" x14ac:dyDescent="0.35">
      <c r="A7976" s="7">
        <v>43316</v>
      </c>
      <c r="B7976" t="s">
        <v>30</v>
      </c>
      <c r="C7976">
        <v>701</v>
      </c>
      <c r="D7976">
        <v>4</v>
      </c>
      <c r="E7976">
        <v>2</v>
      </c>
      <c r="F7976" t="s">
        <v>1020</v>
      </c>
      <c r="G7976" t="s">
        <v>32</v>
      </c>
      <c r="H7976" t="s">
        <v>33</v>
      </c>
      <c r="I7976" t="s">
        <v>59</v>
      </c>
      <c r="AB7976" t="s">
        <v>60</v>
      </c>
      <c r="AC7976" t="s">
        <v>1140</v>
      </c>
    </row>
    <row r="7977" spans="1:29" x14ac:dyDescent="0.35">
      <c r="A7977" s="7">
        <v>43316</v>
      </c>
      <c r="B7977" t="s">
        <v>30</v>
      </c>
      <c r="C7977">
        <v>701</v>
      </c>
      <c r="D7977">
        <v>5</v>
      </c>
      <c r="E7977">
        <v>2</v>
      </c>
      <c r="F7977" t="s">
        <v>1020</v>
      </c>
      <c r="G7977" t="s">
        <v>32</v>
      </c>
      <c r="H7977" t="s">
        <v>33</v>
      </c>
      <c r="I7977" t="s">
        <v>59</v>
      </c>
      <c r="AB7977" t="s">
        <v>60</v>
      </c>
      <c r="AC7977" t="s">
        <v>1140</v>
      </c>
    </row>
    <row r="7978" spans="1:29" x14ac:dyDescent="0.35">
      <c r="A7978" s="7">
        <v>43316</v>
      </c>
      <c r="B7978" t="s">
        <v>30</v>
      </c>
      <c r="C7978">
        <v>701</v>
      </c>
      <c r="D7978">
        <v>6</v>
      </c>
      <c r="E7978">
        <v>2</v>
      </c>
      <c r="F7978" t="s">
        <v>1020</v>
      </c>
      <c r="G7978" t="s">
        <v>32</v>
      </c>
      <c r="H7978" t="s">
        <v>33</v>
      </c>
      <c r="I7978" t="s">
        <v>59</v>
      </c>
      <c r="AB7978" t="s">
        <v>60</v>
      </c>
      <c r="AC7978" t="s">
        <v>1140</v>
      </c>
    </row>
    <row r="7979" spans="1:29" x14ac:dyDescent="0.35">
      <c r="A7979" s="7">
        <v>43316</v>
      </c>
      <c r="B7979" t="s">
        <v>30</v>
      </c>
      <c r="C7979">
        <v>701</v>
      </c>
      <c r="D7979">
        <v>7</v>
      </c>
      <c r="E7979">
        <v>1</v>
      </c>
      <c r="F7979" t="s">
        <v>1020</v>
      </c>
      <c r="G7979" t="s">
        <v>32</v>
      </c>
      <c r="H7979" t="s">
        <v>33</v>
      </c>
      <c r="I7979" t="s">
        <v>59</v>
      </c>
      <c r="AB7979" t="s">
        <v>60</v>
      </c>
      <c r="AC7979" t="s">
        <v>1140</v>
      </c>
    </row>
    <row r="7980" spans="1:29" x14ac:dyDescent="0.35">
      <c r="A7980" s="7">
        <v>43316</v>
      </c>
      <c r="B7980" t="s">
        <v>30</v>
      </c>
      <c r="C7980">
        <v>701</v>
      </c>
      <c r="D7980">
        <v>7</v>
      </c>
      <c r="E7980">
        <v>2</v>
      </c>
      <c r="F7980" t="s">
        <v>1020</v>
      </c>
      <c r="G7980" t="s">
        <v>32</v>
      </c>
      <c r="H7980" t="s">
        <v>33</v>
      </c>
      <c r="I7980" t="s">
        <v>59</v>
      </c>
      <c r="AB7980" t="s">
        <v>60</v>
      </c>
      <c r="AC7980" t="s">
        <v>1140</v>
      </c>
    </row>
    <row r="7981" spans="1:29" x14ac:dyDescent="0.35">
      <c r="A7981" s="7">
        <v>43316</v>
      </c>
      <c r="B7981" t="s">
        <v>30</v>
      </c>
      <c r="C7981">
        <v>701</v>
      </c>
      <c r="D7981">
        <v>8</v>
      </c>
      <c r="E7981">
        <v>1</v>
      </c>
      <c r="F7981" t="s">
        <v>1020</v>
      </c>
      <c r="G7981" t="s">
        <v>32</v>
      </c>
      <c r="H7981" t="s">
        <v>33</v>
      </c>
      <c r="I7981" t="s">
        <v>59</v>
      </c>
      <c r="AB7981" t="s">
        <v>60</v>
      </c>
      <c r="AC7981" t="s">
        <v>1140</v>
      </c>
    </row>
    <row r="7982" spans="1:29" x14ac:dyDescent="0.35">
      <c r="A7982" s="7">
        <v>43316</v>
      </c>
      <c r="B7982" t="s">
        <v>30</v>
      </c>
      <c r="C7982">
        <v>701</v>
      </c>
      <c r="D7982">
        <v>8</v>
      </c>
      <c r="E7982">
        <v>2</v>
      </c>
      <c r="F7982" t="s">
        <v>1020</v>
      </c>
      <c r="G7982" t="s">
        <v>32</v>
      </c>
      <c r="H7982" t="s">
        <v>33</v>
      </c>
      <c r="I7982" t="s">
        <v>59</v>
      </c>
      <c r="AB7982" t="s">
        <v>60</v>
      </c>
      <c r="AC7982" t="s">
        <v>1140</v>
      </c>
    </row>
    <row r="7983" spans="1:29" x14ac:dyDescent="0.35">
      <c r="A7983" s="7">
        <v>43316</v>
      </c>
      <c r="B7983" t="s">
        <v>30</v>
      </c>
      <c r="C7983">
        <v>701</v>
      </c>
      <c r="D7983">
        <v>9</v>
      </c>
      <c r="E7983">
        <v>2</v>
      </c>
      <c r="F7983" t="s">
        <v>1020</v>
      </c>
      <c r="G7983" t="s">
        <v>32</v>
      </c>
      <c r="H7983" t="s">
        <v>33</v>
      </c>
      <c r="I7983" t="s">
        <v>59</v>
      </c>
      <c r="AB7983" t="s">
        <v>60</v>
      </c>
      <c r="AC7983" t="s">
        <v>1140</v>
      </c>
    </row>
    <row r="7984" spans="1:29" x14ac:dyDescent="0.35">
      <c r="A7984" s="7">
        <v>43316</v>
      </c>
      <c r="B7984" t="s">
        <v>30</v>
      </c>
      <c r="C7984">
        <v>703</v>
      </c>
      <c r="D7984">
        <v>2</v>
      </c>
      <c r="E7984">
        <v>2</v>
      </c>
      <c r="F7984" t="s">
        <v>1020</v>
      </c>
      <c r="G7984" t="s">
        <v>32</v>
      </c>
      <c r="H7984" t="s">
        <v>33</v>
      </c>
      <c r="I7984" t="s">
        <v>59</v>
      </c>
      <c r="AB7984" t="s">
        <v>60</v>
      </c>
      <c r="AC7984" t="s">
        <v>1140</v>
      </c>
    </row>
    <row r="7985" spans="1:29" x14ac:dyDescent="0.35">
      <c r="A7985" s="7">
        <v>43316</v>
      </c>
      <c r="B7985" t="s">
        <v>30</v>
      </c>
      <c r="C7985">
        <v>703</v>
      </c>
      <c r="D7985">
        <v>3</v>
      </c>
      <c r="E7985">
        <v>2</v>
      </c>
      <c r="F7985" t="s">
        <v>1020</v>
      </c>
      <c r="G7985" t="s">
        <v>32</v>
      </c>
      <c r="H7985" t="s">
        <v>33</v>
      </c>
      <c r="I7985" t="s">
        <v>59</v>
      </c>
      <c r="AB7985" t="s">
        <v>60</v>
      </c>
      <c r="AC7985" t="s">
        <v>1140</v>
      </c>
    </row>
    <row r="7986" spans="1:29" x14ac:dyDescent="0.35">
      <c r="A7986" s="7">
        <v>43316</v>
      </c>
      <c r="B7986" t="s">
        <v>30</v>
      </c>
      <c r="C7986">
        <v>703</v>
      </c>
      <c r="D7986">
        <v>4</v>
      </c>
      <c r="E7986">
        <v>1</v>
      </c>
      <c r="F7986" t="s">
        <v>1020</v>
      </c>
      <c r="G7986" t="s">
        <v>32</v>
      </c>
      <c r="H7986" t="s">
        <v>33</v>
      </c>
      <c r="I7986" t="s">
        <v>59</v>
      </c>
      <c r="AB7986" t="s">
        <v>60</v>
      </c>
      <c r="AC7986" t="s">
        <v>1140</v>
      </c>
    </row>
    <row r="7987" spans="1:29" x14ac:dyDescent="0.35">
      <c r="A7987" s="7">
        <v>43316</v>
      </c>
      <c r="B7987" t="s">
        <v>30</v>
      </c>
      <c r="C7987">
        <v>703</v>
      </c>
      <c r="D7987">
        <v>4</v>
      </c>
      <c r="E7987">
        <v>2</v>
      </c>
      <c r="F7987" t="s">
        <v>1020</v>
      </c>
      <c r="G7987" t="s">
        <v>32</v>
      </c>
      <c r="H7987" t="s">
        <v>33</v>
      </c>
      <c r="I7987" t="s">
        <v>59</v>
      </c>
      <c r="AB7987" t="s">
        <v>60</v>
      </c>
      <c r="AC7987" t="s">
        <v>1140</v>
      </c>
    </row>
    <row r="7988" spans="1:29" x14ac:dyDescent="0.35">
      <c r="A7988" s="7">
        <v>43316</v>
      </c>
      <c r="B7988" t="s">
        <v>30</v>
      </c>
      <c r="C7988">
        <v>703</v>
      </c>
      <c r="D7988">
        <v>5</v>
      </c>
      <c r="E7988">
        <v>1</v>
      </c>
      <c r="F7988" t="s">
        <v>1020</v>
      </c>
      <c r="G7988" t="s">
        <v>32</v>
      </c>
      <c r="H7988" t="s">
        <v>33</v>
      </c>
      <c r="I7988" t="s">
        <v>59</v>
      </c>
      <c r="AB7988" t="s">
        <v>60</v>
      </c>
      <c r="AC7988" t="s">
        <v>1140</v>
      </c>
    </row>
    <row r="7989" spans="1:29" x14ac:dyDescent="0.35">
      <c r="A7989" s="7">
        <v>43316</v>
      </c>
      <c r="B7989" t="s">
        <v>30</v>
      </c>
      <c r="C7989">
        <v>703</v>
      </c>
      <c r="D7989">
        <v>5</v>
      </c>
      <c r="E7989">
        <v>2</v>
      </c>
      <c r="F7989" t="s">
        <v>1020</v>
      </c>
      <c r="G7989" t="s">
        <v>32</v>
      </c>
      <c r="H7989" t="s">
        <v>33</v>
      </c>
      <c r="I7989" t="s">
        <v>59</v>
      </c>
      <c r="AB7989" t="s">
        <v>60</v>
      </c>
      <c r="AC7989" t="s">
        <v>1140</v>
      </c>
    </row>
    <row r="7990" spans="1:29" x14ac:dyDescent="0.35">
      <c r="A7990" s="7">
        <v>43316</v>
      </c>
      <c r="B7990" t="s">
        <v>30</v>
      </c>
      <c r="C7990">
        <v>703</v>
      </c>
      <c r="D7990">
        <v>6</v>
      </c>
      <c r="E7990">
        <v>1</v>
      </c>
      <c r="F7990" t="s">
        <v>1020</v>
      </c>
      <c r="G7990" t="s">
        <v>32</v>
      </c>
      <c r="H7990" t="s">
        <v>33</v>
      </c>
      <c r="I7990" t="s">
        <v>59</v>
      </c>
      <c r="AB7990" t="s">
        <v>60</v>
      </c>
      <c r="AC7990" t="s">
        <v>1140</v>
      </c>
    </row>
    <row r="7991" spans="1:29" x14ac:dyDescent="0.35">
      <c r="A7991" s="7">
        <v>43316</v>
      </c>
      <c r="B7991" t="s">
        <v>30</v>
      </c>
      <c r="C7991">
        <v>703</v>
      </c>
      <c r="D7991">
        <v>6</v>
      </c>
      <c r="E7991">
        <v>2</v>
      </c>
      <c r="F7991" t="s">
        <v>1020</v>
      </c>
      <c r="G7991" t="s">
        <v>32</v>
      </c>
      <c r="H7991" t="s">
        <v>33</v>
      </c>
      <c r="I7991" t="s">
        <v>59</v>
      </c>
      <c r="AB7991" t="s">
        <v>60</v>
      </c>
      <c r="AC7991" t="s">
        <v>1140</v>
      </c>
    </row>
    <row r="7992" spans="1:29" x14ac:dyDescent="0.35">
      <c r="A7992" s="7">
        <v>43316</v>
      </c>
      <c r="B7992" t="s">
        <v>30</v>
      </c>
      <c r="C7992">
        <v>703</v>
      </c>
      <c r="D7992">
        <v>7</v>
      </c>
      <c r="E7992">
        <v>1</v>
      </c>
      <c r="F7992" t="s">
        <v>1020</v>
      </c>
      <c r="G7992" t="s">
        <v>32</v>
      </c>
      <c r="H7992" t="s">
        <v>33</v>
      </c>
      <c r="I7992" t="s">
        <v>59</v>
      </c>
      <c r="AB7992" t="s">
        <v>60</v>
      </c>
      <c r="AC7992" t="s">
        <v>1140</v>
      </c>
    </row>
    <row r="7993" spans="1:29" x14ac:dyDescent="0.35">
      <c r="A7993" s="7">
        <v>43316</v>
      </c>
      <c r="B7993" t="s">
        <v>30</v>
      </c>
      <c r="C7993">
        <v>703</v>
      </c>
      <c r="D7993">
        <v>7</v>
      </c>
      <c r="E7993">
        <v>2</v>
      </c>
      <c r="F7993" t="s">
        <v>1020</v>
      </c>
      <c r="G7993" t="s">
        <v>32</v>
      </c>
      <c r="H7993" t="s">
        <v>33</v>
      </c>
      <c r="I7993" t="s">
        <v>59</v>
      </c>
      <c r="AB7993" t="s">
        <v>60</v>
      </c>
      <c r="AC7993" t="s">
        <v>1140</v>
      </c>
    </row>
    <row r="7994" spans="1:29" x14ac:dyDescent="0.35">
      <c r="A7994" s="7">
        <v>43316</v>
      </c>
      <c r="B7994" t="s">
        <v>30</v>
      </c>
      <c r="C7994">
        <v>703</v>
      </c>
      <c r="D7994">
        <v>8</v>
      </c>
      <c r="E7994">
        <v>1</v>
      </c>
      <c r="F7994" t="s">
        <v>1020</v>
      </c>
      <c r="G7994" t="s">
        <v>32</v>
      </c>
      <c r="H7994" t="s">
        <v>33</v>
      </c>
      <c r="I7994" t="s">
        <v>59</v>
      </c>
      <c r="AB7994" t="s">
        <v>60</v>
      </c>
      <c r="AC7994" t="s">
        <v>1140</v>
      </c>
    </row>
    <row r="7995" spans="1:29" x14ac:dyDescent="0.35">
      <c r="A7995" s="7">
        <v>43316</v>
      </c>
      <c r="B7995" t="s">
        <v>30</v>
      </c>
      <c r="C7995">
        <v>703</v>
      </c>
      <c r="D7995">
        <v>8</v>
      </c>
      <c r="E7995">
        <v>2</v>
      </c>
      <c r="F7995" t="s">
        <v>1020</v>
      </c>
      <c r="G7995" t="s">
        <v>32</v>
      </c>
      <c r="H7995" t="s">
        <v>33</v>
      </c>
      <c r="I7995" t="s">
        <v>59</v>
      </c>
      <c r="AB7995" t="s">
        <v>60</v>
      </c>
      <c r="AC7995" t="s">
        <v>1140</v>
      </c>
    </row>
    <row r="7996" spans="1:29" x14ac:dyDescent="0.35">
      <c r="A7996" s="7">
        <v>43316</v>
      </c>
      <c r="B7996" t="s">
        <v>30</v>
      </c>
      <c r="C7996">
        <v>703</v>
      </c>
      <c r="D7996">
        <v>9</v>
      </c>
      <c r="E7996">
        <v>2</v>
      </c>
      <c r="F7996" t="s">
        <v>1020</v>
      </c>
      <c r="G7996" t="s">
        <v>32</v>
      </c>
      <c r="H7996" t="s">
        <v>33</v>
      </c>
      <c r="I7996" t="s">
        <v>59</v>
      </c>
      <c r="AB7996" t="s">
        <v>60</v>
      </c>
      <c r="AC7996" t="s">
        <v>1140</v>
      </c>
    </row>
    <row r="7997" spans="1:29" x14ac:dyDescent="0.35">
      <c r="A7997" s="7">
        <v>43316</v>
      </c>
      <c r="B7997" t="s">
        <v>30</v>
      </c>
      <c r="C7997">
        <v>703</v>
      </c>
      <c r="D7997">
        <v>10</v>
      </c>
      <c r="E7997">
        <v>2</v>
      </c>
      <c r="F7997" t="s">
        <v>1020</v>
      </c>
      <c r="G7997" t="s">
        <v>32</v>
      </c>
      <c r="H7997" t="s">
        <v>33</v>
      </c>
      <c r="I7997" t="s">
        <v>59</v>
      </c>
      <c r="AB7997" t="s">
        <v>60</v>
      </c>
      <c r="AC7997" t="s">
        <v>1140</v>
      </c>
    </row>
    <row r="7998" spans="1:29" x14ac:dyDescent="0.35">
      <c r="A7998" s="7">
        <v>43316</v>
      </c>
      <c r="B7998" t="s">
        <v>30</v>
      </c>
      <c r="C7998">
        <v>801</v>
      </c>
      <c r="D7998">
        <v>3</v>
      </c>
      <c r="E7998">
        <v>2</v>
      </c>
      <c r="F7998" t="s">
        <v>1020</v>
      </c>
      <c r="G7998" t="s">
        <v>32</v>
      </c>
      <c r="H7998" t="s">
        <v>33</v>
      </c>
      <c r="I7998" t="s">
        <v>59</v>
      </c>
      <c r="AB7998" t="s">
        <v>60</v>
      </c>
      <c r="AC7998" t="s">
        <v>1140</v>
      </c>
    </row>
    <row r="7999" spans="1:29" x14ac:dyDescent="0.35">
      <c r="A7999" s="7">
        <v>43316</v>
      </c>
      <c r="B7999" t="s">
        <v>30</v>
      </c>
      <c r="C7999">
        <v>801</v>
      </c>
      <c r="D7999">
        <v>5</v>
      </c>
      <c r="E7999">
        <v>2</v>
      </c>
      <c r="F7999" t="s">
        <v>1020</v>
      </c>
      <c r="G7999" t="s">
        <v>32</v>
      </c>
      <c r="H7999" t="s">
        <v>33</v>
      </c>
      <c r="I7999" t="s">
        <v>59</v>
      </c>
      <c r="AB7999" t="s">
        <v>60</v>
      </c>
      <c r="AC7999" t="s">
        <v>1140</v>
      </c>
    </row>
    <row r="8000" spans="1:29" x14ac:dyDescent="0.35">
      <c r="A8000" s="7">
        <v>43316</v>
      </c>
      <c r="B8000" t="s">
        <v>30</v>
      </c>
      <c r="C8000">
        <v>801</v>
      </c>
      <c r="D8000">
        <v>7</v>
      </c>
      <c r="E8000">
        <v>1</v>
      </c>
      <c r="F8000" t="s">
        <v>1020</v>
      </c>
      <c r="G8000" t="s">
        <v>32</v>
      </c>
      <c r="H8000" t="s">
        <v>33</v>
      </c>
      <c r="I8000" t="s">
        <v>59</v>
      </c>
      <c r="AB8000" t="s">
        <v>60</v>
      </c>
      <c r="AC8000" t="s">
        <v>1140</v>
      </c>
    </row>
    <row r="8001" spans="1:29" x14ac:dyDescent="0.35">
      <c r="A8001" s="7">
        <v>43316</v>
      </c>
      <c r="B8001" t="s">
        <v>30</v>
      </c>
      <c r="C8001">
        <v>801</v>
      </c>
      <c r="D8001">
        <v>8</v>
      </c>
      <c r="E8001">
        <v>2</v>
      </c>
      <c r="F8001" t="s">
        <v>1020</v>
      </c>
      <c r="G8001" t="s">
        <v>32</v>
      </c>
      <c r="H8001" t="s">
        <v>33</v>
      </c>
      <c r="I8001" t="s">
        <v>59</v>
      </c>
      <c r="AB8001" t="s">
        <v>60</v>
      </c>
      <c r="AC8001" t="s">
        <v>1140</v>
      </c>
    </row>
    <row r="8002" spans="1:29" x14ac:dyDescent="0.35">
      <c r="A8002" s="7">
        <v>43316</v>
      </c>
      <c r="B8002" t="s">
        <v>30</v>
      </c>
      <c r="C8002">
        <v>801</v>
      </c>
      <c r="D8002">
        <v>9</v>
      </c>
      <c r="E8002">
        <v>2</v>
      </c>
      <c r="F8002" t="s">
        <v>1020</v>
      </c>
      <c r="G8002" t="s">
        <v>32</v>
      </c>
      <c r="H8002" t="s">
        <v>33</v>
      </c>
      <c r="I8002" t="s">
        <v>59</v>
      </c>
      <c r="AB8002" t="s">
        <v>60</v>
      </c>
      <c r="AC8002" t="s">
        <v>1140</v>
      </c>
    </row>
    <row r="8003" spans="1:29" x14ac:dyDescent="0.35">
      <c r="A8003" s="7">
        <v>43316</v>
      </c>
      <c r="B8003" t="s">
        <v>30</v>
      </c>
      <c r="C8003">
        <v>801</v>
      </c>
      <c r="D8003">
        <v>10</v>
      </c>
      <c r="E8003">
        <v>1</v>
      </c>
      <c r="F8003" t="s">
        <v>1020</v>
      </c>
      <c r="G8003" t="s">
        <v>32</v>
      </c>
      <c r="H8003" t="s">
        <v>33</v>
      </c>
      <c r="I8003" t="s">
        <v>59</v>
      </c>
      <c r="AB8003" t="s">
        <v>60</v>
      </c>
      <c r="AC8003" t="s">
        <v>1140</v>
      </c>
    </row>
    <row r="8004" spans="1:29" x14ac:dyDescent="0.35">
      <c r="A8004" s="7">
        <v>43316</v>
      </c>
      <c r="B8004" t="s">
        <v>30</v>
      </c>
      <c r="C8004">
        <v>801</v>
      </c>
      <c r="D8004">
        <v>10</v>
      </c>
      <c r="E8004">
        <v>2</v>
      </c>
      <c r="F8004" t="s">
        <v>1020</v>
      </c>
      <c r="G8004" t="s">
        <v>32</v>
      </c>
      <c r="H8004" t="s">
        <v>33</v>
      </c>
      <c r="I8004" t="s">
        <v>59</v>
      </c>
      <c r="AB8004" t="s">
        <v>60</v>
      </c>
      <c r="AC8004" t="s">
        <v>1140</v>
      </c>
    </row>
    <row r="8005" spans="1:29" x14ac:dyDescent="0.35">
      <c r="A8005" s="7">
        <v>43316</v>
      </c>
      <c r="B8005" t="s">
        <v>30</v>
      </c>
      <c r="C8005">
        <v>803</v>
      </c>
      <c r="D8005">
        <v>4</v>
      </c>
      <c r="E8005">
        <v>1</v>
      </c>
      <c r="F8005" t="s">
        <v>1020</v>
      </c>
      <c r="G8005" t="s">
        <v>32</v>
      </c>
      <c r="H8005" t="s">
        <v>33</v>
      </c>
      <c r="I8005" t="s">
        <v>59</v>
      </c>
      <c r="AB8005" t="s">
        <v>60</v>
      </c>
      <c r="AC8005" t="s">
        <v>1140</v>
      </c>
    </row>
    <row r="8006" spans="1:29" x14ac:dyDescent="0.35">
      <c r="A8006" s="7">
        <v>43316</v>
      </c>
      <c r="B8006" t="s">
        <v>30</v>
      </c>
      <c r="C8006">
        <v>803</v>
      </c>
      <c r="D8006">
        <v>6</v>
      </c>
      <c r="E8006">
        <v>1</v>
      </c>
      <c r="F8006" t="s">
        <v>1020</v>
      </c>
      <c r="G8006" t="s">
        <v>32</v>
      </c>
      <c r="H8006" t="s">
        <v>33</v>
      </c>
      <c r="I8006" t="s">
        <v>59</v>
      </c>
      <c r="AB8006" t="s">
        <v>60</v>
      </c>
      <c r="AC8006" t="s">
        <v>1140</v>
      </c>
    </row>
    <row r="8007" spans="1:29" x14ac:dyDescent="0.35">
      <c r="A8007" s="7">
        <v>43316</v>
      </c>
      <c r="B8007" t="s">
        <v>30</v>
      </c>
      <c r="C8007">
        <v>803</v>
      </c>
      <c r="D8007">
        <v>9</v>
      </c>
      <c r="E8007">
        <v>2</v>
      </c>
      <c r="F8007" t="s">
        <v>1020</v>
      </c>
      <c r="G8007" t="s">
        <v>32</v>
      </c>
      <c r="H8007" t="s">
        <v>33</v>
      </c>
      <c r="I8007" t="s">
        <v>59</v>
      </c>
      <c r="AB8007" t="s">
        <v>60</v>
      </c>
      <c r="AC8007" t="s">
        <v>1140</v>
      </c>
    </row>
    <row r="8008" spans="1:29" x14ac:dyDescent="0.35">
      <c r="A8008" s="7">
        <v>43316</v>
      </c>
      <c r="B8008" t="s">
        <v>30</v>
      </c>
      <c r="C8008">
        <v>701</v>
      </c>
      <c r="D8008">
        <v>6</v>
      </c>
      <c r="E8008">
        <v>1</v>
      </c>
      <c r="F8008" t="s">
        <v>1020</v>
      </c>
      <c r="G8008" t="s">
        <v>32</v>
      </c>
      <c r="H8008" t="s">
        <v>33</v>
      </c>
      <c r="I8008" t="s">
        <v>94</v>
      </c>
      <c r="J8008" t="s">
        <v>92</v>
      </c>
      <c r="K8008" t="s">
        <v>36</v>
      </c>
      <c r="AB8008" t="s">
        <v>60</v>
      </c>
      <c r="AC8008" t="s">
        <v>1140</v>
      </c>
    </row>
    <row r="8009" spans="1:29" x14ac:dyDescent="0.35">
      <c r="A8009" s="7">
        <v>43317</v>
      </c>
      <c r="B8009" t="s">
        <v>30</v>
      </c>
      <c r="C8009">
        <v>701</v>
      </c>
      <c r="D8009">
        <v>1</v>
      </c>
      <c r="E8009">
        <v>2</v>
      </c>
      <c r="F8009" t="s">
        <v>1020</v>
      </c>
      <c r="G8009" t="s">
        <v>32</v>
      </c>
      <c r="H8009" t="s">
        <v>33</v>
      </c>
      <c r="I8009" t="s">
        <v>43</v>
      </c>
      <c r="J8009" t="s">
        <v>44</v>
      </c>
      <c r="K8009" t="s">
        <v>113</v>
      </c>
      <c r="L8009" t="s">
        <v>45</v>
      </c>
      <c r="M8009">
        <v>0</v>
      </c>
      <c r="N8009">
        <v>0</v>
      </c>
      <c r="O8009">
        <v>1043</v>
      </c>
      <c r="P8009">
        <v>1042</v>
      </c>
      <c r="Q8009">
        <f>25-10.25</f>
        <v>14.75</v>
      </c>
      <c r="R8009" t="s">
        <v>79</v>
      </c>
      <c r="S8009" t="s">
        <v>39</v>
      </c>
      <c r="Z8009" t="s">
        <v>102</v>
      </c>
      <c r="AB8009" t="s">
        <v>86</v>
      </c>
      <c r="AC8009" t="s">
        <v>41</v>
      </c>
    </row>
    <row r="8010" spans="1:29" x14ac:dyDescent="0.35">
      <c r="A8010" s="7">
        <v>43317</v>
      </c>
      <c r="B8010" t="s">
        <v>30</v>
      </c>
      <c r="C8010">
        <v>701</v>
      </c>
      <c r="D8010">
        <v>2</v>
      </c>
      <c r="E8010">
        <v>1</v>
      </c>
      <c r="F8010" t="s">
        <v>1020</v>
      </c>
      <c r="G8010" t="s">
        <v>32</v>
      </c>
      <c r="H8010" t="s">
        <v>33</v>
      </c>
      <c r="I8010" t="s">
        <v>43</v>
      </c>
      <c r="J8010" t="s">
        <v>44</v>
      </c>
      <c r="K8010" t="s">
        <v>113</v>
      </c>
      <c r="L8010" t="s">
        <v>37</v>
      </c>
      <c r="M8010">
        <v>0</v>
      </c>
      <c r="N8010">
        <v>0</v>
      </c>
      <c r="O8010">
        <v>1215</v>
      </c>
      <c r="P8010">
        <v>1214</v>
      </c>
      <c r="Q8010">
        <f>25-10.5</f>
        <v>14.5</v>
      </c>
      <c r="R8010" t="s">
        <v>64</v>
      </c>
      <c r="AB8010" t="s">
        <v>86</v>
      </c>
      <c r="AC8010" t="s">
        <v>41</v>
      </c>
    </row>
    <row r="8011" spans="1:29" x14ac:dyDescent="0.35">
      <c r="A8011" s="7">
        <v>43317</v>
      </c>
      <c r="B8011" t="s">
        <v>30</v>
      </c>
      <c r="C8011">
        <v>701</v>
      </c>
      <c r="D8011">
        <v>3</v>
      </c>
      <c r="E8011">
        <v>1</v>
      </c>
      <c r="F8011" t="s">
        <v>1020</v>
      </c>
      <c r="G8011" t="s">
        <v>32</v>
      </c>
      <c r="H8011" t="s">
        <v>33</v>
      </c>
      <c r="I8011" t="s">
        <v>43</v>
      </c>
      <c r="J8011" t="s">
        <v>44</v>
      </c>
      <c r="K8011" t="s">
        <v>36</v>
      </c>
      <c r="L8011" t="s">
        <v>45</v>
      </c>
      <c r="M8011">
        <v>0</v>
      </c>
      <c r="N8011">
        <v>0</v>
      </c>
      <c r="O8011">
        <v>2471</v>
      </c>
      <c r="P8011">
        <v>2470</v>
      </c>
      <c r="Q8011">
        <f>32-10.5</f>
        <v>21.5</v>
      </c>
      <c r="R8011" t="s">
        <v>79</v>
      </c>
      <c r="S8011" t="s">
        <v>39</v>
      </c>
      <c r="AB8011" t="s">
        <v>86</v>
      </c>
      <c r="AC8011" t="s">
        <v>41</v>
      </c>
    </row>
    <row r="8012" spans="1:29" x14ac:dyDescent="0.35">
      <c r="A8012" s="7">
        <v>43317</v>
      </c>
      <c r="B8012" t="s">
        <v>30</v>
      </c>
      <c r="C8012">
        <v>703</v>
      </c>
      <c r="D8012">
        <v>5</v>
      </c>
      <c r="E8012">
        <v>1</v>
      </c>
      <c r="F8012" t="s">
        <v>1020</v>
      </c>
      <c r="G8012" t="s">
        <v>32</v>
      </c>
      <c r="H8012" t="s">
        <v>33</v>
      </c>
      <c r="I8012" t="s">
        <v>43</v>
      </c>
      <c r="J8012" t="s">
        <v>44</v>
      </c>
      <c r="K8012" t="s">
        <v>113</v>
      </c>
      <c r="L8012" t="s">
        <v>37</v>
      </c>
      <c r="M8012">
        <v>0</v>
      </c>
      <c r="N8012">
        <v>0</v>
      </c>
      <c r="O8012">
        <v>1029</v>
      </c>
      <c r="P8012">
        <v>1028</v>
      </c>
      <c r="Q8012">
        <f>25.25-11</f>
        <v>14.25</v>
      </c>
      <c r="R8012" t="s">
        <v>64</v>
      </c>
      <c r="AB8012" t="s">
        <v>86</v>
      </c>
      <c r="AC8012" t="s">
        <v>41</v>
      </c>
    </row>
    <row r="8013" spans="1:29" x14ac:dyDescent="0.35">
      <c r="A8013" s="7">
        <v>43317</v>
      </c>
      <c r="B8013" t="s">
        <v>30</v>
      </c>
      <c r="C8013">
        <v>703</v>
      </c>
      <c r="D8013">
        <v>5</v>
      </c>
      <c r="E8013">
        <v>2</v>
      </c>
      <c r="F8013" t="s">
        <v>1020</v>
      </c>
      <c r="G8013" t="s">
        <v>32</v>
      </c>
      <c r="H8013" t="s">
        <v>33</v>
      </c>
      <c r="I8013" t="s">
        <v>43</v>
      </c>
      <c r="J8013" t="s">
        <v>44</v>
      </c>
      <c r="K8013" t="s">
        <v>36</v>
      </c>
      <c r="L8013" t="s">
        <v>37</v>
      </c>
      <c r="M8013">
        <v>0</v>
      </c>
      <c r="N8013">
        <v>0</v>
      </c>
      <c r="O8013">
        <v>1100</v>
      </c>
      <c r="P8013">
        <v>1099</v>
      </c>
      <c r="Q8013">
        <f>26-11.25</f>
        <v>14.75</v>
      </c>
      <c r="R8013" t="s">
        <v>64</v>
      </c>
      <c r="AB8013" t="s">
        <v>86</v>
      </c>
      <c r="AC8013" t="s">
        <v>41</v>
      </c>
    </row>
    <row r="8014" spans="1:29" x14ac:dyDescent="0.35">
      <c r="A8014" s="7">
        <v>43317</v>
      </c>
      <c r="B8014" t="s">
        <v>30</v>
      </c>
      <c r="C8014">
        <v>703</v>
      </c>
      <c r="D8014">
        <v>7</v>
      </c>
      <c r="E8014">
        <v>1</v>
      </c>
      <c r="F8014" t="s">
        <v>1020</v>
      </c>
      <c r="G8014" t="s">
        <v>32</v>
      </c>
      <c r="H8014" t="s">
        <v>33</v>
      </c>
      <c r="I8014" t="s">
        <v>43</v>
      </c>
      <c r="J8014" t="s">
        <v>44</v>
      </c>
      <c r="K8014" t="s">
        <v>36</v>
      </c>
      <c r="L8014" t="s">
        <v>37</v>
      </c>
      <c r="M8014">
        <v>0</v>
      </c>
      <c r="N8014">
        <v>0</v>
      </c>
      <c r="O8014">
        <v>2456</v>
      </c>
      <c r="P8014">
        <v>2455</v>
      </c>
      <c r="Q8014">
        <f>33-11.5</f>
        <v>21.5</v>
      </c>
      <c r="R8014" t="s">
        <v>38</v>
      </c>
      <c r="AB8014" t="s">
        <v>86</v>
      </c>
      <c r="AC8014" t="s">
        <v>41</v>
      </c>
    </row>
    <row r="8015" spans="1:29" x14ac:dyDescent="0.35">
      <c r="A8015" s="7">
        <v>43317</v>
      </c>
      <c r="B8015" t="s">
        <v>30</v>
      </c>
      <c r="C8015">
        <v>703</v>
      </c>
      <c r="D8015">
        <v>9</v>
      </c>
      <c r="E8015">
        <v>1</v>
      </c>
      <c r="F8015" t="s">
        <v>1020</v>
      </c>
      <c r="G8015" t="s">
        <v>32</v>
      </c>
      <c r="H8015" t="s">
        <v>33</v>
      </c>
      <c r="I8015" t="s">
        <v>43</v>
      </c>
      <c r="J8015" t="s">
        <v>44</v>
      </c>
      <c r="K8015" t="s">
        <v>36</v>
      </c>
      <c r="L8015" t="s">
        <v>45</v>
      </c>
      <c r="M8015">
        <v>0</v>
      </c>
      <c r="N8015">
        <v>0</v>
      </c>
      <c r="O8015">
        <v>2469</v>
      </c>
      <c r="P8015">
        <v>2468</v>
      </c>
      <c r="Q8015">
        <f>27-10.25</f>
        <v>16.75</v>
      </c>
      <c r="R8015" t="s">
        <v>46</v>
      </c>
      <c r="S8015" t="s">
        <v>39</v>
      </c>
      <c r="AB8015" t="s">
        <v>86</v>
      </c>
      <c r="AC8015" t="s">
        <v>41</v>
      </c>
    </row>
    <row r="8016" spans="1:29" x14ac:dyDescent="0.35">
      <c r="A8016" s="7">
        <v>43317</v>
      </c>
      <c r="B8016" t="s">
        <v>30</v>
      </c>
      <c r="C8016">
        <v>703</v>
      </c>
      <c r="D8016">
        <v>10</v>
      </c>
      <c r="E8016">
        <v>1</v>
      </c>
      <c r="F8016" t="s">
        <v>1020</v>
      </c>
      <c r="G8016" t="s">
        <v>32</v>
      </c>
      <c r="H8016" t="s">
        <v>33</v>
      </c>
      <c r="I8016" t="s">
        <v>43</v>
      </c>
      <c r="J8016" t="s">
        <v>44</v>
      </c>
      <c r="K8016" t="s">
        <v>36</v>
      </c>
      <c r="L8016" t="s">
        <v>45</v>
      </c>
      <c r="M8016">
        <v>0</v>
      </c>
      <c r="N8016">
        <v>0</v>
      </c>
      <c r="O8016">
        <v>39771</v>
      </c>
      <c r="P8016">
        <v>39770</v>
      </c>
      <c r="Q8016">
        <f>27.75-9.75</f>
        <v>18</v>
      </c>
      <c r="R8016" t="s">
        <v>46</v>
      </c>
      <c r="S8016" t="s">
        <v>39</v>
      </c>
      <c r="AB8016" t="s">
        <v>86</v>
      </c>
      <c r="AC8016" t="s">
        <v>41</v>
      </c>
    </row>
    <row r="8017" spans="1:30" x14ac:dyDescent="0.35">
      <c r="A8017" s="7">
        <v>43317</v>
      </c>
      <c r="B8017" t="s">
        <v>30</v>
      </c>
      <c r="C8017">
        <v>801</v>
      </c>
      <c r="D8017">
        <v>4</v>
      </c>
      <c r="E8017">
        <v>1</v>
      </c>
      <c r="F8017" t="s">
        <v>1020</v>
      </c>
      <c r="G8017" t="s">
        <v>32</v>
      </c>
      <c r="H8017" t="s">
        <v>33</v>
      </c>
      <c r="I8017" t="s">
        <v>43</v>
      </c>
      <c r="J8017" t="s">
        <v>35</v>
      </c>
      <c r="K8017" t="s">
        <v>88</v>
      </c>
      <c r="L8017" t="s">
        <v>45</v>
      </c>
      <c r="M8017">
        <v>0</v>
      </c>
      <c r="N8017">
        <v>1</v>
      </c>
      <c r="O8017">
        <v>1364</v>
      </c>
      <c r="P8017">
        <v>1363</v>
      </c>
      <c r="Q8017">
        <f>25.5-10</f>
        <v>15.5</v>
      </c>
      <c r="R8017" t="s">
        <v>46</v>
      </c>
      <c r="S8017" t="s">
        <v>39</v>
      </c>
      <c r="AB8017" t="s">
        <v>86</v>
      </c>
      <c r="AC8017" t="s">
        <v>41</v>
      </c>
    </row>
    <row r="8018" spans="1:30" x14ac:dyDescent="0.35">
      <c r="A8018" s="7">
        <v>43317</v>
      </c>
      <c r="B8018" t="s">
        <v>30</v>
      </c>
      <c r="C8018">
        <v>801</v>
      </c>
      <c r="D8018">
        <v>4</v>
      </c>
      <c r="E8018">
        <v>2</v>
      </c>
      <c r="F8018" t="s">
        <v>1020</v>
      </c>
      <c r="G8018" t="s">
        <v>32</v>
      </c>
      <c r="H8018" t="s">
        <v>33</v>
      </c>
      <c r="I8018" t="s">
        <v>43</v>
      </c>
      <c r="J8018" t="s">
        <v>35</v>
      </c>
      <c r="K8018" t="s">
        <v>88</v>
      </c>
      <c r="L8018" t="s">
        <v>45</v>
      </c>
      <c r="M8018">
        <v>0</v>
      </c>
      <c r="N8018">
        <v>1</v>
      </c>
      <c r="O8018">
        <v>1366</v>
      </c>
      <c r="P8018">
        <v>1365</v>
      </c>
      <c r="Q8018">
        <f>23-10.25</f>
        <v>12.75</v>
      </c>
      <c r="R8018" t="s">
        <v>46</v>
      </c>
      <c r="S8018" t="s">
        <v>39</v>
      </c>
      <c r="AB8018" t="s">
        <v>86</v>
      </c>
      <c r="AC8018" t="s">
        <v>41</v>
      </c>
    </row>
    <row r="8019" spans="1:30" x14ac:dyDescent="0.35">
      <c r="A8019" s="7">
        <v>43317</v>
      </c>
      <c r="B8019" t="s">
        <v>30</v>
      </c>
      <c r="C8019">
        <v>801</v>
      </c>
      <c r="D8019">
        <v>6</v>
      </c>
      <c r="E8019">
        <v>1</v>
      </c>
      <c r="F8019" t="s">
        <v>1020</v>
      </c>
      <c r="G8019" t="s">
        <v>32</v>
      </c>
      <c r="H8019" t="s">
        <v>33</v>
      </c>
      <c r="I8019" t="s">
        <v>43</v>
      </c>
      <c r="J8019" t="s">
        <v>44</v>
      </c>
      <c r="K8019" t="s">
        <v>88</v>
      </c>
      <c r="L8019" t="s">
        <v>37</v>
      </c>
      <c r="M8019">
        <v>0</v>
      </c>
      <c r="N8019">
        <v>0</v>
      </c>
      <c r="O8019">
        <v>1356</v>
      </c>
      <c r="P8019">
        <v>1355</v>
      </c>
      <c r="Q8019">
        <f>25-11.25</f>
        <v>13.75</v>
      </c>
      <c r="R8019" t="s">
        <v>64</v>
      </c>
      <c r="AB8019" t="s">
        <v>86</v>
      </c>
      <c r="AC8019" t="s">
        <v>41</v>
      </c>
    </row>
    <row r="8020" spans="1:30" x14ac:dyDescent="0.35">
      <c r="A8020" s="7">
        <v>43317</v>
      </c>
      <c r="B8020" t="s">
        <v>30</v>
      </c>
      <c r="C8020">
        <v>801</v>
      </c>
      <c r="D8020">
        <v>7</v>
      </c>
      <c r="E8020">
        <v>1</v>
      </c>
      <c r="F8020" t="s">
        <v>1020</v>
      </c>
      <c r="G8020" t="s">
        <v>32</v>
      </c>
      <c r="H8020" t="s">
        <v>33</v>
      </c>
      <c r="I8020" t="s">
        <v>43</v>
      </c>
      <c r="J8020" t="s">
        <v>35</v>
      </c>
      <c r="K8020" t="s">
        <v>88</v>
      </c>
      <c r="L8020" t="s">
        <v>37</v>
      </c>
      <c r="M8020">
        <v>0</v>
      </c>
      <c r="N8020">
        <v>1</v>
      </c>
      <c r="O8020">
        <v>1368</v>
      </c>
      <c r="P8020">
        <v>1367</v>
      </c>
      <c r="Q8020">
        <f>22.5-10</f>
        <v>12.5</v>
      </c>
      <c r="R8020" t="s">
        <v>64</v>
      </c>
      <c r="AB8020" t="s">
        <v>86</v>
      </c>
      <c r="AC8020" t="s">
        <v>41</v>
      </c>
    </row>
    <row r="8021" spans="1:30" x14ac:dyDescent="0.35">
      <c r="A8021" s="7">
        <v>43317</v>
      </c>
      <c r="B8021" t="s">
        <v>30</v>
      </c>
      <c r="C8021">
        <v>801</v>
      </c>
      <c r="D8021">
        <v>8</v>
      </c>
      <c r="E8021">
        <v>1</v>
      </c>
      <c r="F8021" t="s">
        <v>1020</v>
      </c>
      <c r="G8021" t="s">
        <v>32</v>
      </c>
      <c r="H8021" t="s">
        <v>33</v>
      </c>
      <c r="I8021" t="s">
        <v>43</v>
      </c>
      <c r="J8021" t="s">
        <v>35</v>
      </c>
      <c r="K8021" t="s">
        <v>88</v>
      </c>
      <c r="L8021" t="s">
        <v>45</v>
      </c>
      <c r="M8021">
        <v>0</v>
      </c>
      <c r="N8021">
        <v>1</v>
      </c>
      <c r="O8021">
        <v>1370</v>
      </c>
      <c r="P8021">
        <v>1369</v>
      </c>
      <c r="Q8021">
        <f>25-12.25</f>
        <v>12.75</v>
      </c>
      <c r="R8021" t="s">
        <v>46</v>
      </c>
      <c r="S8021" t="s">
        <v>39</v>
      </c>
      <c r="AB8021" t="s">
        <v>86</v>
      </c>
      <c r="AC8021" t="s">
        <v>41</v>
      </c>
    </row>
    <row r="8022" spans="1:30" x14ac:dyDescent="0.35">
      <c r="A8022" s="7">
        <v>43317</v>
      </c>
      <c r="B8022" t="s">
        <v>30</v>
      </c>
      <c r="C8022">
        <v>801</v>
      </c>
      <c r="D8022">
        <v>8</v>
      </c>
      <c r="E8022">
        <v>2</v>
      </c>
      <c r="F8022" t="s">
        <v>1020</v>
      </c>
      <c r="G8022" t="s">
        <v>32</v>
      </c>
      <c r="H8022" t="s">
        <v>33</v>
      </c>
      <c r="I8022" t="s">
        <v>43</v>
      </c>
      <c r="J8022" t="s">
        <v>44</v>
      </c>
      <c r="K8022" t="s">
        <v>36</v>
      </c>
      <c r="L8022" t="s">
        <v>45</v>
      </c>
      <c r="M8022">
        <v>0</v>
      </c>
      <c r="N8022">
        <v>0</v>
      </c>
      <c r="O8022">
        <v>2425</v>
      </c>
      <c r="P8022">
        <v>2424</v>
      </c>
      <c r="Q8022">
        <f>29.25-10.5</f>
        <v>18.75</v>
      </c>
      <c r="R8022" t="s">
        <v>79</v>
      </c>
      <c r="S8022" t="s">
        <v>39</v>
      </c>
      <c r="AB8022" t="s">
        <v>86</v>
      </c>
      <c r="AC8022" t="s">
        <v>41</v>
      </c>
    </row>
    <row r="8023" spans="1:30" x14ac:dyDescent="0.35">
      <c r="A8023" s="7">
        <v>43317</v>
      </c>
      <c r="B8023" t="s">
        <v>30</v>
      </c>
      <c r="C8023">
        <v>801</v>
      </c>
      <c r="D8023">
        <v>9</v>
      </c>
      <c r="E8023">
        <v>1</v>
      </c>
      <c r="F8023" t="s">
        <v>1020</v>
      </c>
      <c r="G8023" t="s">
        <v>32</v>
      </c>
      <c r="H8023" t="s">
        <v>33</v>
      </c>
      <c r="I8023" t="s">
        <v>43</v>
      </c>
      <c r="J8023" t="s">
        <v>44</v>
      </c>
      <c r="K8023" t="s">
        <v>36</v>
      </c>
      <c r="L8023" t="s">
        <v>37</v>
      </c>
      <c r="M8023">
        <v>0</v>
      </c>
      <c r="N8023">
        <v>0</v>
      </c>
      <c r="O8023">
        <v>1168</v>
      </c>
      <c r="P8023">
        <v>1167</v>
      </c>
      <c r="Q8023">
        <f>30.5-12</f>
        <v>18.5</v>
      </c>
      <c r="R8023" t="s">
        <v>64</v>
      </c>
      <c r="AB8023" t="s">
        <v>86</v>
      </c>
      <c r="AC8023" t="s">
        <v>41</v>
      </c>
    </row>
    <row r="8024" spans="1:30" x14ac:dyDescent="0.35">
      <c r="A8024" s="7">
        <v>43317</v>
      </c>
      <c r="B8024" t="s">
        <v>30</v>
      </c>
      <c r="C8024">
        <v>803</v>
      </c>
      <c r="D8024">
        <v>6</v>
      </c>
      <c r="E8024">
        <v>1</v>
      </c>
      <c r="F8024" t="s">
        <v>1020</v>
      </c>
      <c r="G8024" t="s">
        <v>32</v>
      </c>
      <c r="H8024" t="s">
        <v>33</v>
      </c>
      <c r="I8024" t="s">
        <v>43</v>
      </c>
      <c r="J8024" t="s">
        <v>44</v>
      </c>
      <c r="K8024" t="s">
        <v>36</v>
      </c>
      <c r="L8024" t="s">
        <v>37</v>
      </c>
      <c r="M8024">
        <v>0</v>
      </c>
      <c r="N8024">
        <v>0</v>
      </c>
      <c r="O8024">
        <v>1358</v>
      </c>
      <c r="P8024">
        <v>1357</v>
      </c>
      <c r="Q8024">
        <f>29.5-10.5</f>
        <v>19</v>
      </c>
      <c r="R8024" t="s">
        <v>38</v>
      </c>
      <c r="AB8024" t="s">
        <v>86</v>
      </c>
      <c r="AC8024" t="s">
        <v>41</v>
      </c>
    </row>
    <row r="8025" spans="1:30" x14ac:dyDescent="0.35">
      <c r="A8025" s="7">
        <v>43317</v>
      </c>
      <c r="B8025" t="s">
        <v>30</v>
      </c>
      <c r="C8025">
        <v>901</v>
      </c>
      <c r="D8025">
        <v>1</v>
      </c>
      <c r="E8025">
        <v>1</v>
      </c>
      <c r="F8025" t="s">
        <v>1020</v>
      </c>
      <c r="G8025" t="s">
        <v>32</v>
      </c>
      <c r="H8025" t="s">
        <v>33</v>
      </c>
      <c r="I8025" t="s">
        <v>43</v>
      </c>
      <c r="J8025" t="s">
        <v>44</v>
      </c>
      <c r="K8025" t="s">
        <v>36</v>
      </c>
      <c r="L8025" t="s">
        <v>37</v>
      </c>
      <c r="M8025">
        <v>0</v>
      </c>
      <c r="N8025">
        <v>0</v>
      </c>
      <c r="O8025">
        <v>1394</v>
      </c>
      <c r="P8025">
        <v>1393</v>
      </c>
      <c r="Q8025">
        <f>30-11.5</f>
        <v>18.5</v>
      </c>
      <c r="R8025" t="s">
        <v>64</v>
      </c>
      <c r="AB8025" t="s">
        <v>86</v>
      </c>
      <c r="AC8025" t="s">
        <v>41</v>
      </c>
    </row>
    <row r="8026" spans="1:30" x14ac:dyDescent="0.35">
      <c r="A8026" s="7">
        <v>43317</v>
      </c>
      <c r="B8026" t="s">
        <v>30</v>
      </c>
      <c r="C8026">
        <v>901</v>
      </c>
      <c r="D8026">
        <v>3</v>
      </c>
      <c r="E8026">
        <v>1</v>
      </c>
      <c r="F8026" t="s">
        <v>1020</v>
      </c>
      <c r="G8026" t="s">
        <v>32</v>
      </c>
      <c r="H8026" t="s">
        <v>33</v>
      </c>
      <c r="I8026" t="s">
        <v>43</v>
      </c>
      <c r="J8026" t="s">
        <v>44</v>
      </c>
      <c r="K8026" t="s">
        <v>113</v>
      </c>
      <c r="L8026" t="s">
        <v>45</v>
      </c>
      <c r="M8026">
        <v>0</v>
      </c>
      <c r="N8026">
        <v>0</v>
      </c>
      <c r="O8026">
        <v>1373</v>
      </c>
      <c r="P8026">
        <v>1372</v>
      </c>
      <c r="Q8026">
        <f>25.5-10.75</f>
        <v>14.75</v>
      </c>
      <c r="R8026" t="s">
        <v>46</v>
      </c>
      <c r="S8026" t="s">
        <v>39</v>
      </c>
      <c r="AB8026" t="s">
        <v>86</v>
      </c>
      <c r="AC8026" t="s">
        <v>41</v>
      </c>
    </row>
    <row r="8027" spans="1:30" x14ac:dyDescent="0.35">
      <c r="A8027" s="7">
        <v>43317</v>
      </c>
      <c r="B8027" t="s">
        <v>30</v>
      </c>
      <c r="C8027">
        <v>901</v>
      </c>
      <c r="D8027">
        <v>5</v>
      </c>
      <c r="E8027">
        <v>1</v>
      </c>
      <c r="F8027" t="s">
        <v>1020</v>
      </c>
      <c r="G8027" t="s">
        <v>32</v>
      </c>
      <c r="H8027" t="s">
        <v>33</v>
      </c>
      <c r="I8027" t="s">
        <v>43</v>
      </c>
      <c r="J8027" t="s">
        <v>44</v>
      </c>
      <c r="K8027" t="s">
        <v>88</v>
      </c>
      <c r="L8027" t="s">
        <v>45</v>
      </c>
      <c r="M8027">
        <v>0</v>
      </c>
      <c r="N8027">
        <v>1</v>
      </c>
      <c r="O8027">
        <v>1360</v>
      </c>
      <c r="P8027">
        <v>1374</v>
      </c>
      <c r="Q8027">
        <f>23-10.75</f>
        <v>12.25</v>
      </c>
      <c r="R8027" t="s">
        <v>46</v>
      </c>
      <c r="S8027" t="s">
        <v>39</v>
      </c>
      <c r="AB8027" t="s">
        <v>86</v>
      </c>
      <c r="AC8027" t="s">
        <v>41</v>
      </c>
      <c r="AD8027" t="s">
        <v>1256</v>
      </c>
    </row>
    <row r="8028" spans="1:30" x14ac:dyDescent="0.35">
      <c r="A8028" s="7">
        <v>43317</v>
      </c>
      <c r="B8028" t="s">
        <v>30</v>
      </c>
      <c r="C8028">
        <v>901</v>
      </c>
      <c r="D8028">
        <v>7</v>
      </c>
      <c r="E8028">
        <v>1</v>
      </c>
      <c r="F8028" t="s">
        <v>1020</v>
      </c>
      <c r="G8028" t="s">
        <v>32</v>
      </c>
      <c r="H8028" t="s">
        <v>33</v>
      </c>
      <c r="I8028" t="s">
        <v>43</v>
      </c>
      <c r="J8028" t="s">
        <v>44</v>
      </c>
      <c r="K8028" t="s">
        <v>113</v>
      </c>
      <c r="L8028" t="s">
        <v>37</v>
      </c>
      <c r="M8028">
        <v>0</v>
      </c>
      <c r="N8028">
        <v>0</v>
      </c>
      <c r="O8028">
        <v>1362</v>
      </c>
      <c r="P8028">
        <v>1361</v>
      </c>
      <c r="Q8028">
        <f>28-10</f>
        <v>18</v>
      </c>
      <c r="R8028" t="s">
        <v>64</v>
      </c>
      <c r="AB8028" t="s">
        <v>86</v>
      </c>
      <c r="AC8028" t="s">
        <v>41</v>
      </c>
    </row>
    <row r="8029" spans="1:30" x14ac:dyDescent="0.35">
      <c r="A8029" s="7">
        <v>43317</v>
      </c>
      <c r="B8029" t="s">
        <v>30</v>
      </c>
      <c r="C8029">
        <v>801</v>
      </c>
      <c r="D8029">
        <v>2</v>
      </c>
      <c r="E8029">
        <v>1</v>
      </c>
      <c r="F8029" t="s">
        <v>1020</v>
      </c>
      <c r="G8029" t="s">
        <v>32</v>
      </c>
      <c r="H8029" t="s">
        <v>33</v>
      </c>
      <c r="I8029" t="s">
        <v>34</v>
      </c>
      <c r="J8029" t="s">
        <v>44</v>
      </c>
      <c r="K8029" t="s">
        <v>36</v>
      </c>
      <c r="L8029" t="s">
        <v>37</v>
      </c>
      <c r="M8029">
        <v>0</v>
      </c>
      <c r="N8029">
        <v>0</v>
      </c>
      <c r="P8029">
        <v>1088</v>
      </c>
      <c r="Q8029">
        <f>232-127</f>
        <v>105</v>
      </c>
      <c r="R8029" t="s">
        <v>64</v>
      </c>
      <c r="AB8029" t="s">
        <v>86</v>
      </c>
      <c r="AC8029" t="s">
        <v>41</v>
      </c>
      <c r="AD8029" t="s">
        <v>1024</v>
      </c>
    </row>
    <row r="8030" spans="1:30" x14ac:dyDescent="0.35">
      <c r="A8030" s="7">
        <v>43317</v>
      </c>
      <c r="B8030" t="s">
        <v>30</v>
      </c>
      <c r="C8030">
        <v>801</v>
      </c>
      <c r="D8030">
        <v>7</v>
      </c>
      <c r="E8030">
        <v>2</v>
      </c>
      <c r="F8030" t="s">
        <v>1020</v>
      </c>
      <c r="G8030" t="s">
        <v>32</v>
      </c>
      <c r="H8030" t="s">
        <v>33</v>
      </c>
      <c r="I8030" t="s">
        <v>34</v>
      </c>
      <c r="J8030" t="s">
        <v>35</v>
      </c>
      <c r="K8030" t="s">
        <v>36</v>
      </c>
      <c r="L8030" t="s">
        <v>45</v>
      </c>
      <c r="M8030">
        <v>0</v>
      </c>
      <c r="N8030">
        <v>1</v>
      </c>
      <c r="O8030">
        <v>1353</v>
      </c>
      <c r="Q8030">
        <f>216-130</f>
        <v>86</v>
      </c>
      <c r="R8030" t="s">
        <v>46</v>
      </c>
      <c r="S8030" t="s">
        <v>39</v>
      </c>
      <c r="AB8030" t="s">
        <v>86</v>
      </c>
      <c r="AC8030" t="s">
        <v>41</v>
      </c>
      <c r="AD8030" t="s">
        <v>1024</v>
      </c>
    </row>
    <row r="8031" spans="1:30" x14ac:dyDescent="0.35">
      <c r="A8031" s="7">
        <v>43317</v>
      </c>
      <c r="B8031" t="s">
        <v>30</v>
      </c>
      <c r="C8031">
        <v>801</v>
      </c>
      <c r="D8031">
        <v>10</v>
      </c>
      <c r="E8031">
        <v>2</v>
      </c>
      <c r="F8031" t="s">
        <v>1020</v>
      </c>
      <c r="G8031" t="s">
        <v>32</v>
      </c>
      <c r="H8031" t="s">
        <v>33</v>
      </c>
      <c r="I8031" t="s">
        <v>34</v>
      </c>
      <c r="J8031" t="s">
        <v>44</v>
      </c>
      <c r="K8031" t="s">
        <v>36</v>
      </c>
      <c r="L8031" t="s">
        <v>45</v>
      </c>
      <c r="M8031">
        <v>0</v>
      </c>
      <c r="N8031">
        <v>0</v>
      </c>
      <c r="O8031">
        <v>1089</v>
      </c>
      <c r="Q8031">
        <f>222-130</f>
        <v>92</v>
      </c>
      <c r="R8031" t="s">
        <v>46</v>
      </c>
      <c r="S8031" t="s">
        <v>39</v>
      </c>
      <c r="AB8031" t="s">
        <v>86</v>
      </c>
      <c r="AC8031" t="s">
        <v>41</v>
      </c>
    </row>
    <row r="8032" spans="1:30" x14ac:dyDescent="0.35">
      <c r="A8032" s="7">
        <v>43317</v>
      </c>
      <c r="B8032" t="s">
        <v>30</v>
      </c>
      <c r="C8032">
        <v>803</v>
      </c>
      <c r="D8032">
        <v>2</v>
      </c>
      <c r="E8032">
        <v>1</v>
      </c>
      <c r="F8032" t="s">
        <v>1020</v>
      </c>
      <c r="G8032" t="s">
        <v>32</v>
      </c>
      <c r="H8032" t="s">
        <v>33</v>
      </c>
      <c r="I8032" t="s">
        <v>34</v>
      </c>
      <c r="J8032" t="s">
        <v>44</v>
      </c>
      <c r="K8032" t="s">
        <v>36</v>
      </c>
      <c r="L8032" t="s">
        <v>45</v>
      </c>
      <c r="M8032">
        <v>0</v>
      </c>
      <c r="N8032">
        <v>0</v>
      </c>
      <c r="P8032">
        <v>1035</v>
      </c>
      <c r="Q8032">
        <f>221-131</f>
        <v>90</v>
      </c>
      <c r="R8032" t="s">
        <v>46</v>
      </c>
      <c r="S8032" t="s">
        <v>39</v>
      </c>
      <c r="AB8032" t="s">
        <v>86</v>
      </c>
      <c r="AC8032" t="s">
        <v>41</v>
      </c>
      <c r="AD8032" t="s">
        <v>1024</v>
      </c>
    </row>
    <row r="8033" spans="1:30" x14ac:dyDescent="0.35">
      <c r="A8033" s="7">
        <v>43317</v>
      </c>
      <c r="B8033" t="s">
        <v>30</v>
      </c>
      <c r="C8033">
        <v>803</v>
      </c>
      <c r="D8033">
        <v>4</v>
      </c>
      <c r="E8033">
        <v>2</v>
      </c>
      <c r="F8033" t="s">
        <v>1020</v>
      </c>
      <c r="G8033" t="s">
        <v>32</v>
      </c>
      <c r="H8033" t="s">
        <v>33</v>
      </c>
      <c r="I8033" t="s">
        <v>34</v>
      </c>
      <c r="J8033" t="s">
        <v>44</v>
      </c>
      <c r="K8033" t="s">
        <v>36</v>
      </c>
      <c r="L8033" t="s">
        <v>37</v>
      </c>
      <c r="M8033">
        <v>0</v>
      </c>
      <c r="N8033">
        <v>0</v>
      </c>
      <c r="O8033">
        <v>1324</v>
      </c>
      <c r="Q8033">
        <f>214-131</f>
        <v>83</v>
      </c>
      <c r="R8033" t="s">
        <v>64</v>
      </c>
      <c r="AB8033" t="s">
        <v>86</v>
      </c>
      <c r="AC8033" t="s">
        <v>41</v>
      </c>
    </row>
    <row r="8034" spans="1:30" x14ac:dyDescent="0.35">
      <c r="A8034" s="7">
        <v>43317</v>
      </c>
      <c r="B8034" t="s">
        <v>30</v>
      </c>
      <c r="C8034">
        <v>701</v>
      </c>
      <c r="D8034">
        <v>9</v>
      </c>
      <c r="E8034">
        <v>1</v>
      </c>
      <c r="F8034" t="s">
        <v>1020</v>
      </c>
      <c r="G8034" t="s">
        <v>32</v>
      </c>
      <c r="H8034" t="s">
        <v>33</v>
      </c>
      <c r="I8034" t="s">
        <v>58</v>
      </c>
      <c r="J8034" t="s">
        <v>44</v>
      </c>
      <c r="K8034" t="s">
        <v>36</v>
      </c>
      <c r="L8034" t="s">
        <v>45</v>
      </c>
      <c r="M8034">
        <v>0</v>
      </c>
      <c r="N8034">
        <v>0</v>
      </c>
      <c r="O8034">
        <v>1271</v>
      </c>
      <c r="Q8034">
        <f>32.75-11</f>
        <v>21.75</v>
      </c>
      <c r="R8034" t="s">
        <v>46</v>
      </c>
      <c r="S8034" t="s">
        <v>39</v>
      </c>
      <c r="Z8034" t="s">
        <v>102</v>
      </c>
      <c r="AB8034" t="s">
        <v>86</v>
      </c>
      <c r="AC8034" t="s">
        <v>41</v>
      </c>
      <c r="AD8034" t="s">
        <v>1257</v>
      </c>
    </row>
    <row r="8035" spans="1:30" x14ac:dyDescent="0.35">
      <c r="A8035" s="7">
        <v>43317</v>
      </c>
      <c r="B8035" t="s">
        <v>30</v>
      </c>
      <c r="C8035">
        <v>901</v>
      </c>
      <c r="D8035">
        <v>10</v>
      </c>
      <c r="E8035">
        <v>1</v>
      </c>
      <c r="F8035" t="s">
        <v>1020</v>
      </c>
      <c r="G8035" t="s">
        <v>32</v>
      </c>
      <c r="H8035" t="s">
        <v>33</v>
      </c>
      <c r="I8035" t="s">
        <v>65</v>
      </c>
      <c r="J8035" t="s">
        <v>44</v>
      </c>
      <c r="K8035" t="s">
        <v>36</v>
      </c>
      <c r="L8035" t="s">
        <v>37</v>
      </c>
      <c r="M8035">
        <v>0</v>
      </c>
      <c r="N8035">
        <v>0</v>
      </c>
      <c r="O8035">
        <v>1210</v>
      </c>
      <c r="Q8035">
        <f>276-131</f>
        <v>145</v>
      </c>
      <c r="R8035" t="s">
        <v>64</v>
      </c>
      <c r="AB8035" t="s">
        <v>86</v>
      </c>
      <c r="AC8035" t="s">
        <v>41</v>
      </c>
    </row>
    <row r="8036" spans="1:30" x14ac:dyDescent="0.35">
      <c r="A8036" s="7">
        <v>43317</v>
      </c>
      <c r="B8036" t="s">
        <v>30</v>
      </c>
      <c r="C8036">
        <v>701</v>
      </c>
      <c r="D8036">
        <v>1</v>
      </c>
      <c r="E8036">
        <v>1</v>
      </c>
      <c r="F8036" t="s">
        <v>1020</v>
      </c>
      <c r="G8036" t="s">
        <v>32</v>
      </c>
      <c r="H8036" t="s">
        <v>33</v>
      </c>
      <c r="I8036" t="s">
        <v>1029</v>
      </c>
      <c r="J8036" t="s">
        <v>56</v>
      </c>
      <c r="AB8036" t="s">
        <v>86</v>
      </c>
      <c r="AC8036" t="s">
        <v>41</v>
      </c>
    </row>
    <row r="8037" spans="1:30" x14ac:dyDescent="0.35">
      <c r="A8037" s="7">
        <v>43317</v>
      </c>
      <c r="B8037" t="s">
        <v>30</v>
      </c>
      <c r="C8037">
        <v>701</v>
      </c>
      <c r="D8037">
        <v>10</v>
      </c>
      <c r="E8037">
        <v>1</v>
      </c>
      <c r="F8037" t="s">
        <v>1020</v>
      </c>
      <c r="G8037" t="s">
        <v>32</v>
      </c>
      <c r="H8037" t="s">
        <v>33</v>
      </c>
      <c r="I8037" t="s">
        <v>1029</v>
      </c>
      <c r="J8037" t="s">
        <v>66</v>
      </c>
      <c r="AB8037" t="s">
        <v>86</v>
      </c>
      <c r="AC8037" t="s">
        <v>41</v>
      </c>
    </row>
    <row r="8038" spans="1:30" x14ac:dyDescent="0.35">
      <c r="A8038" s="7">
        <v>43317</v>
      </c>
      <c r="B8038" t="s">
        <v>30</v>
      </c>
      <c r="C8038">
        <v>801</v>
      </c>
      <c r="D8038">
        <v>5</v>
      </c>
      <c r="E8038">
        <v>1</v>
      </c>
      <c r="F8038" t="s">
        <v>1020</v>
      </c>
      <c r="G8038" t="s">
        <v>32</v>
      </c>
      <c r="H8038" t="s">
        <v>33</v>
      </c>
      <c r="I8038" t="s">
        <v>1029</v>
      </c>
      <c r="J8038" t="s">
        <v>66</v>
      </c>
      <c r="AB8038" t="s">
        <v>86</v>
      </c>
      <c r="AC8038" t="s">
        <v>41</v>
      </c>
    </row>
    <row r="8039" spans="1:30" x14ac:dyDescent="0.35">
      <c r="A8039" s="7">
        <v>43317</v>
      </c>
      <c r="B8039" t="s">
        <v>30</v>
      </c>
      <c r="C8039">
        <v>703</v>
      </c>
      <c r="D8039">
        <v>6</v>
      </c>
      <c r="E8039">
        <v>1</v>
      </c>
      <c r="F8039" t="s">
        <v>1020</v>
      </c>
      <c r="G8039" t="s">
        <v>32</v>
      </c>
      <c r="H8039" t="s">
        <v>33</v>
      </c>
      <c r="I8039" t="s">
        <v>72</v>
      </c>
      <c r="J8039" t="s">
        <v>56</v>
      </c>
      <c r="AB8039" t="s">
        <v>86</v>
      </c>
      <c r="AC8039" t="s">
        <v>41</v>
      </c>
    </row>
    <row r="8040" spans="1:30" x14ac:dyDescent="0.35">
      <c r="A8040" s="7">
        <v>43317</v>
      </c>
      <c r="B8040" t="s">
        <v>30</v>
      </c>
      <c r="C8040">
        <v>801</v>
      </c>
      <c r="D8040">
        <v>10</v>
      </c>
      <c r="E8040">
        <v>1</v>
      </c>
      <c r="F8040" t="s">
        <v>1020</v>
      </c>
      <c r="G8040" t="s">
        <v>32</v>
      </c>
      <c r="H8040" t="s">
        <v>33</v>
      </c>
      <c r="I8040" t="s">
        <v>72</v>
      </c>
      <c r="J8040" t="s">
        <v>56</v>
      </c>
      <c r="AB8040" t="s">
        <v>86</v>
      </c>
      <c r="AC8040" t="s">
        <v>41</v>
      </c>
    </row>
    <row r="8041" spans="1:30" x14ac:dyDescent="0.35">
      <c r="A8041" s="7">
        <v>43317</v>
      </c>
      <c r="B8041" t="s">
        <v>30</v>
      </c>
      <c r="C8041">
        <v>803</v>
      </c>
      <c r="D8041">
        <v>3</v>
      </c>
      <c r="E8041">
        <v>1</v>
      </c>
      <c r="F8041" t="s">
        <v>1020</v>
      </c>
      <c r="G8041" t="s">
        <v>32</v>
      </c>
      <c r="H8041" t="s">
        <v>33</v>
      </c>
      <c r="I8041" t="s">
        <v>72</v>
      </c>
      <c r="J8041" t="s">
        <v>56</v>
      </c>
      <c r="AB8041" t="s">
        <v>86</v>
      </c>
      <c r="AC8041" t="s">
        <v>41</v>
      </c>
    </row>
    <row r="8042" spans="1:30" x14ac:dyDescent="0.35">
      <c r="A8042" s="7">
        <v>43317</v>
      </c>
      <c r="B8042" t="s">
        <v>30</v>
      </c>
      <c r="C8042">
        <v>803</v>
      </c>
      <c r="D8042">
        <v>10</v>
      </c>
      <c r="E8042">
        <v>1</v>
      </c>
      <c r="F8042" t="s">
        <v>1020</v>
      </c>
      <c r="G8042" t="s">
        <v>32</v>
      </c>
      <c r="H8042" t="s">
        <v>33</v>
      </c>
      <c r="I8042" t="s">
        <v>72</v>
      </c>
      <c r="J8042" t="s">
        <v>56</v>
      </c>
      <c r="AB8042" t="s">
        <v>86</v>
      </c>
      <c r="AC8042" t="s">
        <v>41</v>
      </c>
    </row>
    <row r="8043" spans="1:30" x14ac:dyDescent="0.35">
      <c r="A8043" s="7">
        <v>43317</v>
      </c>
      <c r="B8043" t="s">
        <v>30</v>
      </c>
      <c r="C8043">
        <v>701</v>
      </c>
      <c r="D8043">
        <v>2</v>
      </c>
      <c r="E8043">
        <v>2</v>
      </c>
      <c r="F8043" t="s">
        <v>1020</v>
      </c>
      <c r="G8043" t="s">
        <v>32</v>
      </c>
      <c r="H8043" t="s">
        <v>33</v>
      </c>
      <c r="I8043" t="s">
        <v>59</v>
      </c>
      <c r="AB8043" t="s">
        <v>86</v>
      </c>
      <c r="AC8043" t="s">
        <v>41</v>
      </c>
    </row>
    <row r="8044" spans="1:30" x14ac:dyDescent="0.35">
      <c r="A8044" s="7">
        <v>43317</v>
      </c>
      <c r="B8044" t="s">
        <v>30</v>
      </c>
      <c r="C8044">
        <v>701</v>
      </c>
      <c r="D8044">
        <v>3</v>
      </c>
      <c r="E8044">
        <v>2</v>
      </c>
      <c r="F8044" t="s">
        <v>1020</v>
      </c>
      <c r="G8044" t="s">
        <v>32</v>
      </c>
      <c r="H8044" t="s">
        <v>33</v>
      </c>
      <c r="I8044" t="s">
        <v>59</v>
      </c>
      <c r="AB8044" t="s">
        <v>86</v>
      </c>
      <c r="AC8044" t="s">
        <v>41</v>
      </c>
    </row>
    <row r="8045" spans="1:30" x14ac:dyDescent="0.35">
      <c r="A8045" s="7">
        <v>43317</v>
      </c>
      <c r="B8045" t="s">
        <v>30</v>
      </c>
      <c r="C8045">
        <v>701</v>
      </c>
      <c r="D8045">
        <v>4</v>
      </c>
      <c r="E8045">
        <v>1</v>
      </c>
      <c r="F8045" t="s">
        <v>1020</v>
      </c>
      <c r="G8045" t="s">
        <v>32</v>
      </c>
      <c r="H8045" t="s">
        <v>33</v>
      </c>
      <c r="I8045" t="s">
        <v>59</v>
      </c>
      <c r="AB8045" t="s">
        <v>86</v>
      </c>
      <c r="AC8045" t="s">
        <v>41</v>
      </c>
    </row>
    <row r="8046" spans="1:30" x14ac:dyDescent="0.35">
      <c r="A8046" s="7">
        <v>43317</v>
      </c>
      <c r="B8046" t="s">
        <v>30</v>
      </c>
      <c r="C8046">
        <v>701</v>
      </c>
      <c r="D8046">
        <v>5</v>
      </c>
      <c r="E8046">
        <v>1</v>
      </c>
      <c r="F8046" t="s">
        <v>1020</v>
      </c>
      <c r="G8046" t="s">
        <v>32</v>
      </c>
      <c r="H8046" t="s">
        <v>33</v>
      </c>
      <c r="I8046" t="s">
        <v>59</v>
      </c>
      <c r="AB8046" t="s">
        <v>86</v>
      </c>
      <c r="AC8046" t="s">
        <v>41</v>
      </c>
    </row>
    <row r="8047" spans="1:30" x14ac:dyDescent="0.35">
      <c r="A8047" s="7">
        <v>43317</v>
      </c>
      <c r="B8047" t="s">
        <v>30</v>
      </c>
      <c r="C8047">
        <v>701</v>
      </c>
      <c r="D8047">
        <v>7</v>
      </c>
      <c r="E8047">
        <v>2</v>
      </c>
      <c r="F8047" t="s">
        <v>1020</v>
      </c>
      <c r="G8047" t="s">
        <v>32</v>
      </c>
      <c r="H8047" t="s">
        <v>33</v>
      </c>
      <c r="I8047" t="s">
        <v>59</v>
      </c>
      <c r="AB8047" t="s">
        <v>86</v>
      </c>
      <c r="AC8047" t="s">
        <v>41</v>
      </c>
    </row>
    <row r="8048" spans="1:30" x14ac:dyDescent="0.35">
      <c r="A8048" s="7">
        <v>43317</v>
      </c>
      <c r="B8048" t="s">
        <v>30</v>
      </c>
      <c r="C8048">
        <v>701</v>
      </c>
      <c r="D8048">
        <v>9</v>
      </c>
      <c r="E8048">
        <v>2</v>
      </c>
      <c r="F8048" t="s">
        <v>1020</v>
      </c>
      <c r="G8048" t="s">
        <v>32</v>
      </c>
      <c r="H8048" t="s">
        <v>33</v>
      </c>
      <c r="I8048" t="s">
        <v>59</v>
      </c>
      <c r="AB8048" t="s">
        <v>86</v>
      </c>
      <c r="AC8048" t="s">
        <v>41</v>
      </c>
    </row>
    <row r="8049" spans="1:29" x14ac:dyDescent="0.35">
      <c r="A8049" s="7">
        <v>43317</v>
      </c>
      <c r="B8049" t="s">
        <v>30</v>
      </c>
      <c r="C8049">
        <v>701</v>
      </c>
      <c r="D8049">
        <v>10</v>
      </c>
      <c r="E8049">
        <v>2</v>
      </c>
      <c r="F8049" t="s">
        <v>1020</v>
      </c>
      <c r="G8049" t="s">
        <v>32</v>
      </c>
      <c r="H8049" t="s">
        <v>33</v>
      </c>
      <c r="I8049" t="s">
        <v>59</v>
      </c>
      <c r="AB8049" t="s">
        <v>86</v>
      </c>
      <c r="AC8049" t="s">
        <v>41</v>
      </c>
    </row>
    <row r="8050" spans="1:29" x14ac:dyDescent="0.35">
      <c r="A8050" s="7">
        <v>43317</v>
      </c>
      <c r="B8050" t="s">
        <v>30</v>
      </c>
      <c r="C8050">
        <v>703</v>
      </c>
      <c r="D8050">
        <v>1</v>
      </c>
      <c r="E8050">
        <v>1</v>
      </c>
      <c r="F8050" t="s">
        <v>1139</v>
      </c>
      <c r="G8050" t="s">
        <v>32</v>
      </c>
      <c r="H8050" t="s">
        <v>33</v>
      </c>
      <c r="I8050" t="s">
        <v>59</v>
      </c>
      <c r="AB8050" t="s">
        <v>86</v>
      </c>
      <c r="AC8050" t="s">
        <v>1140</v>
      </c>
    </row>
    <row r="8051" spans="1:29" x14ac:dyDescent="0.35">
      <c r="A8051" s="7">
        <v>43317</v>
      </c>
      <c r="B8051" t="s">
        <v>30</v>
      </c>
      <c r="C8051">
        <v>703</v>
      </c>
      <c r="D8051">
        <v>1</v>
      </c>
      <c r="E8051">
        <v>1</v>
      </c>
      <c r="F8051" t="s">
        <v>1020</v>
      </c>
      <c r="G8051" t="s">
        <v>32</v>
      </c>
      <c r="H8051" t="s">
        <v>33</v>
      </c>
      <c r="I8051" t="s">
        <v>59</v>
      </c>
      <c r="AB8051" t="s">
        <v>86</v>
      </c>
      <c r="AC8051" t="s">
        <v>41</v>
      </c>
    </row>
    <row r="8052" spans="1:29" x14ac:dyDescent="0.35">
      <c r="A8052" s="7">
        <v>43317</v>
      </c>
      <c r="B8052" t="s">
        <v>30</v>
      </c>
      <c r="C8052">
        <v>703</v>
      </c>
      <c r="D8052">
        <v>2</v>
      </c>
      <c r="E8052">
        <v>1</v>
      </c>
      <c r="F8052" t="s">
        <v>1020</v>
      </c>
      <c r="G8052" t="s">
        <v>32</v>
      </c>
      <c r="H8052" t="s">
        <v>33</v>
      </c>
      <c r="I8052" t="s">
        <v>59</v>
      </c>
      <c r="AB8052" t="s">
        <v>86</v>
      </c>
      <c r="AC8052" t="s">
        <v>41</v>
      </c>
    </row>
    <row r="8053" spans="1:29" x14ac:dyDescent="0.35">
      <c r="A8053" s="7">
        <v>43317</v>
      </c>
      <c r="B8053" t="s">
        <v>30</v>
      </c>
      <c r="C8053">
        <v>703</v>
      </c>
      <c r="D8053">
        <v>3</v>
      </c>
      <c r="E8053">
        <v>1</v>
      </c>
      <c r="F8053" t="s">
        <v>1020</v>
      </c>
      <c r="G8053" t="s">
        <v>32</v>
      </c>
      <c r="H8053" t="s">
        <v>33</v>
      </c>
      <c r="I8053" t="s">
        <v>59</v>
      </c>
      <c r="AB8053" t="s">
        <v>86</v>
      </c>
      <c r="AC8053" t="s">
        <v>41</v>
      </c>
    </row>
    <row r="8054" spans="1:29" x14ac:dyDescent="0.35">
      <c r="A8054" s="7">
        <v>43317</v>
      </c>
      <c r="B8054" t="s">
        <v>30</v>
      </c>
      <c r="C8054">
        <v>703</v>
      </c>
      <c r="D8054">
        <v>3</v>
      </c>
      <c r="E8054">
        <v>2</v>
      </c>
      <c r="F8054" t="s">
        <v>1020</v>
      </c>
      <c r="G8054" t="s">
        <v>32</v>
      </c>
      <c r="H8054" t="s">
        <v>33</v>
      </c>
      <c r="I8054" t="s">
        <v>59</v>
      </c>
      <c r="AB8054" t="s">
        <v>86</v>
      </c>
      <c r="AC8054" t="s">
        <v>41</v>
      </c>
    </row>
    <row r="8055" spans="1:29" x14ac:dyDescent="0.35">
      <c r="A8055" s="7">
        <v>43317</v>
      </c>
      <c r="B8055" t="s">
        <v>30</v>
      </c>
      <c r="C8055">
        <v>703</v>
      </c>
      <c r="D8055">
        <v>4</v>
      </c>
      <c r="E8055">
        <v>1</v>
      </c>
      <c r="F8055" t="s">
        <v>1020</v>
      </c>
      <c r="G8055" t="s">
        <v>32</v>
      </c>
      <c r="H8055" t="s">
        <v>33</v>
      </c>
      <c r="I8055" t="s">
        <v>59</v>
      </c>
      <c r="AB8055" t="s">
        <v>86</v>
      </c>
      <c r="AC8055" t="s">
        <v>41</v>
      </c>
    </row>
    <row r="8056" spans="1:29" x14ac:dyDescent="0.35">
      <c r="A8056" s="7">
        <v>43317</v>
      </c>
      <c r="B8056" t="s">
        <v>30</v>
      </c>
      <c r="C8056">
        <v>703</v>
      </c>
      <c r="D8056">
        <v>4</v>
      </c>
      <c r="E8056">
        <v>2</v>
      </c>
      <c r="F8056" t="s">
        <v>1020</v>
      </c>
      <c r="G8056" t="s">
        <v>32</v>
      </c>
      <c r="H8056" t="s">
        <v>33</v>
      </c>
      <c r="I8056" t="s">
        <v>59</v>
      </c>
      <c r="AB8056" t="s">
        <v>86</v>
      </c>
      <c r="AC8056" t="s">
        <v>41</v>
      </c>
    </row>
    <row r="8057" spans="1:29" x14ac:dyDescent="0.35">
      <c r="A8057" s="7">
        <v>43317</v>
      </c>
      <c r="B8057" t="s">
        <v>30</v>
      </c>
      <c r="C8057">
        <v>703</v>
      </c>
      <c r="D8057">
        <v>7</v>
      </c>
      <c r="E8057">
        <v>2</v>
      </c>
      <c r="F8057" t="s">
        <v>1020</v>
      </c>
      <c r="G8057" t="s">
        <v>32</v>
      </c>
      <c r="H8057" t="s">
        <v>33</v>
      </c>
      <c r="I8057" t="s">
        <v>59</v>
      </c>
      <c r="AB8057" t="s">
        <v>86</v>
      </c>
      <c r="AC8057" t="s">
        <v>41</v>
      </c>
    </row>
    <row r="8058" spans="1:29" x14ac:dyDescent="0.35">
      <c r="A8058" s="7">
        <v>43317</v>
      </c>
      <c r="B8058" t="s">
        <v>30</v>
      </c>
      <c r="C8058">
        <v>703</v>
      </c>
      <c r="D8058">
        <v>8</v>
      </c>
      <c r="E8058">
        <v>1</v>
      </c>
      <c r="F8058" t="s">
        <v>1020</v>
      </c>
      <c r="G8058" t="s">
        <v>32</v>
      </c>
      <c r="H8058" t="s">
        <v>33</v>
      </c>
      <c r="I8058" t="s">
        <v>59</v>
      </c>
      <c r="AB8058" t="s">
        <v>86</v>
      </c>
      <c r="AC8058" t="s">
        <v>41</v>
      </c>
    </row>
    <row r="8059" spans="1:29" x14ac:dyDescent="0.35">
      <c r="A8059" s="7">
        <v>43317</v>
      </c>
      <c r="B8059" t="s">
        <v>30</v>
      </c>
      <c r="C8059">
        <v>703</v>
      </c>
      <c r="D8059">
        <v>8</v>
      </c>
      <c r="E8059">
        <v>2</v>
      </c>
      <c r="F8059" t="s">
        <v>1020</v>
      </c>
      <c r="G8059" t="s">
        <v>32</v>
      </c>
      <c r="H8059" t="s">
        <v>33</v>
      </c>
      <c r="I8059" t="s">
        <v>59</v>
      </c>
      <c r="AB8059" t="s">
        <v>86</v>
      </c>
      <c r="AC8059" t="s">
        <v>41</v>
      </c>
    </row>
    <row r="8060" spans="1:29" x14ac:dyDescent="0.35">
      <c r="A8060" s="7">
        <v>43317</v>
      </c>
      <c r="B8060" t="s">
        <v>30</v>
      </c>
      <c r="C8060">
        <v>703</v>
      </c>
      <c r="D8060">
        <v>9</v>
      </c>
      <c r="E8060">
        <v>2</v>
      </c>
      <c r="F8060" t="s">
        <v>1020</v>
      </c>
      <c r="G8060" t="s">
        <v>32</v>
      </c>
      <c r="H8060" t="s">
        <v>33</v>
      </c>
      <c r="I8060" t="s">
        <v>59</v>
      </c>
      <c r="AB8060" t="s">
        <v>86</v>
      </c>
      <c r="AC8060" t="s">
        <v>41</v>
      </c>
    </row>
    <row r="8061" spans="1:29" x14ac:dyDescent="0.35">
      <c r="A8061" s="7">
        <v>43317</v>
      </c>
      <c r="B8061" t="s">
        <v>30</v>
      </c>
      <c r="C8061">
        <v>801</v>
      </c>
      <c r="D8061">
        <v>2</v>
      </c>
      <c r="E8061">
        <v>2</v>
      </c>
      <c r="F8061" t="s">
        <v>1020</v>
      </c>
      <c r="G8061" t="s">
        <v>32</v>
      </c>
      <c r="H8061" t="s">
        <v>33</v>
      </c>
      <c r="I8061" t="s">
        <v>59</v>
      </c>
      <c r="AB8061" t="s">
        <v>86</v>
      </c>
      <c r="AC8061" t="s">
        <v>41</v>
      </c>
    </row>
    <row r="8062" spans="1:29" x14ac:dyDescent="0.35">
      <c r="A8062" s="7">
        <v>43317</v>
      </c>
      <c r="B8062" t="s">
        <v>30</v>
      </c>
      <c r="C8062">
        <v>801</v>
      </c>
      <c r="D8062">
        <v>3</v>
      </c>
      <c r="E8062">
        <v>1</v>
      </c>
      <c r="F8062" t="s">
        <v>1020</v>
      </c>
      <c r="G8062" t="s">
        <v>32</v>
      </c>
      <c r="H8062" t="s">
        <v>33</v>
      </c>
      <c r="I8062" t="s">
        <v>59</v>
      </c>
      <c r="AB8062" t="s">
        <v>86</v>
      </c>
      <c r="AC8062" t="s">
        <v>41</v>
      </c>
    </row>
    <row r="8063" spans="1:29" x14ac:dyDescent="0.35">
      <c r="A8063" s="7">
        <v>43317</v>
      </c>
      <c r="B8063" t="s">
        <v>30</v>
      </c>
      <c r="C8063">
        <v>801</v>
      </c>
      <c r="D8063">
        <v>3</v>
      </c>
      <c r="E8063">
        <v>2</v>
      </c>
      <c r="F8063" t="s">
        <v>1020</v>
      </c>
      <c r="G8063" t="s">
        <v>32</v>
      </c>
      <c r="H8063" t="s">
        <v>33</v>
      </c>
      <c r="I8063" t="s">
        <v>59</v>
      </c>
      <c r="AB8063" t="s">
        <v>86</v>
      </c>
      <c r="AC8063" t="s">
        <v>41</v>
      </c>
    </row>
    <row r="8064" spans="1:29" x14ac:dyDescent="0.35">
      <c r="A8064" s="7">
        <v>43317</v>
      </c>
      <c r="B8064" t="s">
        <v>30</v>
      </c>
      <c r="C8064">
        <v>801</v>
      </c>
      <c r="D8064">
        <v>5</v>
      </c>
      <c r="E8064">
        <v>2</v>
      </c>
      <c r="F8064" t="s">
        <v>1020</v>
      </c>
      <c r="G8064" t="s">
        <v>32</v>
      </c>
      <c r="H8064" t="s">
        <v>33</v>
      </c>
      <c r="I8064" t="s">
        <v>59</v>
      </c>
      <c r="AB8064" t="s">
        <v>86</v>
      </c>
      <c r="AC8064" t="s">
        <v>41</v>
      </c>
    </row>
    <row r="8065" spans="1:29" x14ac:dyDescent="0.35">
      <c r="A8065" s="7">
        <v>43317</v>
      </c>
      <c r="B8065" t="s">
        <v>30</v>
      </c>
      <c r="C8065">
        <v>801</v>
      </c>
      <c r="D8065">
        <v>6</v>
      </c>
      <c r="E8065">
        <v>2</v>
      </c>
      <c r="F8065" t="s">
        <v>1020</v>
      </c>
      <c r="G8065" t="s">
        <v>32</v>
      </c>
      <c r="H8065" t="s">
        <v>33</v>
      </c>
      <c r="I8065" t="s">
        <v>59</v>
      </c>
      <c r="AB8065" t="s">
        <v>86</v>
      </c>
      <c r="AC8065" t="s">
        <v>41</v>
      </c>
    </row>
    <row r="8066" spans="1:29" x14ac:dyDescent="0.35">
      <c r="A8066" s="7">
        <v>43317</v>
      </c>
      <c r="B8066" t="s">
        <v>30</v>
      </c>
      <c r="C8066">
        <v>801</v>
      </c>
      <c r="D8066">
        <v>9</v>
      </c>
      <c r="E8066">
        <v>2</v>
      </c>
      <c r="F8066" t="s">
        <v>1020</v>
      </c>
      <c r="G8066" t="s">
        <v>32</v>
      </c>
      <c r="H8066" t="s">
        <v>33</v>
      </c>
      <c r="I8066" t="s">
        <v>59</v>
      </c>
      <c r="AB8066" t="s">
        <v>86</v>
      </c>
      <c r="AC8066" t="s">
        <v>41</v>
      </c>
    </row>
    <row r="8067" spans="1:29" x14ac:dyDescent="0.35">
      <c r="A8067" s="7">
        <v>43317</v>
      </c>
      <c r="B8067" t="s">
        <v>30</v>
      </c>
      <c r="C8067">
        <v>803</v>
      </c>
      <c r="D8067">
        <v>4</v>
      </c>
      <c r="E8067">
        <v>1</v>
      </c>
      <c r="F8067" t="s">
        <v>1020</v>
      </c>
      <c r="G8067" t="s">
        <v>32</v>
      </c>
      <c r="H8067" t="s">
        <v>33</v>
      </c>
      <c r="I8067" t="s">
        <v>59</v>
      </c>
      <c r="AB8067" t="s">
        <v>86</v>
      </c>
      <c r="AC8067" t="s">
        <v>41</v>
      </c>
    </row>
    <row r="8068" spans="1:29" x14ac:dyDescent="0.35">
      <c r="A8068" s="7">
        <v>43317</v>
      </c>
      <c r="B8068" t="s">
        <v>30</v>
      </c>
      <c r="C8068">
        <v>901</v>
      </c>
      <c r="D8068">
        <v>2</v>
      </c>
      <c r="E8068">
        <v>1</v>
      </c>
      <c r="F8068" t="s">
        <v>1020</v>
      </c>
      <c r="G8068" t="s">
        <v>32</v>
      </c>
      <c r="H8068" t="s">
        <v>33</v>
      </c>
      <c r="I8068" t="s">
        <v>59</v>
      </c>
      <c r="AB8068" t="s">
        <v>86</v>
      </c>
      <c r="AC8068" t="s">
        <v>41</v>
      </c>
    </row>
    <row r="8069" spans="1:29" x14ac:dyDescent="0.35">
      <c r="A8069" s="7">
        <v>43317</v>
      </c>
      <c r="B8069" t="s">
        <v>30</v>
      </c>
      <c r="C8069">
        <v>901</v>
      </c>
      <c r="D8069">
        <v>8</v>
      </c>
      <c r="E8069">
        <v>1</v>
      </c>
      <c r="F8069" t="s">
        <v>1020</v>
      </c>
      <c r="G8069" t="s">
        <v>32</v>
      </c>
      <c r="H8069" t="s">
        <v>33</v>
      </c>
      <c r="I8069" t="s">
        <v>59</v>
      </c>
      <c r="AB8069" t="s">
        <v>86</v>
      </c>
      <c r="AC8069" t="s">
        <v>41</v>
      </c>
    </row>
    <row r="8070" spans="1:29" x14ac:dyDescent="0.35">
      <c r="A8070" s="7">
        <v>43317</v>
      </c>
      <c r="B8070" t="s">
        <v>30</v>
      </c>
      <c r="C8070">
        <v>701</v>
      </c>
      <c r="D8070">
        <v>7</v>
      </c>
      <c r="E8070">
        <v>1</v>
      </c>
      <c r="F8070" t="s">
        <v>1020</v>
      </c>
      <c r="G8070" t="s">
        <v>32</v>
      </c>
      <c r="H8070" t="s">
        <v>33</v>
      </c>
      <c r="I8070" t="s">
        <v>94</v>
      </c>
      <c r="J8070" t="s">
        <v>44</v>
      </c>
      <c r="K8070" t="s">
        <v>36</v>
      </c>
      <c r="L8070" t="s">
        <v>45</v>
      </c>
      <c r="M8070">
        <v>0</v>
      </c>
      <c r="N8070">
        <v>0</v>
      </c>
      <c r="O8070">
        <v>2946</v>
      </c>
      <c r="Q8070">
        <f>32-10</f>
        <v>22</v>
      </c>
      <c r="R8070" t="s">
        <v>46</v>
      </c>
      <c r="S8070" t="s">
        <v>39</v>
      </c>
      <c r="AB8070" t="s">
        <v>86</v>
      </c>
      <c r="AC8070" t="s">
        <v>41</v>
      </c>
    </row>
    <row r="8071" spans="1:29" x14ac:dyDescent="0.35">
      <c r="A8071" s="7">
        <v>43317</v>
      </c>
      <c r="B8071" t="s">
        <v>30</v>
      </c>
      <c r="C8071">
        <v>801</v>
      </c>
      <c r="D8071">
        <v>1</v>
      </c>
      <c r="E8071">
        <v>1</v>
      </c>
      <c r="F8071" t="s">
        <v>1020</v>
      </c>
      <c r="G8071" t="s">
        <v>32</v>
      </c>
      <c r="H8071" t="s">
        <v>33</v>
      </c>
      <c r="I8071" t="s">
        <v>94</v>
      </c>
      <c r="J8071" t="s">
        <v>35</v>
      </c>
      <c r="K8071" t="s">
        <v>36</v>
      </c>
      <c r="L8071" t="s">
        <v>45</v>
      </c>
      <c r="M8071">
        <v>0</v>
      </c>
      <c r="N8071">
        <v>1</v>
      </c>
      <c r="O8071">
        <v>1359</v>
      </c>
      <c r="Q8071">
        <f>33-11.5</f>
        <v>21.5</v>
      </c>
      <c r="R8071" t="s">
        <v>46</v>
      </c>
      <c r="S8071" t="s">
        <v>39</v>
      </c>
      <c r="AB8071" t="s">
        <v>86</v>
      </c>
      <c r="AC8071" t="s">
        <v>41</v>
      </c>
    </row>
    <row r="8072" spans="1:29" x14ac:dyDescent="0.35">
      <c r="A8072" s="7">
        <v>43317</v>
      </c>
      <c r="B8072" t="s">
        <v>30</v>
      </c>
      <c r="C8072">
        <v>803</v>
      </c>
      <c r="D8072">
        <v>9</v>
      </c>
      <c r="E8072">
        <v>1</v>
      </c>
      <c r="F8072" t="s">
        <v>1020</v>
      </c>
      <c r="G8072" t="s">
        <v>32</v>
      </c>
      <c r="H8072" t="s">
        <v>33</v>
      </c>
      <c r="I8072" t="s">
        <v>94</v>
      </c>
      <c r="J8072" t="s">
        <v>35</v>
      </c>
      <c r="K8072" t="s">
        <v>36</v>
      </c>
      <c r="L8072" t="s">
        <v>45</v>
      </c>
      <c r="M8072">
        <v>0</v>
      </c>
      <c r="N8072">
        <v>1</v>
      </c>
      <c r="O8072">
        <v>1371</v>
      </c>
      <c r="Q8072">
        <f>32.25-9.75</f>
        <v>22.5</v>
      </c>
      <c r="R8072" t="s">
        <v>46</v>
      </c>
      <c r="S8072" t="s">
        <v>39</v>
      </c>
      <c r="AB8072" t="s">
        <v>86</v>
      </c>
      <c r="AC8072" t="s">
        <v>41</v>
      </c>
    </row>
    <row r="8073" spans="1:29" x14ac:dyDescent="0.35">
      <c r="A8073" s="7">
        <v>43318</v>
      </c>
      <c r="B8073" t="s">
        <v>30</v>
      </c>
      <c r="C8073">
        <v>701</v>
      </c>
      <c r="D8073">
        <v>1</v>
      </c>
      <c r="E8073">
        <v>1</v>
      </c>
      <c r="F8073" t="s">
        <v>1139</v>
      </c>
      <c r="G8073" t="s">
        <v>32</v>
      </c>
      <c r="H8073" t="s">
        <v>33</v>
      </c>
      <c r="I8073" t="s">
        <v>43</v>
      </c>
      <c r="J8073" t="s">
        <v>35</v>
      </c>
      <c r="K8073" t="s">
        <v>36</v>
      </c>
      <c r="L8073" t="s">
        <v>45</v>
      </c>
      <c r="M8073">
        <v>0</v>
      </c>
      <c r="N8073">
        <v>1</v>
      </c>
      <c r="O8073">
        <v>1468</v>
      </c>
      <c r="P8073">
        <v>1467</v>
      </c>
      <c r="Q8073">
        <f>34-19.5</f>
        <v>14.5</v>
      </c>
      <c r="R8073" t="s">
        <v>79</v>
      </c>
      <c r="S8073" t="s">
        <v>39</v>
      </c>
      <c r="Z8073" t="s">
        <v>102</v>
      </c>
      <c r="AB8073" t="s">
        <v>86</v>
      </c>
      <c r="AC8073" t="s">
        <v>1140</v>
      </c>
    </row>
    <row r="8074" spans="1:29" x14ac:dyDescent="0.35">
      <c r="A8074" s="7">
        <v>43318</v>
      </c>
      <c r="B8074" t="s">
        <v>30</v>
      </c>
      <c r="C8074">
        <v>701</v>
      </c>
      <c r="D8074">
        <v>2</v>
      </c>
      <c r="E8074">
        <v>2</v>
      </c>
      <c r="F8074" t="s">
        <v>1139</v>
      </c>
      <c r="G8074" t="s">
        <v>32</v>
      </c>
      <c r="H8074" t="s">
        <v>33</v>
      </c>
      <c r="I8074" t="s">
        <v>43</v>
      </c>
      <c r="J8074" t="s">
        <v>44</v>
      </c>
      <c r="K8074" t="s">
        <v>36</v>
      </c>
      <c r="L8074" t="s">
        <v>45</v>
      </c>
      <c r="M8074">
        <v>0</v>
      </c>
      <c r="N8074">
        <v>0</v>
      </c>
      <c r="O8074">
        <v>2471</v>
      </c>
      <c r="P8074">
        <v>2470</v>
      </c>
      <c r="Q8074">
        <f>44.5-21</f>
        <v>23.5</v>
      </c>
      <c r="R8074" t="s">
        <v>79</v>
      </c>
      <c r="S8074" t="s">
        <v>39</v>
      </c>
      <c r="AB8074" t="s">
        <v>86</v>
      </c>
      <c r="AC8074" t="s">
        <v>1140</v>
      </c>
    </row>
    <row r="8075" spans="1:29" x14ac:dyDescent="0.35">
      <c r="A8075" s="7">
        <v>43318</v>
      </c>
      <c r="B8075" t="s">
        <v>30</v>
      </c>
      <c r="C8075">
        <v>701</v>
      </c>
      <c r="D8075">
        <v>7</v>
      </c>
      <c r="E8075">
        <v>1</v>
      </c>
      <c r="F8075" t="s">
        <v>1139</v>
      </c>
      <c r="G8075" t="s">
        <v>32</v>
      </c>
      <c r="H8075" t="s">
        <v>33</v>
      </c>
      <c r="I8075" t="s">
        <v>43</v>
      </c>
      <c r="J8075" t="s">
        <v>44</v>
      </c>
      <c r="K8075" t="s">
        <v>113</v>
      </c>
      <c r="L8075" t="s">
        <v>37</v>
      </c>
      <c r="M8075">
        <v>0</v>
      </c>
      <c r="N8075">
        <v>0</v>
      </c>
      <c r="O8075">
        <v>1215</v>
      </c>
      <c r="P8075">
        <v>1214</v>
      </c>
      <c r="Q8075">
        <f>28-13.5</f>
        <v>14.5</v>
      </c>
      <c r="R8075" t="s">
        <v>64</v>
      </c>
      <c r="AB8075" t="s">
        <v>86</v>
      </c>
      <c r="AC8075" t="s">
        <v>1140</v>
      </c>
    </row>
    <row r="8076" spans="1:29" x14ac:dyDescent="0.35">
      <c r="A8076" s="7">
        <v>43318</v>
      </c>
      <c r="B8076" t="s">
        <v>30</v>
      </c>
      <c r="C8076">
        <v>703</v>
      </c>
      <c r="D8076">
        <v>2</v>
      </c>
      <c r="E8076">
        <v>1</v>
      </c>
      <c r="F8076" t="s">
        <v>1139</v>
      </c>
      <c r="G8076" t="s">
        <v>32</v>
      </c>
      <c r="H8076" t="s">
        <v>33</v>
      </c>
      <c r="I8076" t="s">
        <v>43</v>
      </c>
      <c r="J8076" t="s">
        <v>44</v>
      </c>
      <c r="K8076" t="s">
        <v>113</v>
      </c>
      <c r="L8076" t="s">
        <v>37</v>
      </c>
      <c r="M8076">
        <v>0</v>
      </c>
      <c r="N8076">
        <v>0</v>
      </c>
      <c r="O8076">
        <v>1029</v>
      </c>
      <c r="P8076">
        <v>1028</v>
      </c>
      <c r="Q8076">
        <f>28-14.5</f>
        <v>13.5</v>
      </c>
      <c r="R8076" t="s">
        <v>64</v>
      </c>
      <c r="AB8076" t="s">
        <v>86</v>
      </c>
      <c r="AC8076" t="s">
        <v>1140</v>
      </c>
    </row>
    <row r="8077" spans="1:29" x14ac:dyDescent="0.35">
      <c r="A8077" s="7">
        <v>43318</v>
      </c>
      <c r="B8077" t="s">
        <v>30</v>
      </c>
      <c r="C8077">
        <v>703</v>
      </c>
      <c r="D8077">
        <v>3</v>
      </c>
      <c r="E8077">
        <v>1</v>
      </c>
      <c r="F8077" t="s">
        <v>1139</v>
      </c>
      <c r="G8077" t="s">
        <v>32</v>
      </c>
      <c r="H8077" t="s">
        <v>33</v>
      </c>
      <c r="I8077" t="s">
        <v>43</v>
      </c>
      <c r="J8077" t="s">
        <v>35</v>
      </c>
      <c r="K8077" t="s">
        <v>113</v>
      </c>
      <c r="L8077" t="s">
        <v>45</v>
      </c>
      <c r="M8077">
        <v>0</v>
      </c>
      <c r="N8077">
        <v>1</v>
      </c>
      <c r="O8077">
        <v>1464</v>
      </c>
      <c r="P8077">
        <v>1463</v>
      </c>
      <c r="Q8077">
        <f>30.5-14.5</f>
        <v>16</v>
      </c>
      <c r="R8077" t="s">
        <v>46</v>
      </c>
      <c r="S8077" t="s">
        <v>39</v>
      </c>
      <c r="AB8077" t="s">
        <v>86</v>
      </c>
      <c r="AC8077" t="s">
        <v>1140</v>
      </c>
    </row>
    <row r="8078" spans="1:29" x14ac:dyDescent="0.35">
      <c r="A8078" s="7">
        <v>43318</v>
      </c>
      <c r="B8078" t="s">
        <v>30</v>
      </c>
      <c r="C8078">
        <v>703</v>
      </c>
      <c r="D8078">
        <v>4</v>
      </c>
      <c r="E8078">
        <v>2</v>
      </c>
      <c r="F8078" t="s">
        <v>1139</v>
      </c>
      <c r="G8078" t="s">
        <v>32</v>
      </c>
      <c r="H8078" t="s">
        <v>33</v>
      </c>
      <c r="I8078" t="s">
        <v>43</v>
      </c>
      <c r="J8078" t="s">
        <v>44</v>
      </c>
      <c r="K8078" t="s">
        <v>36</v>
      </c>
      <c r="L8078" t="s">
        <v>37</v>
      </c>
      <c r="M8078">
        <v>0</v>
      </c>
      <c r="N8078">
        <v>0</v>
      </c>
      <c r="O8078">
        <v>1100</v>
      </c>
      <c r="P8078">
        <v>1099</v>
      </c>
      <c r="Q8078">
        <f>30.5-15.5</f>
        <v>15</v>
      </c>
      <c r="R8078" t="s">
        <v>64</v>
      </c>
      <c r="AB8078" t="s">
        <v>86</v>
      </c>
      <c r="AC8078" t="s">
        <v>1140</v>
      </c>
    </row>
    <row r="8079" spans="1:29" x14ac:dyDescent="0.35">
      <c r="A8079" s="7">
        <v>43318</v>
      </c>
      <c r="B8079" t="s">
        <v>30</v>
      </c>
      <c r="C8079">
        <v>703</v>
      </c>
      <c r="D8079">
        <v>5</v>
      </c>
      <c r="E8079">
        <v>1</v>
      </c>
      <c r="F8079" t="s">
        <v>1139</v>
      </c>
      <c r="G8079" t="s">
        <v>32</v>
      </c>
      <c r="H8079" t="s">
        <v>33</v>
      </c>
      <c r="I8079" t="s">
        <v>43</v>
      </c>
      <c r="J8079" t="s">
        <v>44</v>
      </c>
      <c r="K8079" t="s">
        <v>88</v>
      </c>
      <c r="L8079" t="s">
        <v>37</v>
      </c>
      <c r="M8079">
        <v>0</v>
      </c>
      <c r="N8079">
        <v>0</v>
      </c>
      <c r="O8079">
        <v>1270</v>
      </c>
      <c r="P8079">
        <v>1269</v>
      </c>
      <c r="Q8079">
        <f>28.5-16</f>
        <v>12.5</v>
      </c>
      <c r="R8079" t="s">
        <v>64</v>
      </c>
      <c r="AB8079" t="s">
        <v>86</v>
      </c>
      <c r="AC8079" t="s">
        <v>1140</v>
      </c>
    </row>
    <row r="8080" spans="1:29" x14ac:dyDescent="0.35">
      <c r="A8080" s="7">
        <v>43318</v>
      </c>
      <c r="B8080" t="s">
        <v>30</v>
      </c>
      <c r="C8080">
        <v>703</v>
      </c>
      <c r="D8080">
        <v>5</v>
      </c>
      <c r="E8080">
        <v>2</v>
      </c>
      <c r="F8080" t="s">
        <v>1139</v>
      </c>
      <c r="G8080" t="s">
        <v>32</v>
      </c>
      <c r="H8080" t="s">
        <v>33</v>
      </c>
      <c r="I8080" t="s">
        <v>43</v>
      </c>
      <c r="J8080" t="s">
        <v>35</v>
      </c>
      <c r="K8080" t="s">
        <v>36</v>
      </c>
      <c r="L8080" t="s">
        <v>37</v>
      </c>
      <c r="M8080">
        <v>0</v>
      </c>
      <c r="N8080">
        <v>1</v>
      </c>
      <c r="O8080">
        <v>1466</v>
      </c>
      <c r="P8080">
        <v>1465</v>
      </c>
      <c r="Q8080">
        <f>33-17.5</f>
        <v>15.5</v>
      </c>
      <c r="R8080" t="s">
        <v>64</v>
      </c>
      <c r="AB8080" t="s">
        <v>86</v>
      </c>
      <c r="AC8080" t="s">
        <v>1140</v>
      </c>
    </row>
    <row r="8081" spans="1:30" x14ac:dyDescent="0.35">
      <c r="A8081" s="7">
        <v>43318</v>
      </c>
      <c r="B8081" t="s">
        <v>30</v>
      </c>
      <c r="C8081">
        <v>703</v>
      </c>
      <c r="D8081">
        <v>9</v>
      </c>
      <c r="E8081">
        <v>1</v>
      </c>
      <c r="F8081" t="s">
        <v>1139</v>
      </c>
      <c r="G8081" t="s">
        <v>32</v>
      </c>
      <c r="H8081" t="s">
        <v>33</v>
      </c>
      <c r="I8081" t="s">
        <v>43</v>
      </c>
      <c r="J8081" t="s">
        <v>44</v>
      </c>
      <c r="K8081" t="s">
        <v>36</v>
      </c>
      <c r="L8081" t="s">
        <v>45</v>
      </c>
      <c r="M8081">
        <v>0</v>
      </c>
      <c r="N8081">
        <v>0</v>
      </c>
      <c r="O8081">
        <v>2469</v>
      </c>
      <c r="P8081">
        <v>2468</v>
      </c>
      <c r="Q8081">
        <f>34.5-18</f>
        <v>16.5</v>
      </c>
      <c r="R8081" t="s">
        <v>46</v>
      </c>
      <c r="S8081" t="s">
        <v>39</v>
      </c>
      <c r="AB8081" t="s">
        <v>86</v>
      </c>
      <c r="AC8081" t="s">
        <v>1140</v>
      </c>
      <c r="AD8081" t="s">
        <v>1258</v>
      </c>
    </row>
    <row r="8082" spans="1:30" x14ac:dyDescent="0.35">
      <c r="A8082" s="7">
        <v>43318</v>
      </c>
      <c r="B8082" t="s">
        <v>30</v>
      </c>
      <c r="C8082">
        <v>703</v>
      </c>
      <c r="D8082">
        <v>10</v>
      </c>
      <c r="E8082">
        <v>2</v>
      </c>
      <c r="F8082" t="s">
        <v>1139</v>
      </c>
      <c r="G8082" t="s">
        <v>32</v>
      </c>
      <c r="H8082" t="s">
        <v>33</v>
      </c>
      <c r="I8082" t="s">
        <v>43</v>
      </c>
      <c r="J8082" t="s">
        <v>44</v>
      </c>
      <c r="K8082" t="s">
        <v>36</v>
      </c>
      <c r="L8082" t="s">
        <v>45</v>
      </c>
      <c r="M8082">
        <v>0</v>
      </c>
      <c r="N8082">
        <v>0</v>
      </c>
      <c r="O8082">
        <v>39771</v>
      </c>
      <c r="P8082">
        <v>39770</v>
      </c>
      <c r="Q8082">
        <f>37.5-19</f>
        <v>18.5</v>
      </c>
      <c r="R8082" t="s">
        <v>46</v>
      </c>
      <c r="S8082" t="s">
        <v>39</v>
      </c>
      <c r="AB8082" t="s">
        <v>86</v>
      </c>
      <c r="AC8082" t="s">
        <v>1140</v>
      </c>
    </row>
    <row r="8083" spans="1:30" x14ac:dyDescent="0.35">
      <c r="A8083" s="7">
        <v>43318</v>
      </c>
      <c r="B8083" t="s">
        <v>30</v>
      </c>
      <c r="C8083">
        <v>801</v>
      </c>
      <c r="D8083">
        <v>4</v>
      </c>
      <c r="E8083">
        <v>1</v>
      </c>
      <c r="F8083" t="s">
        <v>1139</v>
      </c>
      <c r="G8083" t="s">
        <v>32</v>
      </c>
      <c r="H8083" t="s">
        <v>33</v>
      </c>
      <c r="I8083" t="s">
        <v>43</v>
      </c>
      <c r="J8083" t="s">
        <v>35</v>
      </c>
      <c r="K8083" t="s">
        <v>36</v>
      </c>
      <c r="L8083" t="s">
        <v>45</v>
      </c>
      <c r="M8083">
        <v>0</v>
      </c>
      <c r="N8083">
        <v>1</v>
      </c>
      <c r="O8083">
        <v>1470</v>
      </c>
      <c r="P8083">
        <v>1469</v>
      </c>
      <c r="Q8083">
        <f>31-13</f>
        <v>18</v>
      </c>
      <c r="R8083" t="s">
        <v>1021</v>
      </c>
      <c r="S8083" t="s">
        <v>102</v>
      </c>
      <c r="AB8083" t="s">
        <v>86</v>
      </c>
      <c r="AC8083" t="s">
        <v>1140</v>
      </c>
    </row>
    <row r="8084" spans="1:30" x14ac:dyDescent="0.35">
      <c r="A8084" s="7">
        <v>43318</v>
      </c>
      <c r="B8084" t="s">
        <v>30</v>
      </c>
      <c r="C8084">
        <v>801</v>
      </c>
      <c r="D8084">
        <v>4</v>
      </c>
      <c r="E8084">
        <v>2</v>
      </c>
      <c r="F8084" t="s">
        <v>1139</v>
      </c>
      <c r="G8084" t="s">
        <v>32</v>
      </c>
      <c r="H8084" t="s">
        <v>33</v>
      </c>
      <c r="I8084" t="s">
        <v>43</v>
      </c>
      <c r="J8084" t="s">
        <v>44</v>
      </c>
      <c r="K8084" t="s">
        <v>88</v>
      </c>
      <c r="L8084" t="s">
        <v>37</v>
      </c>
      <c r="M8084">
        <v>0</v>
      </c>
      <c r="N8084">
        <v>0</v>
      </c>
      <c r="O8084">
        <v>1356</v>
      </c>
      <c r="P8084">
        <v>1355</v>
      </c>
      <c r="Q8084">
        <f>28-14</f>
        <v>14</v>
      </c>
      <c r="R8084" t="s">
        <v>64</v>
      </c>
      <c r="AB8084" t="s">
        <v>86</v>
      </c>
      <c r="AC8084" t="s">
        <v>1140</v>
      </c>
    </row>
    <row r="8085" spans="1:30" x14ac:dyDescent="0.35">
      <c r="A8085" s="7">
        <v>43318</v>
      </c>
      <c r="B8085" t="s">
        <v>30</v>
      </c>
      <c r="C8085">
        <v>801</v>
      </c>
      <c r="D8085">
        <v>5</v>
      </c>
      <c r="E8085">
        <v>2</v>
      </c>
      <c r="F8085" t="s">
        <v>1139</v>
      </c>
      <c r="G8085" t="s">
        <v>32</v>
      </c>
      <c r="H8085" t="s">
        <v>33</v>
      </c>
      <c r="I8085" t="s">
        <v>43</v>
      </c>
      <c r="J8085" t="s">
        <v>44</v>
      </c>
      <c r="K8085" t="s">
        <v>36</v>
      </c>
      <c r="L8085" t="s">
        <v>45</v>
      </c>
      <c r="M8085">
        <v>0</v>
      </c>
      <c r="N8085">
        <v>0</v>
      </c>
      <c r="O8085">
        <v>2425</v>
      </c>
      <c r="P8085">
        <v>2424</v>
      </c>
      <c r="Q8085">
        <f>34-15</f>
        <v>19</v>
      </c>
      <c r="R8085" t="s">
        <v>79</v>
      </c>
      <c r="S8085" t="s">
        <v>39</v>
      </c>
      <c r="AB8085" t="s">
        <v>86</v>
      </c>
      <c r="AC8085" t="s">
        <v>1140</v>
      </c>
    </row>
    <row r="8086" spans="1:30" x14ac:dyDescent="0.35">
      <c r="A8086" s="7">
        <v>43318</v>
      </c>
      <c r="B8086" t="s">
        <v>30</v>
      </c>
      <c r="C8086">
        <v>801</v>
      </c>
      <c r="D8086">
        <v>6</v>
      </c>
      <c r="E8086">
        <v>2</v>
      </c>
      <c r="F8086" t="s">
        <v>1139</v>
      </c>
      <c r="G8086" t="s">
        <v>32</v>
      </c>
      <c r="H8086" t="s">
        <v>33</v>
      </c>
      <c r="I8086" t="s">
        <v>43</v>
      </c>
      <c r="J8086" t="s">
        <v>44</v>
      </c>
      <c r="K8086" t="s">
        <v>88</v>
      </c>
      <c r="L8086" t="s">
        <v>37</v>
      </c>
      <c r="M8086">
        <v>0</v>
      </c>
      <c r="N8086">
        <v>0</v>
      </c>
      <c r="O8086">
        <v>1368</v>
      </c>
      <c r="P8086">
        <v>1367</v>
      </c>
      <c r="Q8086">
        <f>28-14</f>
        <v>14</v>
      </c>
      <c r="R8086" t="s">
        <v>64</v>
      </c>
      <c r="AB8086" t="s">
        <v>86</v>
      </c>
      <c r="AC8086" t="s">
        <v>1140</v>
      </c>
    </row>
    <row r="8087" spans="1:30" x14ac:dyDescent="0.35">
      <c r="A8087" s="7">
        <v>43318</v>
      </c>
      <c r="B8087" t="s">
        <v>30</v>
      </c>
      <c r="C8087">
        <v>801</v>
      </c>
      <c r="D8087">
        <v>9</v>
      </c>
      <c r="E8087">
        <v>1</v>
      </c>
      <c r="F8087" t="s">
        <v>1139</v>
      </c>
      <c r="G8087" t="s">
        <v>32</v>
      </c>
      <c r="H8087" t="s">
        <v>33</v>
      </c>
      <c r="I8087" t="s">
        <v>43</v>
      </c>
      <c r="J8087" t="s">
        <v>44</v>
      </c>
      <c r="K8087" t="s">
        <v>36</v>
      </c>
      <c r="L8087" t="s">
        <v>37</v>
      </c>
      <c r="M8087">
        <v>0</v>
      </c>
      <c r="N8087">
        <v>0</v>
      </c>
      <c r="O8087">
        <v>1168</v>
      </c>
      <c r="P8087">
        <v>1167</v>
      </c>
      <c r="Q8087">
        <f>33-15</f>
        <v>18</v>
      </c>
      <c r="R8087" t="s">
        <v>64</v>
      </c>
      <c r="AB8087" t="s">
        <v>86</v>
      </c>
      <c r="AC8087" t="s">
        <v>1140</v>
      </c>
    </row>
    <row r="8088" spans="1:30" x14ac:dyDescent="0.35">
      <c r="A8088" s="7">
        <v>43318</v>
      </c>
      <c r="B8088" t="s">
        <v>30</v>
      </c>
      <c r="C8088">
        <v>803</v>
      </c>
      <c r="D8088">
        <v>6</v>
      </c>
      <c r="E8088">
        <v>1</v>
      </c>
      <c r="F8088" t="s">
        <v>1139</v>
      </c>
      <c r="G8088" t="s">
        <v>32</v>
      </c>
      <c r="H8088" t="s">
        <v>33</v>
      </c>
      <c r="I8088" t="s">
        <v>43</v>
      </c>
      <c r="J8088" t="s">
        <v>35</v>
      </c>
      <c r="K8088" t="s">
        <v>113</v>
      </c>
      <c r="L8088" t="s">
        <v>45</v>
      </c>
      <c r="M8088">
        <v>0</v>
      </c>
      <c r="N8088">
        <v>1</v>
      </c>
      <c r="O8088">
        <v>1472</v>
      </c>
      <c r="P8088">
        <v>1471</v>
      </c>
      <c r="Q8088">
        <f>31-17</f>
        <v>14</v>
      </c>
      <c r="R8088" t="s">
        <v>46</v>
      </c>
      <c r="S8088" t="s">
        <v>39</v>
      </c>
      <c r="AB8088" t="s">
        <v>86</v>
      </c>
      <c r="AC8088" t="s">
        <v>1140</v>
      </c>
    </row>
    <row r="8089" spans="1:30" x14ac:dyDescent="0.35">
      <c r="A8089" s="7">
        <v>43318</v>
      </c>
      <c r="B8089" t="s">
        <v>30</v>
      </c>
      <c r="C8089">
        <v>901</v>
      </c>
      <c r="D8089">
        <v>1</v>
      </c>
      <c r="E8089">
        <v>1</v>
      </c>
      <c r="F8089" t="s">
        <v>1139</v>
      </c>
      <c r="G8089" t="s">
        <v>32</v>
      </c>
      <c r="H8089" t="s">
        <v>33</v>
      </c>
      <c r="I8089" t="s">
        <v>43</v>
      </c>
      <c r="J8089" t="s">
        <v>44</v>
      </c>
      <c r="K8089" t="s">
        <v>36</v>
      </c>
      <c r="L8089" t="s">
        <v>37</v>
      </c>
      <c r="M8089">
        <v>0</v>
      </c>
      <c r="N8089">
        <v>0</v>
      </c>
      <c r="O8089">
        <v>1394</v>
      </c>
      <c r="P8089">
        <v>1393</v>
      </c>
      <c r="Q8089">
        <f>33-14</f>
        <v>19</v>
      </c>
      <c r="R8089" t="s">
        <v>64</v>
      </c>
      <c r="AB8089" t="s">
        <v>86</v>
      </c>
      <c r="AC8089" t="s">
        <v>1140</v>
      </c>
    </row>
    <row r="8090" spans="1:30" x14ac:dyDescent="0.35">
      <c r="A8090" s="7">
        <v>43318</v>
      </c>
      <c r="B8090" t="s">
        <v>30</v>
      </c>
      <c r="C8090">
        <v>901</v>
      </c>
      <c r="D8090">
        <v>5</v>
      </c>
      <c r="E8090">
        <v>1</v>
      </c>
      <c r="F8090" t="s">
        <v>1139</v>
      </c>
      <c r="G8090" t="s">
        <v>32</v>
      </c>
      <c r="H8090" t="s">
        <v>33</v>
      </c>
      <c r="I8090" t="s">
        <v>43</v>
      </c>
      <c r="J8090" t="s">
        <v>44</v>
      </c>
      <c r="K8090" t="s">
        <v>88</v>
      </c>
      <c r="L8090" t="s">
        <v>45</v>
      </c>
      <c r="M8090">
        <v>0</v>
      </c>
      <c r="N8090">
        <v>0</v>
      </c>
      <c r="O8090">
        <v>1360</v>
      </c>
      <c r="P8090">
        <v>1374</v>
      </c>
      <c r="Q8090">
        <f>31-16</f>
        <v>15</v>
      </c>
      <c r="R8090" t="s">
        <v>46</v>
      </c>
      <c r="S8090" t="s">
        <v>39</v>
      </c>
      <c r="AB8090" t="s">
        <v>86</v>
      </c>
      <c r="AC8090" t="s">
        <v>1140</v>
      </c>
    </row>
    <row r="8091" spans="1:30" x14ac:dyDescent="0.35">
      <c r="A8091" s="7">
        <v>43318</v>
      </c>
      <c r="B8091" t="s">
        <v>30</v>
      </c>
      <c r="C8091">
        <v>901</v>
      </c>
      <c r="D8091">
        <v>5</v>
      </c>
      <c r="E8091">
        <v>2</v>
      </c>
      <c r="F8091" t="s">
        <v>1139</v>
      </c>
      <c r="G8091" t="s">
        <v>32</v>
      </c>
      <c r="H8091" t="s">
        <v>33</v>
      </c>
      <c r="I8091" t="s">
        <v>43</v>
      </c>
      <c r="J8091" t="s">
        <v>44</v>
      </c>
      <c r="K8091" t="s">
        <v>36</v>
      </c>
      <c r="L8091" t="s">
        <v>37</v>
      </c>
      <c r="M8091">
        <v>0</v>
      </c>
      <c r="N8091">
        <v>0</v>
      </c>
      <c r="O8091">
        <v>1362</v>
      </c>
      <c r="P8091">
        <v>1361</v>
      </c>
      <c r="Q8091">
        <f>36.5-16</f>
        <v>20.5</v>
      </c>
      <c r="R8091" t="s">
        <v>64</v>
      </c>
      <c r="AB8091" t="s">
        <v>86</v>
      </c>
      <c r="AC8091" t="s">
        <v>1140</v>
      </c>
    </row>
    <row r="8092" spans="1:30" x14ac:dyDescent="0.35">
      <c r="A8092" s="7">
        <v>43318</v>
      </c>
      <c r="B8092" t="s">
        <v>30</v>
      </c>
      <c r="C8092">
        <v>901</v>
      </c>
      <c r="D8092">
        <v>9</v>
      </c>
      <c r="E8092">
        <v>1</v>
      </c>
      <c r="F8092" t="s">
        <v>1139</v>
      </c>
      <c r="G8092" t="s">
        <v>32</v>
      </c>
      <c r="H8092" t="s">
        <v>33</v>
      </c>
      <c r="I8092" t="s">
        <v>43</v>
      </c>
      <c r="J8092" t="s">
        <v>44</v>
      </c>
      <c r="K8092" t="s">
        <v>36</v>
      </c>
      <c r="L8092" t="s">
        <v>37</v>
      </c>
      <c r="M8092">
        <v>0</v>
      </c>
      <c r="N8092">
        <v>0</v>
      </c>
      <c r="O8092">
        <v>1075</v>
      </c>
      <c r="P8092">
        <v>1074</v>
      </c>
      <c r="Q8092">
        <f>36-17</f>
        <v>19</v>
      </c>
      <c r="R8092" t="s">
        <v>64</v>
      </c>
      <c r="AB8092" t="s">
        <v>86</v>
      </c>
      <c r="AC8092" t="s">
        <v>1140</v>
      </c>
    </row>
    <row r="8093" spans="1:30" x14ac:dyDescent="0.35">
      <c r="A8093" s="7">
        <v>43318</v>
      </c>
      <c r="B8093" t="s">
        <v>30</v>
      </c>
      <c r="C8093">
        <v>901</v>
      </c>
      <c r="D8093">
        <v>10</v>
      </c>
      <c r="E8093">
        <v>1</v>
      </c>
      <c r="F8093" t="s">
        <v>1139</v>
      </c>
      <c r="G8093" t="s">
        <v>32</v>
      </c>
      <c r="H8093" t="s">
        <v>33</v>
      </c>
      <c r="I8093" t="s">
        <v>43</v>
      </c>
      <c r="J8093" t="s">
        <v>35</v>
      </c>
      <c r="K8093" t="s">
        <v>88</v>
      </c>
      <c r="L8093" t="s">
        <v>37</v>
      </c>
      <c r="M8093">
        <v>0</v>
      </c>
      <c r="N8093">
        <v>1</v>
      </c>
      <c r="O8093">
        <v>1402</v>
      </c>
      <c r="P8093">
        <v>1401</v>
      </c>
      <c r="Q8093">
        <f>32.5-19</f>
        <v>13.5</v>
      </c>
      <c r="R8093" t="s">
        <v>64</v>
      </c>
      <c r="AB8093" t="s">
        <v>86</v>
      </c>
      <c r="AC8093" t="s">
        <v>1140</v>
      </c>
    </row>
    <row r="8094" spans="1:30" x14ac:dyDescent="0.35">
      <c r="A8094" s="7">
        <v>43318</v>
      </c>
      <c r="B8094" t="s">
        <v>30</v>
      </c>
      <c r="C8094">
        <v>801</v>
      </c>
      <c r="D8094">
        <v>1</v>
      </c>
      <c r="E8094">
        <v>1</v>
      </c>
      <c r="F8094" t="s">
        <v>1139</v>
      </c>
      <c r="G8094" t="s">
        <v>32</v>
      </c>
      <c r="H8094" t="s">
        <v>33</v>
      </c>
      <c r="I8094" t="s">
        <v>34</v>
      </c>
      <c r="J8094" t="s">
        <v>44</v>
      </c>
      <c r="K8094" t="s">
        <v>36</v>
      </c>
      <c r="L8094" t="s">
        <v>37</v>
      </c>
      <c r="M8094">
        <v>0</v>
      </c>
      <c r="N8094">
        <v>0</v>
      </c>
      <c r="P8094">
        <v>1088</v>
      </c>
      <c r="Q8094">
        <f>180-85</f>
        <v>95</v>
      </c>
      <c r="R8094" t="s">
        <v>38</v>
      </c>
      <c r="AB8094" t="s">
        <v>86</v>
      </c>
      <c r="AC8094" t="s">
        <v>1140</v>
      </c>
    </row>
    <row r="8095" spans="1:30" x14ac:dyDescent="0.35">
      <c r="A8095" s="7">
        <v>43318</v>
      </c>
      <c r="B8095" t="s">
        <v>30</v>
      </c>
      <c r="C8095">
        <v>801</v>
      </c>
      <c r="D8095">
        <v>2</v>
      </c>
      <c r="E8095">
        <v>1</v>
      </c>
      <c r="F8095" t="s">
        <v>1139</v>
      </c>
      <c r="G8095" t="s">
        <v>32</v>
      </c>
      <c r="H8095" t="s">
        <v>33</v>
      </c>
      <c r="I8095" t="s">
        <v>34</v>
      </c>
      <c r="J8095" t="s">
        <v>44</v>
      </c>
      <c r="K8095" t="s">
        <v>36</v>
      </c>
      <c r="L8095" t="s">
        <v>45</v>
      </c>
      <c r="M8095">
        <v>0</v>
      </c>
      <c r="N8095">
        <v>0</v>
      </c>
      <c r="O8095">
        <v>1089</v>
      </c>
      <c r="Q8095">
        <f>160-85</f>
        <v>75</v>
      </c>
      <c r="R8095" t="s">
        <v>46</v>
      </c>
      <c r="S8095" t="s">
        <v>39</v>
      </c>
      <c r="AB8095" t="s">
        <v>86</v>
      </c>
      <c r="AC8095" t="s">
        <v>1140</v>
      </c>
    </row>
    <row r="8096" spans="1:30" x14ac:dyDescent="0.35">
      <c r="A8096" s="7">
        <v>43318</v>
      </c>
      <c r="B8096" t="s">
        <v>30</v>
      </c>
      <c r="C8096">
        <v>801</v>
      </c>
      <c r="D8096">
        <v>6</v>
      </c>
      <c r="E8096">
        <v>1</v>
      </c>
      <c r="F8096" t="s">
        <v>1139</v>
      </c>
      <c r="G8096" t="s">
        <v>32</v>
      </c>
      <c r="H8096" t="s">
        <v>33</v>
      </c>
      <c r="I8096" t="s">
        <v>34</v>
      </c>
      <c r="J8096" t="s">
        <v>44</v>
      </c>
      <c r="K8096" t="s">
        <v>36</v>
      </c>
      <c r="L8096" t="s">
        <v>45</v>
      </c>
      <c r="M8096">
        <v>0</v>
      </c>
      <c r="N8096">
        <v>0</v>
      </c>
      <c r="O8096">
        <v>1353</v>
      </c>
      <c r="Q8096">
        <f>175-90</f>
        <v>85</v>
      </c>
      <c r="R8096" t="s">
        <v>79</v>
      </c>
      <c r="S8096" t="s">
        <v>39</v>
      </c>
      <c r="AB8096" t="s">
        <v>86</v>
      </c>
      <c r="AC8096" t="s">
        <v>1140</v>
      </c>
    </row>
    <row r="8097" spans="1:30" x14ac:dyDescent="0.35">
      <c r="A8097" s="7">
        <v>43318</v>
      </c>
      <c r="B8097" t="s">
        <v>30</v>
      </c>
      <c r="C8097">
        <v>801</v>
      </c>
      <c r="D8097">
        <v>7</v>
      </c>
      <c r="E8097">
        <v>1</v>
      </c>
      <c r="F8097" t="s">
        <v>1139</v>
      </c>
      <c r="G8097" t="s">
        <v>32</v>
      </c>
      <c r="H8097" t="s">
        <v>33</v>
      </c>
      <c r="I8097" t="s">
        <v>34</v>
      </c>
      <c r="J8097" t="s">
        <v>44</v>
      </c>
      <c r="K8097" t="s">
        <v>36</v>
      </c>
      <c r="L8097" t="s">
        <v>45</v>
      </c>
      <c r="M8097">
        <v>0</v>
      </c>
      <c r="N8097">
        <v>0</v>
      </c>
      <c r="O8097">
        <v>1097</v>
      </c>
      <c r="Q8097">
        <f>185-90</f>
        <v>95</v>
      </c>
      <c r="R8097" t="s">
        <v>46</v>
      </c>
      <c r="S8097" t="s">
        <v>39</v>
      </c>
      <c r="AB8097" t="s">
        <v>86</v>
      </c>
      <c r="AC8097" t="s">
        <v>1140</v>
      </c>
    </row>
    <row r="8098" spans="1:30" x14ac:dyDescent="0.35">
      <c r="A8098" s="7">
        <v>43318</v>
      </c>
      <c r="B8098" t="s">
        <v>30</v>
      </c>
      <c r="C8098">
        <v>803</v>
      </c>
      <c r="D8098">
        <v>1</v>
      </c>
      <c r="E8098">
        <v>1</v>
      </c>
      <c r="F8098" t="s">
        <v>1139</v>
      </c>
      <c r="G8098" t="s">
        <v>32</v>
      </c>
      <c r="H8098" t="s">
        <v>33</v>
      </c>
      <c r="I8098" t="s">
        <v>34</v>
      </c>
      <c r="J8098" t="s">
        <v>44</v>
      </c>
      <c r="K8098" t="s">
        <v>36</v>
      </c>
      <c r="L8098" t="s">
        <v>37</v>
      </c>
      <c r="M8098">
        <v>0</v>
      </c>
      <c r="N8098">
        <v>0</v>
      </c>
      <c r="O8098">
        <v>1324</v>
      </c>
      <c r="Q8098">
        <f>175-95</f>
        <v>80</v>
      </c>
      <c r="R8098" t="s">
        <v>38</v>
      </c>
      <c r="AB8098" t="s">
        <v>86</v>
      </c>
      <c r="AC8098" t="s">
        <v>1140</v>
      </c>
    </row>
    <row r="8099" spans="1:30" x14ac:dyDescent="0.35">
      <c r="A8099" s="7">
        <v>43318</v>
      </c>
      <c r="B8099" t="s">
        <v>30</v>
      </c>
      <c r="C8099">
        <v>803</v>
      </c>
      <c r="D8099">
        <v>5</v>
      </c>
      <c r="E8099">
        <v>1</v>
      </c>
      <c r="F8099" t="s">
        <v>1139</v>
      </c>
      <c r="G8099" t="s">
        <v>32</v>
      </c>
      <c r="H8099" t="s">
        <v>33</v>
      </c>
      <c r="I8099" t="s">
        <v>34</v>
      </c>
      <c r="J8099" t="s">
        <v>44</v>
      </c>
      <c r="K8099" t="s">
        <v>36</v>
      </c>
      <c r="L8099" t="s">
        <v>45</v>
      </c>
      <c r="M8099">
        <v>0</v>
      </c>
      <c r="N8099">
        <v>0</v>
      </c>
      <c r="O8099">
        <v>1091</v>
      </c>
      <c r="Q8099">
        <f>180-95</f>
        <v>85</v>
      </c>
      <c r="R8099" t="s">
        <v>79</v>
      </c>
      <c r="S8099" t="s">
        <v>39</v>
      </c>
      <c r="AB8099" t="s">
        <v>86</v>
      </c>
      <c r="AC8099" t="s">
        <v>1140</v>
      </c>
    </row>
    <row r="8100" spans="1:30" x14ac:dyDescent="0.35">
      <c r="A8100" s="7">
        <v>43318</v>
      </c>
      <c r="B8100" t="s">
        <v>30</v>
      </c>
      <c r="C8100">
        <v>803</v>
      </c>
      <c r="D8100">
        <v>9</v>
      </c>
      <c r="E8100">
        <v>1</v>
      </c>
      <c r="F8100" t="s">
        <v>1139</v>
      </c>
      <c r="G8100" t="s">
        <v>32</v>
      </c>
      <c r="H8100" t="s">
        <v>33</v>
      </c>
      <c r="I8100" t="s">
        <v>34</v>
      </c>
      <c r="J8100" t="s">
        <v>44</v>
      </c>
      <c r="K8100" t="s">
        <v>36</v>
      </c>
      <c r="L8100" t="s">
        <v>45</v>
      </c>
      <c r="M8100">
        <v>0</v>
      </c>
      <c r="N8100">
        <v>0</v>
      </c>
      <c r="O8100">
        <v>1035</v>
      </c>
      <c r="Q8100">
        <f>180-90</f>
        <v>90</v>
      </c>
      <c r="R8100" t="s">
        <v>46</v>
      </c>
      <c r="S8100" t="s">
        <v>39</v>
      </c>
      <c r="AB8100" t="s">
        <v>86</v>
      </c>
      <c r="AC8100" t="s">
        <v>1140</v>
      </c>
    </row>
    <row r="8101" spans="1:30" x14ac:dyDescent="0.35">
      <c r="A8101" s="7">
        <v>43318</v>
      </c>
      <c r="B8101" t="s">
        <v>30</v>
      </c>
      <c r="C8101">
        <v>701</v>
      </c>
      <c r="D8101">
        <v>8</v>
      </c>
      <c r="E8101">
        <v>1</v>
      </c>
      <c r="F8101" t="s">
        <v>1139</v>
      </c>
      <c r="G8101" t="s">
        <v>32</v>
      </c>
      <c r="H8101" t="s">
        <v>33</v>
      </c>
      <c r="I8101" t="s">
        <v>58</v>
      </c>
      <c r="J8101" t="s">
        <v>44</v>
      </c>
      <c r="K8101" t="s">
        <v>36</v>
      </c>
      <c r="L8101" t="s">
        <v>45</v>
      </c>
      <c r="M8101">
        <v>0</v>
      </c>
      <c r="N8101">
        <v>0</v>
      </c>
      <c r="O8101">
        <v>1271</v>
      </c>
      <c r="Q8101">
        <f>36.5-13.5</f>
        <v>23</v>
      </c>
      <c r="R8101" t="s">
        <v>46</v>
      </c>
      <c r="S8101" t="s">
        <v>39</v>
      </c>
      <c r="Z8101" t="s">
        <v>102</v>
      </c>
      <c r="AB8101" t="s">
        <v>86</v>
      </c>
      <c r="AC8101" t="s">
        <v>1140</v>
      </c>
      <c r="AD8101" t="s">
        <v>1259</v>
      </c>
    </row>
    <row r="8102" spans="1:30" x14ac:dyDescent="0.35">
      <c r="A8102" s="7">
        <v>43318</v>
      </c>
      <c r="B8102" t="s">
        <v>30</v>
      </c>
      <c r="C8102">
        <v>703</v>
      </c>
      <c r="D8102">
        <v>4</v>
      </c>
      <c r="E8102">
        <v>1</v>
      </c>
      <c r="F8102" t="s">
        <v>1139</v>
      </c>
      <c r="G8102" t="s">
        <v>32</v>
      </c>
      <c r="H8102" t="s">
        <v>33</v>
      </c>
      <c r="I8102" t="s">
        <v>72</v>
      </c>
      <c r="J8102" t="s">
        <v>56</v>
      </c>
      <c r="AB8102" t="s">
        <v>86</v>
      </c>
      <c r="AC8102" t="s">
        <v>1140</v>
      </c>
    </row>
    <row r="8103" spans="1:30" x14ac:dyDescent="0.35">
      <c r="A8103" s="7">
        <v>43318</v>
      </c>
      <c r="B8103" t="s">
        <v>30</v>
      </c>
      <c r="C8103">
        <v>703</v>
      </c>
      <c r="D8103">
        <v>8</v>
      </c>
      <c r="E8103">
        <v>1</v>
      </c>
      <c r="F8103" t="s">
        <v>1139</v>
      </c>
      <c r="G8103" t="s">
        <v>32</v>
      </c>
      <c r="H8103" t="s">
        <v>33</v>
      </c>
      <c r="I8103" t="s">
        <v>72</v>
      </c>
      <c r="J8103" t="s">
        <v>56</v>
      </c>
      <c r="AB8103" t="s">
        <v>86</v>
      </c>
      <c r="AC8103" t="s">
        <v>1140</v>
      </c>
    </row>
    <row r="8104" spans="1:30" x14ac:dyDescent="0.35">
      <c r="A8104" s="7">
        <v>43318</v>
      </c>
      <c r="B8104" t="s">
        <v>30</v>
      </c>
      <c r="C8104">
        <v>801</v>
      </c>
      <c r="D8104">
        <v>9</v>
      </c>
      <c r="E8104">
        <v>2</v>
      </c>
      <c r="F8104" t="s">
        <v>1139</v>
      </c>
      <c r="G8104" t="s">
        <v>32</v>
      </c>
      <c r="H8104" t="s">
        <v>33</v>
      </c>
      <c r="I8104" t="s">
        <v>72</v>
      </c>
      <c r="J8104" t="s">
        <v>56</v>
      </c>
      <c r="AB8104" t="s">
        <v>86</v>
      </c>
      <c r="AC8104" t="s">
        <v>1140</v>
      </c>
    </row>
    <row r="8105" spans="1:30" x14ac:dyDescent="0.35">
      <c r="A8105" s="7">
        <v>43318</v>
      </c>
      <c r="B8105" t="s">
        <v>30</v>
      </c>
      <c r="C8105">
        <v>803</v>
      </c>
      <c r="D8105">
        <v>3</v>
      </c>
      <c r="E8105">
        <v>1</v>
      </c>
      <c r="F8105" t="s">
        <v>1139</v>
      </c>
      <c r="G8105" t="s">
        <v>32</v>
      </c>
      <c r="H8105" t="s">
        <v>33</v>
      </c>
      <c r="I8105" t="s">
        <v>72</v>
      </c>
      <c r="J8105" t="s">
        <v>66</v>
      </c>
      <c r="AB8105" t="s">
        <v>86</v>
      </c>
      <c r="AC8105" t="s">
        <v>1140</v>
      </c>
    </row>
    <row r="8106" spans="1:30" x14ac:dyDescent="0.35">
      <c r="A8106" s="7">
        <v>43318</v>
      </c>
      <c r="B8106" t="s">
        <v>30</v>
      </c>
      <c r="C8106">
        <v>803</v>
      </c>
      <c r="D8106">
        <v>3</v>
      </c>
      <c r="E8106">
        <v>2</v>
      </c>
      <c r="F8106" t="s">
        <v>1139</v>
      </c>
      <c r="G8106" t="s">
        <v>32</v>
      </c>
      <c r="H8106" t="s">
        <v>33</v>
      </c>
      <c r="I8106" t="s">
        <v>72</v>
      </c>
      <c r="J8106" t="s">
        <v>56</v>
      </c>
      <c r="AB8106" t="s">
        <v>86</v>
      </c>
      <c r="AC8106" t="s">
        <v>1140</v>
      </c>
    </row>
    <row r="8107" spans="1:30" x14ac:dyDescent="0.35">
      <c r="A8107" s="7">
        <v>43318</v>
      </c>
      <c r="B8107" t="s">
        <v>30</v>
      </c>
      <c r="C8107">
        <v>701</v>
      </c>
      <c r="D8107">
        <v>2</v>
      </c>
      <c r="E8107">
        <v>1</v>
      </c>
      <c r="F8107" t="s">
        <v>1139</v>
      </c>
      <c r="G8107" t="s">
        <v>32</v>
      </c>
      <c r="H8107" t="s">
        <v>33</v>
      </c>
      <c r="I8107" t="s">
        <v>59</v>
      </c>
      <c r="AB8107" t="s">
        <v>86</v>
      </c>
      <c r="AC8107" t="s">
        <v>1140</v>
      </c>
    </row>
    <row r="8108" spans="1:30" x14ac:dyDescent="0.35">
      <c r="A8108" s="7">
        <v>43318</v>
      </c>
      <c r="B8108" t="s">
        <v>30</v>
      </c>
      <c r="C8108">
        <v>701</v>
      </c>
      <c r="D8108">
        <v>10</v>
      </c>
      <c r="E8108">
        <v>1</v>
      </c>
      <c r="F8108" t="s">
        <v>1139</v>
      </c>
      <c r="G8108" t="s">
        <v>32</v>
      </c>
      <c r="H8108" t="s">
        <v>33</v>
      </c>
      <c r="I8108" t="s">
        <v>59</v>
      </c>
      <c r="AB8108" t="s">
        <v>86</v>
      </c>
      <c r="AC8108" t="s">
        <v>1140</v>
      </c>
    </row>
    <row r="8109" spans="1:30" x14ac:dyDescent="0.35">
      <c r="A8109" s="7">
        <v>43318</v>
      </c>
      <c r="B8109" t="s">
        <v>30</v>
      </c>
      <c r="C8109">
        <v>703</v>
      </c>
      <c r="D8109">
        <v>7</v>
      </c>
      <c r="E8109">
        <v>1</v>
      </c>
      <c r="F8109" t="s">
        <v>1139</v>
      </c>
      <c r="G8109" t="s">
        <v>32</v>
      </c>
      <c r="H8109" t="s">
        <v>33</v>
      </c>
      <c r="I8109" t="s">
        <v>59</v>
      </c>
      <c r="AB8109" t="s">
        <v>86</v>
      </c>
      <c r="AC8109" t="s">
        <v>1140</v>
      </c>
    </row>
    <row r="8110" spans="1:30" x14ac:dyDescent="0.35">
      <c r="A8110" s="7">
        <v>43318</v>
      </c>
      <c r="B8110" t="s">
        <v>30</v>
      </c>
      <c r="C8110">
        <v>703</v>
      </c>
      <c r="D8110">
        <v>7</v>
      </c>
      <c r="E8110">
        <v>2</v>
      </c>
      <c r="F8110" t="s">
        <v>1139</v>
      </c>
      <c r="G8110" t="s">
        <v>32</v>
      </c>
      <c r="H8110" t="s">
        <v>33</v>
      </c>
      <c r="I8110" t="s">
        <v>59</v>
      </c>
      <c r="AB8110" t="s">
        <v>86</v>
      </c>
      <c r="AC8110" t="s">
        <v>1140</v>
      </c>
    </row>
    <row r="8111" spans="1:30" x14ac:dyDescent="0.35">
      <c r="A8111" s="7">
        <v>43318</v>
      </c>
      <c r="B8111" t="s">
        <v>30</v>
      </c>
      <c r="C8111">
        <v>703</v>
      </c>
      <c r="D8111">
        <v>8</v>
      </c>
      <c r="E8111">
        <v>2</v>
      </c>
      <c r="F8111" t="s">
        <v>1139</v>
      </c>
      <c r="G8111" t="s">
        <v>32</v>
      </c>
      <c r="H8111" t="s">
        <v>33</v>
      </c>
      <c r="I8111" t="s">
        <v>59</v>
      </c>
      <c r="AB8111" t="s">
        <v>86</v>
      </c>
      <c r="AC8111" t="s">
        <v>1140</v>
      </c>
    </row>
    <row r="8112" spans="1:30" x14ac:dyDescent="0.35">
      <c r="A8112" s="7">
        <v>43318</v>
      </c>
      <c r="B8112" t="s">
        <v>30</v>
      </c>
      <c r="C8112">
        <v>703</v>
      </c>
      <c r="D8112">
        <v>10</v>
      </c>
      <c r="E8112">
        <v>1</v>
      </c>
      <c r="F8112" t="s">
        <v>1139</v>
      </c>
      <c r="G8112" t="s">
        <v>32</v>
      </c>
      <c r="H8112" t="s">
        <v>33</v>
      </c>
      <c r="I8112" t="s">
        <v>59</v>
      </c>
      <c r="AB8112" t="s">
        <v>86</v>
      </c>
      <c r="AC8112" t="s">
        <v>1140</v>
      </c>
    </row>
    <row r="8113" spans="1:30" x14ac:dyDescent="0.35">
      <c r="A8113" s="7">
        <v>43318</v>
      </c>
      <c r="B8113" t="s">
        <v>30</v>
      </c>
      <c r="C8113">
        <v>801</v>
      </c>
      <c r="D8113">
        <v>1</v>
      </c>
      <c r="E8113">
        <v>2</v>
      </c>
      <c r="F8113" t="s">
        <v>1139</v>
      </c>
      <c r="G8113" t="s">
        <v>32</v>
      </c>
      <c r="H8113" t="s">
        <v>33</v>
      </c>
      <c r="I8113" t="s">
        <v>59</v>
      </c>
      <c r="AB8113" t="s">
        <v>86</v>
      </c>
      <c r="AC8113" t="s">
        <v>1140</v>
      </c>
    </row>
    <row r="8114" spans="1:30" x14ac:dyDescent="0.35">
      <c r="A8114" s="7">
        <v>43318</v>
      </c>
      <c r="B8114" t="s">
        <v>30</v>
      </c>
      <c r="C8114">
        <v>801</v>
      </c>
      <c r="D8114">
        <v>2</v>
      </c>
      <c r="E8114">
        <v>2</v>
      </c>
      <c r="F8114" t="s">
        <v>1139</v>
      </c>
      <c r="G8114" t="s">
        <v>32</v>
      </c>
      <c r="H8114" t="s">
        <v>33</v>
      </c>
      <c r="I8114" t="s">
        <v>59</v>
      </c>
      <c r="AB8114" t="s">
        <v>86</v>
      </c>
      <c r="AC8114" t="s">
        <v>1140</v>
      </c>
    </row>
    <row r="8115" spans="1:30" x14ac:dyDescent="0.35">
      <c r="A8115" s="7">
        <v>43318</v>
      </c>
      <c r="B8115" t="s">
        <v>30</v>
      </c>
      <c r="C8115">
        <v>801</v>
      </c>
      <c r="D8115">
        <v>5</v>
      </c>
      <c r="E8115">
        <v>1</v>
      </c>
      <c r="F8115" t="s">
        <v>1139</v>
      </c>
      <c r="G8115" t="s">
        <v>32</v>
      </c>
      <c r="H8115" t="s">
        <v>33</v>
      </c>
      <c r="I8115" t="s">
        <v>59</v>
      </c>
      <c r="AB8115" t="s">
        <v>86</v>
      </c>
      <c r="AC8115" t="s">
        <v>1140</v>
      </c>
    </row>
    <row r="8116" spans="1:30" x14ac:dyDescent="0.35">
      <c r="A8116" s="7">
        <v>43318</v>
      </c>
      <c r="B8116" t="s">
        <v>30</v>
      </c>
      <c r="C8116">
        <v>801</v>
      </c>
      <c r="D8116">
        <v>10</v>
      </c>
      <c r="E8116">
        <v>1</v>
      </c>
      <c r="F8116" t="s">
        <v>1139</v>
      </c>
      <c r="G8116" t="s">
        <v>32</v>
      </c>
      <c r="H8116" t="s">
        <v>33</v>
      </c>
      <c r="I8116" t="s">
        <v>59</v>
      </c>
      <c r="AB8116" t="s">
        <v>86</v>
      </c>
      <c r="AC8116" t="s">
        <v>1140</v>
      </c>
    </row>
    <row r="8117" spans="1:30" x14ac:dyDescent="0.35">
      <c r="A8117" s="7">
        <v>43318</v>
      </c>
      <c r="B8117" t="s">
        <v>30</v>
      </c>
      <c r="C8117">
        <v>801</v>
      </c>
      <c r="D8117">
        <v>10</v>
      </c>
      <c r="E8117">
        <v>2</v>
      </c>
      <c r="F8117" t="s">
        <v>1139</v>
      </c>
      <c r="G8117" t="s">
        <v>32</v>
      </c>
      <c r="H8117" t="s">
        <v>33</v>
      </c>
      <c r="I8117" t="s">
        <v>59</v>
      </c>
      <c r="AB8117" t="s">
        <v>86</v>
      </c>
      <c r="AC8117" t="s">
        <v>1140</v>
      </c>
    </row>
    <row r="8118" spans="1:30" x14ac:dyDescent="0.35">
      <c r="A8118" s="7">
        <v>43318</v>
      </c>
      <c r="B8118" t="s">
        <v>30</v>
      </c>
      <c r="C8118">
        <v>803</v>
      </c>
      <c r="D8118">
        <v>4</v>
      </c>
      <c r="E8118">
        <v>1</v>
      </c>
      <c r="F8118" t="s">
        <v>1139</v>
      </c>
      <c r="G8118" t="s">
        <v>32</v>
      </c>
      <c r="H8118" t="s">
        <v>33</v>
      </c>
      <c r="I8118" t="s">
        <v>59</v>
      </c>
      <c r="AB8118" t="s">
        <v>86</v>
      </c>
      <c r="AC8118" t="s">
        <v>1140</v>
      </c>
    </row>
    <row r="8119" spans="1:30" x14ac:dyDescent="0.35">
      <c r="A8119" s="7">
        <v>43318</v>
      </c>
      <c r="B8119" t="s">
        <v>30</v>
      </c>
      <c r="C8119">
        <v>803</v>
      </c>
      <c r="D8119">
        <v>5</v>
      </c>
      <c r="E8119">
        <v>2</v>
      </c>
      <c r="F8119" t="s">
        <v>1139</v>
      </c>
      <c r="G8119" t="s">
        <v>32</v>
      </c>
      <c r="H8119" t="s">
        <v>33</v>
      </c>
      <c r="I8119" t="s">
        <v>59</v>
      </c>
      <c r="AB8119" t="s">
        <v>86</v>
      </c>
      <c r="AC8119" t="s">
        <v>1140</v>
      </c>
    </row>
    <row r="8120" spans="1:30" x14ac:dyDescent="0.35">
      <c r="A8120" s="7">
        <v>43318</v>
      </c>
      <c r="B8120" t="s">
        <v>30</v>
      </c>
      <c r="C8120">
        <v>901</v>
      </c>
      <c r="D8120">
        <v>8</v>
      </c>
      <c r="E8120">
        <v>1</v>
      </c>
      <c r="F8120" t="s">
        <v>1139</v>
      </c>
      <c r="G8120" t="s">
        <v>32</v>
      </c>
      <c r="H8120" t="s">
        <v>33</v>
      </c>
      <c r="I8120" t="s">
        <v>59</v>
      </c>
      <c r="AB8120" t="s">
        <v>86</v>
      </c>
      <c r="AC8120" t="s">
        <v>1140</v>
      </c>
    </row>
    <row r="8121" spans="1:30" x14ac:dyDescent="0.35">
      <c r="A8121" s="7">
        <v>43318</v>
      </c>
      <c r="B8121" t="s">
        <v>30</v>
      </c>
      <c r="C8121">
        <v>701</v>
      </c>
      <c r="D8121">
        <v>9</v>
      </c>
      <c r="E8121">
        <v>1</v>
      </c>
      <c r="F8121" t="s">
        <v>1139</v>
      </c>
      <c r="G8121" t="s">
        <v>32</v>
      </c>
      <c r="H8121" t="s">
        <v>33</v>
      </c>
      <c r="I8121" t="s">
        <v>94</v>
      </c>
      <c r="J8121" t="s">
        <v>44</v>
      </c>
      <c r="K8121" t="s">
        <v>36</v>
      </c>
      <c r="L8121" t="s">
        <v>45</v>
      </c>
      <c r="M8121">
        <v>0</v>
      </c>
      <c r="N8121">
        <v>0</v>
      </c>
      <c r="O8121">
        <v>2946</v>
      </c>
      <c r="Q8121">
        <f>33-14</f>
        <v>19</v>
      </c>
      <c r="R8121" t="s">
        <v>1021</v>
      </c>
      <c r="S8121" t="s">
        <v>102</v>
      </c>
      <c r="AB8121" t="s">
        <v>86</v>
      </c>
      <c r="AC8121" t="s">
        <v>1140</v>
      </c>
    </row>
    <row r="8122" spans="1:30" x14ac:dyDescent="0.35">
      <c r="A8122" s="7">
        <v>43319</v>
      </c>
      <c r="B8122" t="s">
        <v>30</v>
      </c>
      <c r="C8122">
        <v>111</v>
      </c>
      <c r="D8122">
        <v>1</v>
      </c>
      <c r="E8122">
        <v>2</v>
      </c>
      <c r="F8122" t="s">
        <v>1020</v>
      </c>
      <c r="G8122" t="s">
        <v>32</v>
      </c>
      <c r="H8122" t="s">
        <v>33</v>
      </c>
      <c r="I8122" t="s">
        <v>43</v>
      </c>
      <c r="J8122" t="s">
        <v>44</v>
      </c>
      <c r="K8122" t="s">
        <v>113</v>
      </c>
      <c r="L8122" t="s">
        <v>45</v>
      </c>
      <c r="M8122">
        <v>0</v>
      </c>
      <c r="N8122">
        <v>0</v>
      </c>
      <c r="O8122">
        <v>1308</v>
      </c>
      <c r="P8122">
        <v>1307</v>
      </c>
      <c r="Q8122">
        <f>24-10.25</f>
        <v>13.75</v>
      </c>
      <c r="R8122" t="s">
        <v>46</v>
      </c>
      <c r="S8122" t="s">
        <v>39</v>
      </c>
      <c r="AB8122" t="s">
        <v>86</v>
      </c>
      <c r="AC8122" t="s">
        <v>87</v>
      </c>
    </row>
    <row r="8123" spans="1:30" x14ac:dyDescent="0.35">
      <c r="A8123" s="7">
        <v>43319</v>
      </c>
      <c r="B8123" t="s">
        <v>30</v>
      </c>
      <c r="C8123">
        <v>111</v>
      </c>
      <c r="D8123">
        <v>2</v>
      </c>
      <c r="E8123">
        <v>1</v>
      </c>
      <c r="F8123" t="s">
        <v>1020</v>
      </c>
      <c r="G8123" t="s">
        <v>32</v>
      </c>
      <c r="H8123" t="s">
        <v>33</v>
      </c>
      <c r="I8123" t="s">
        <v>43</v>
      </c>
      <c r="J8123" t="s">
        <v>44</v>
      </c>
      <c r="K8123" t="s">
        <v>88</v>
      </c>
      <c r="L8123" t="s">
        <v>45</v>
      </c>
      <c r="M8123">
        <v>0</v>
      </c>
      <c r="N8123">
        <v>0</v>
      </c>
      <c r="O8123">
        <v>1306</v>
      </c>
      <c r="P8123">
        <v>1305</v>
      </c>
      <c r="Q8123">
        <f>23-10</f>
        <v>13</v>
      </c>
      <c r="R8123" t="s">
        <v>46</v>
      </c>
      <c r="S8123" t="s">
        <v>39</v>
      </c>
      <c r="AB8123" t="s">
        <v>86</v>
      </c>
      <c r="AC8123" t="s">
        <v>87</v>
      </c>
      <c r="AD8123" t="s">
        <v>1260</v>
      </c>
    </row>
    <row r="8124" spans="1:30" x14ac:dyDescent="0.35">
      <c r="A8124" s="7">
        <v>43319</v>
      </c>
      <c r="B8124" t="s">
        <v>30</v>
      </c>
      <c r="C8124">
        <v>111</v>
      </c>
      <c r="D8124">
        <v>4</v>
      </c>
      <c r="E8124">
        <v>2</v>
      </c>
      <c r="F8124" t="s">
        <v>1020</v>
      </c>
      <c r="G8124" t="s">
        <v>32</v>
      </c>
      <c r="H8124" t="s">
        <v>33</v>
      </c>
      <c r="I8124" t="s">
        <v>43</v>
      </c>
      <c r="J8124" t="s">
        <v>44</v>
      </c>
      <c r="K8124" t="s">
        <v>88</v>
      </c>
      <c r="L8124" t="s">
        <v>37</v>
      </c>
      <c r="M8124">
        <v>0</v>
      </c>
      <c r="N8124">
        <v>0</v>
      </c>
      <c r="O8124">
        <v>1314</v>
      </c>
      <c r="P8124">
        <v>1313</v>
      </c>
      <c r="Q8124">
        <f>25-10.5</f>
        <v>14.5</v>
      </c>
      <c r="R8124" t="s">
        <v>64</v>
      </c>
      <c r="AB8124" t="s">
        <v>86</v>
      </c>
      <c r="AC8124" t="s">
        <v>87</v>
      </c>
    </row>
    <row r="8125" spans="1:30" x14ac:dyDescent="0.35">
      <c r="A8125" s="7">
        <v>43319</v>
      </c>
      <c r="B8125" t="s">
        <v>30</v>
      </c>
      <c r="C8125">
        <v>111</v>
      </c>
      <c r="D8125">
        <v>5</v>
      </c>
      <c r="E8125">
        <v>1</v>
      </c>
      <c r="F8125" t="s">
        <v>1020</v>
      </c>
      <c r="G8125" t="s">
        <v>32</v>
      </c>
      <c r="H8125" t="s">
        <v>33</v>
      </c>
      <c r="I8125" t="s">
        <v>43</v>
      </c>
      <c r="J8125" t="s">
        <v>44</v>
      </c>
      <c r="K8125" t="s">
        <v>36</v>
      </c>
      <c r="L8125" t="s">
        <v>45</v>
      </c>
      <c r="M8125">
        <v>0</v>
      </c>
      <c r="N8125">
        <v>0</v>
      </c>
      <c r="O8125">
        <v>2463</v>
      </c>
      <c r="P8125">
        <v>2462</v>
      </c>
      <c r="Q8125">
        <f>30-11</f>
        <v>19</v>
      </c>
      <c r="R8125" t="s">
        <v>79</v>
      </c>
      <c r="S8125" t="s">
        <v>39</v>
      </c>
      <c r="AB8125" t="s">
        <v>86</v>
      </c>
      <c r="AC8125" t="s">
        <v>87</v>
      </c>
    </row>
    <row r="8126" spans="1:30" x14ac:dyDescent="0.35">
      <c r="A8126" s="7">
        <v>43319</v>
      </c>
      <c r="B8126" t="s">
        <v>30</v>
      </c>
      <c r="C8126">
        <v>111</v>
      </c>
      <c r="D8126">
        <v>5</v>
      </c>
      <c r="E8126">
        <v>2</v>
      </c>
      <c r="F8126" t="s">
        <v>1020</v>
      </c>
      <c r="G8126" t="s">
        <v>32</v>
      </c>
      <c r="H8126" t="s">
        <v>33</v>
      </c>
      <c r="I8126" t="s">
        <v>43</v>
      </c>
      <c r="J8126" t="s">
        <v>44</v>
      </c>
      <c r="K8126" t="s">
        <v>113</v>
      </c>
      <c r="L8126" t="s">
        <v>45</v>
      </c>
      <c r="M8126">
        <v>0</v>
      </c>
      <c r="N8126">
        <v>0</v>
      </c>
      <c r="O8126">
        <v>1063</v>
      </c>
      <c r="P8126">
        <v>1062</v>
      </c>
      <c r="Q8126">
        <f>27.25-12</f>
        <v>15.25</v>
      </c>
      <c r="R8126" t="s">
        <v>46</v>
      </c>
      <c r="S8126" t="s">
        <v>39</v>
      </c>
      <c r="AB8126" t="s">
        <v>86</v>
      </c>
      <c r="AC8126" t="s">
        <v>87</v>
      </c>
    </row>
    <row r="8127" spans="1:30" x14ac:dyDescent="0.35">
      <c r="A8127" s="7">
        <v>43319</v>
      </c>
      <c r="B8127" t="s">
        <v>30</v>
      </c>
      <c r="C8127">
        <v>111</v>
      </c>
      <c r="D8127">
        <v>6</v>
      </c>
      <c r="E8127">
        <v>1</v>
      </c>
      <c r="F8127" t="s">
        <v>1020</v>
      </c>
      <c r="G8127" t="s">
        <v>32</v>
      </c>
      <c r="H8127" t="s">
        <v>33</v>
      </c>
      <c r="I8127" t="s">
        <v>43</v>
      </c>
      <c r="J8127" t="s">
        <v>44</v>
      </c>
      <c r="K8127" t="s">
        <v>88</v>
      </c>
      <c r="L8127" t="s">
        <v>37</v>
      </c>
      <c r="M8127">
        <v>0</v>
      </c>
      <c r="N8127">
        <v>0</v>
      </c>
      <c r="O8127">
        <v>1316</v>
      </c>
      <c r="P8127">
        <v>1315</v>
      </c>
      <c r="Q8127">
        <f>23-9.5</f>
        <v>13.5</v>
      </c>
      <c r="R8127" t="s">
        <v>64</v>
      </c>
      <c r="AB8127" t="s">
        <v>86</v>
      </c>
      <c r="AC8127" t="s">
        <v>87</v>
      </c>
    </row>
    <row r="8128" spans="1:30" x14ac:dyDescent="0.35">
      <c r="A8128" s="7">
        <v>43319</v>
      </c>
      <c r="B8128" t="s">
        <v>30</v>
      </c>
      <c r="C8128">
        <v>112</v>
      </c>
      <c r="D8128">
        <v>4</v>
      </c>
      <c r="E8128">
        <v>2</v>
      </c>
      <c r="F8128" t="s">
        <v>1020</v>
      </c>
      <c r="G8128" t="s">
        <v>32</v>
      </c>
      <c r="H8128" t="s">
        <v>33</v>
      </c>
      <c r="I8128" t="s">
        <v>43</v>
      </c>
      <c r="J8128" t="s">
        <v>44</v>
      </c>
      <c r="K8128" t="s">
        <v>113</v>
      </c>
      <c r="L8128" t="s">
        <v>45</v>
      </c>
      <c r="M8128">
        <v>0</v>
      </c>
      <c r="N8128">
        <v>0</v>
      </c>
      <c r="O8128">
        <v>1332</v>
      </c>
      <c r="P8128">
        <v>1331</v>
      </c>
      <c r="Q8128">
        <f>27-12</f>
        <v>15</v>
      </c>
      <c r="R8128" t="s">
        <v>46</v>
      </c>
      <c r="S8128" t="s">
        <v>39</v>
      </c>
      <c r="AB8128" t="s">
        <v>86</v>
      </c>
      <c r="AC8128" t="s">
        <v>87</v>
      </c>
      <c r="AD8128" t="s">
        <v>1261</v>
      </c>
    </row>
    <row r="8129" spans="1:30" x14ac:dyDescent="0.35">
      <c r="A8129" s="7">
        <v>43319</v>
      </c>
      <c r="B8129" t="s">
        <v>30</v>
      </c>
      <c r="C8129">
        <v>112</v>
      </c>
      <c r="D8129">
        <v>6</v>
      </c>
      <c r="E8129">
        <v>1</v>
      </c>
      <c r="F8129" t="s">
        <v>1020</v>
      </c>
      <c r="G8129" t="s">
        <v>32</v>
      </c>
      <c r="H8129" t="s">
        <v>33</v>
      </c>
      <c r="I8129" t="s">
        <v>43</v>
      </c>
      <c r="J8129" t="s">
        <v>44</v>
      </c>
      <c r="K8129" t="s">
        <v>113</v>
      </c>
      <c r="L8129" t="s">
        <v>37</v>
      </c>
      <c r="M8129">
        <v>0</v>
      </c>
      <c r="N8129">
        <v>0</v>
      </c>
      <c r="O8129">
        <v>1334</v>
      </c>
      <c r="P8129">
        <v>1333</v>
      </c>
      <c r="Q8129">
        <f>26-10.5</f>
        <v>15.5</v>
      </c>
      <c r="R8129" t="s">
        <v>64</v>
      </c>
      <c r="AB8129" t="s">
        <v>86</v>
      </c>
      <c r="AC8129" t="s">
        <v>87</v>
      </c>
    </row>
    <row r="8130" spans="1:30" x14ac:dyDescent="0.35">
      <c r="A8130" s="7">
        <v>43319</v>
      </c>
      <c r="B8130" t="s">
        <v>30</v>
      </c>
      <c r="C8130">
        <v>112</v>
      </c>
      <c r="D8130">
        <v>10</v>
      </c>
      <c r="E8130">
        <v>1</v>
      </c>
      <c r="F8130" t="s">
        <v>1020</v>
      </c>
      <c r="G8130" t="s">
        <v>32</v>
      </c>
      <c r="H8130" t="s">
        <v>33</v>
      </c>
      <c r="I8130" t="s">
        <v>43</v>
      </c>
      <c r="J8130" t="s">
        <v>44</v>
      </c>
      <c r="K8130" t="s">
        <v>113</v>
      </c>
      <c r="L8130" t="s">
        <v>45</v>
      </c>
      <c r="M8130">
        <v>0</v>
      </c>
      <c r="N8130">
        <v>0</v>
      </c>
      <c r="O8130">
        <v>1337</v>
      </c>
      <c r="P8130">
        <v>1336</v>
      </c>
      <c r="Q8130">
        <f>29-11</f>
        <v>18</v>
      </c>
      <c r="R8130" t="s">
        <v>46</v>
      </c>
      <c r="S8130" t="s">
        <v>39</v>
      </c>
      <c r="AB8130" t="s">
        <v>86</v>
      </c>
      <c r="AC8130" t="s">
        <v>87</v>
      </c>
    </row>
    <row r="8131" spans="1:30" x14ac:dyDescent="0.35">
      <c r="A8131" s="7">
        <v>43319</v>
      </c>
      <c r="B8131" t="s">
        <v>30</v>
      </c>
      <c r="C8131">
        <v>113</v>
      </c>
      <c r="D8131">
        <v>2</v>
      </c>
      <c r="E8131">
        <v>1</v>
      </c>
      <c r="F8131" t="s">
        <v>1020</v>
      </c>
      <c r="G8131" t="s">
        <v>32</v>
      </c>
      <c r="H8131" t="s">
        <v>33</v>
      </c>
      <c r="I8131" t="s">
        <v>43</v>
      </c>
      <c r="J8131" t="s">
        <v>35</v>
      </c>
      <c r="K8131" t="s">
        <v>88</v>
      </c>
      <c r="L8131" t="s">
        <v>45</v>
      </c>
      <c r="M8131">
        <v>0</v>
      </c>
      <c r="N8131">
        <v>1</v>
      </c>
      <c r="O8131">
        <v>1427</v>
      </c>
      <c r="P8131">
        <v>1426</v>
      </c>
      <c r="Q8131">
        <f>23.5-10</f>
        <v>13.5</v>
      </c>
      <c r="R8131" t="s">
        <v>46</v>
      </c>
      <c r="S8131" t="s">
        <v>39</v>
      </c>
      <c r="AB8131" t="s">
        <v>86</v>
      </c>
      <c r="AC8131" t="s">
        <v>87</v>
      </c>
      <c r="AD8131" t="s">
        <v>1262</v>
      </c>
    </row>
    <row r="8132" spans="1:30" x14ac:dyDescent="0.35">
      <c r="A8132" s="7">
        <v>43319</v>
      </c>
      <c r="B8132" t="s">
        <v>30</v>
      </c>
      <c r="C8132">
        <v>113</v>
      </c>
      <c r="D8132">
        <v>6</v>
      </c>
      <c r="E8132">
        <v>2</v>
      </c>
      <c r="F8132" t="s">
        <v>1020</v>
      </c>
      <c r="G8132" t="s">
        <v>32</v>
      </c>
      <c r="H8132" t="s">
        <v>33</v>
      </c>
      <c r="I8132" t="s">
        <v>43</v>
      </c>
      <c r="J8132" t="s">
        <v>35</v>
      </c>
      <c r="K8132" t="s">
        <v>113</v>
      </c>
      <c r="L8132" t="s">
        <v>45</v>
      </c>
      <c r="M8132">
        <v>0</v>
      </c>
      <c r="N8132">
        <v>1</v>
      </c>
      <c r="O8132">
        <v>1429</v>
      </c>
      <c r="P8132">
        <v>1428</v>
      </c>
      <c r="Q8132">
        <f>28.25-11.25</f>
        <v>17</v>
      </c>
      <c r="R8132" t="s">
        <v>46</v>
      </c>
      <c r="S8132" t="s">
        <v>39</v>
      </c>
      <c r="AB8132" t="s">
        <v>86</v>
      </c>
      <c r="AC8132" t="s">
        <v>87</v>
      </c>
      <c r="AD8132" t="s">
        <v>1263</v>
      </c>
    </row>
    <row r="8133" spans="1:30" x14ac:dyDescent="0.35">
      <c r="A8133" s="7">
        <v>43319</v>
      </c>
      <c r="B8133" t="s">
        <v>30</v>
      </c>
      <c r="C8133">
        <v>113</v>
      </c>
      <c r="D8133">
        <v>8</v>
      </c>
      <c r="E8133">
        <v>1</v>
      </c>
      <c r="F8133" t="s">
        <v>1020</v>
      </c>
      <c r="G8133" t="s">
        <v>32</v>
      </c>
      <c r="H8133" t="s">
        <v>33</v>
      </c>
      <c r="I8133" t="s">
        <v>43</v>
      </c>
      <c r="J8133" t="s">
        <v>35</v>
      </c>
      <c r="K8133" t="s">
        <v>36</v>
      </c>
      <c r="L8133" t="s">
        <v>45</v>
      </c>
      <c r="M8133">
        <v>0</v>
      </c>
      <c r="N8133">
        <v>1</v>
      </c>
      <c r="O8133">
        <v>1431</v>
      </c>
      <c r="P8133">
        <v>1430</v>
      </c>
      <c r="Q8133">
        <f>31-11</f>
        <v>20</v>
      </c>
      <c r="R8133" t="s">
        <v>79</v>
      </c>
      <c r="S8133" t="s">
        <v>39</v>
      </c>
      <c r="AB8133" t="s">
        <v>86</v>
      </c>
      <c r="AC8133" t="s">
        <v>87</v>
      </c>
    </row>
    <row r="8134" spans="1:30" x14ac:dyDescent="0.35">
      <c r="A8134" s="7">
        <v>43319</v>
      </c>
      <c r="B8134" t="s">
        <v>30</v>
      </c>
      <c r="C8134">
        <v>113</v>
      </c>
      <c r="D8134">
        <v>9</v>
      </c>
      <c r="E8134">
        <v>1</v>
      </c>
      <c r="F8134" t="s">
        <v>1020</v>
      </c>
      <c r="G8134" t="s">
        <v>32</v>
      </c>
      <c r="H8134" t="s">
        <v>33</v>
      </c>
      <c r="I8134" t="s">
        <v>43</v>
      </c>
      <c r="J8134" t="s">
        <v>35</v>
      </c>
      <c r="K8134" t="s">
        <v>113</v>
      </c>
      <c r="L8134" t="s">
        <v>45</v>
      </c>
      <c r="M8134">
        <v>0</v>
      </c>
      <c r="N8134">
        <v>1</v>
      </c>
      <c r="O8134">
        <v>1433</v>
      </c>
      <c r="P8134">
        <v>1432</v>
      </c>
      <c r="Q8134">
        <f>29.5-13.75</f>
        <v>15.75</v>
      </c>
      <c r="R8134" t="s">
        <v>46</v>
      </c>
      <c r="S8134" t="s">
        <v>39</v>
      </c>
      <c r="AB8134" t="s">
        <v>86</v>
      </c>
      <c r="AC8134" t="s">
        <v>87</v>
      </c>
    </row>
    <row r="8135" spans="1:30" x14ac:dyDescent="0.35">
      <c r="A8135" s="7">
        <v>43319</v>
      </c>
      <c r="B8135" t="s">
        <v>30</v>
      </c>
      <c r="C8135">
        <v>201</v>
      </c>
      <c r="D8135">
        <v>2</v>
      </c>
      <c r="E8135">
        <v>1</v>
      </c>
      <c r="F8135" t="s">
        <v>1139</v>
      </c>
      <c r="G8135" t="s">
        <v>32</v>
      </c>
      <c r="H8135" t="s">
        <v>33</v>
      </c>
      <c r="I8135" t="s">
        <v>43</v>
      </c>
      <c r="J8135" t="s">
        <v>35</v>
      </c>
      <c r="K8135" t="s">
        <v>113</v>
      </c>
      <c r="L8135" t="s">
        <v>45</v>
      </c>
      <c r="M8135">
        <v>0</v>
      </c>
      <c r="N8135">
        <v>1</v>
      </c>
      <c r="O8135">
        <v>1404</v>
      </c>
      <c r="P8135">
        <v>1403</v>
      </c>
      <c r="Q8135">
        <f>27.5-13</f>
        <v>14.5</v>
      </c>
      <c r="R8135" t="s">
        <v>1021</v>
      </c>
      <c r="S8135" t="s">
        <v>102</v>
      </c>
      <c r="AB8135" t="s">
        <v>86</v>
      </c>
      <c r="AC8135" t="s">
        <v>1140</v>
      </c>
    </row>
    <row r="8136" spans="1:30" x14ac:dyDescent="0.35">
      <c r="A8136" s="7">
        <v>43319</v>
      </c>
      <c r="B8136" t="s">
        <v>30</v>
      </c>
      <c r="C8136">
        <v>201</v>
      </c>
      <c r="D8136">
        <v>3</v>
      </c>
      <c r="E8136">
        <v>1</v>
      </c>
      <c r="F8136" t="s">
        <v>1139</v>
      </c>
      <c r="G8136" t="s">
        <v>32</v>
      </c>
      <c r="H8136" t="s">
        <v>33</v>
      </c>
      <c r="I8136" t="s">
        <v>43</v>
      </c>
      <c r="J8136" t="s">
        <v>35</v>
      </c>
      <c r="K8136" t="s">
        <v>113</v>
      </c>
      <c r="L8136" t="s">
        <v>37</v>
      </c>
      <c r="M8136">
        <v>0</v>
      </c>
      <c r="N8136">
        <v>1</v>
      </c>
      <c r="O8136">
        <v>1406</v>
      </c>
      <c r="P8136">
        <v>1405</v>
      </c>
      <c r="Q8136">
        <f>28.5-15</f>
        <v>13.5</v>
      </c>
      <c r="R8136" t="s">
        <v>64</v>
      </c>
      <c r="AB8136" t="s">
        <v>86</v>
      </c>
      <c r="AC8136" t="s">
        <v>1140</v>
      </c>
    </row>
    <row r="8137" spans="1:30" x14ac:dyDescent="0.35">
      <c r="A8137" s="7">
        <v>43319</v>
      </c>
      <c r="B8137" t="s">
        <v>30</v>
      </c>
      <c r="C8137">
        <v>201</v>
      </c>
      <c r="D8137">
        <v>4</v>
      </c>
      <c r="E8137">
        <v>1</v>
      </c>
      <c r="F8137" t="s">
        <v>1139</v>
      </c>
      <c r="G8137" t="s">
        <v>32</v>
      </c>
      <c r="H8137" t="s">
        <v>33</v>
      </c>
      <c r="I8137" t="s">
        <v>43</v>
      </c>
      <c r="J8137" t="s">
        <v>44</v>
      </c>
      <c r="K8137" t="s">
        <v>36</v>
      </c>
      <c r="L8137" t="s">
        <v>45</v>
      </c>
      <c r="M8137">
        <v>0</v>
      </c>
      <c r="N8137">
        <v>0</v>
      </c>
      <c r="O8137">
        <v>1283</v>
      </c>
      <c r="P8137">
        <v>1282</v>
      </c>
      <c r="Q8137">
        <f>33-17.5</f>
        <v>15.5</v>
      </c>
      <c r="R8137" t="s">
        <v>46</v>
      </c>
      <c r="S8137" t="s">
        <v>39</v>
      </c>
      <c r="AB8137" t="s">
        <v>86</v>
      </c>
      <c r="AC8137" t="s">
        <v>1140</v>
      </c>
    </row>
    <row r="8138" spans="1:30" x14ac:dyDescent="0.35">
      <c r="A8138" s="7">
        <v>43319</v>
      </c>
      <c r="B8138" t="s">
        <v>30</v>
      </c>
      <c r="C8138">
        <v>201</v>
      </c>
      <c r="D8138">
        <v>6</v>
      </c>
      <c r="E8138">
        <v>1</v>
      </c>
      <c r="F8138" t="s">
        <v>1139</v>
      </c>
      <c r="G8138" t="s">
        <v>32</v>
      </c>
      <c r="H8138" t="s">
        <v>33</v>
      </c>
      <c r="I8138" t="s">
        <v>43</v>
      </c>
      <c r="J8138" t="s">
        <v>35</v>
      </c>
      <c r="K8138" t="s">
        <v>36</v>
      </c>
      <c r="L8138" t="s">
        <v>45</v>
      </c>
      <c r="M8138">
        <v>0</v>
      </c>
      <c r="N8138">
        <v>1</v>
      </c>
      <c r="O8138">
        <v>1408</v>
      </c>
      <c r="P8138">
        <v>1407</v>
      </c>
      <c r="Q8138">
        <f>33-11</f>
        <v>22</v>
      </c>
      <c r="R8138" t="s">
        <v>46</v>
      </c>
      <c r="S8138" t="s">
        <v>39</v>
      </c>
      <c r="AB8138" t="s">
        <v>86</v>
      </c>
      <c r="AC8138" t="s">
        <v>1140</v>
      </c>
    </row>
    <row r="8139" spans="1:30" x14ac:dyDescent="0.35">
      <c r="A8139" s="7">
        <v>43319</v>
      </c>
      <c r="B8139" t="s">
        <v>30</v>
      </c>
      <c r="C8139">
        <v>201</v>
      </c>
      <c r="D8139">
        <v>7</v>
      </c>
      <c r="E8139">
        <v>1</v>
      </c>
      <c r="F8139" t="s">
        <v>1139</v>
      </c>
      <c r="G8139" t="s">
        <v>32</v>
      </c>
      <c r="H8139" t="s">
        <v>33</v>
      </c>
      <c r="I8139" t="s">
        <v>43</v>
      </c>
      <c r="J8139" t="s">
        <v>35</v>
      </c>
      <c r="K8139" t="s">
        <v>88</v>
      </c>
      <c r="L8139" t="s">
        <v>37</v>
      </c>
      <c r="M8139">
        <v>0</v>
      </c>
      <c r="N8139">
        <v>1</v>
      </c>
      <c r="O8139">
        <v>1410</v>
      </c>
      <c r="P8139">
        <v>1411</v>
      </c>
      <c r="Q8139">
        <f>26-11.5</f>
        <v>14.5</v>
      </c>
      <c r="R8139" t="s">
        <v>64</v>
      </c>
      <c r="Z8139" t="s">
        <v>102</v>
      </c>
      <c r="AB8139" t="s">
        <v>86</v>
      </c>
      <c r="AC8139" t="s">
        <v>1140</v>
      </c>
    </row>
    <row r="8140" spans="1:30" x14ac:dyDescent="0.35">
      <c r="A8140" s="7">
        <v>43319</v>
      </c>
      <c r="B8140" t="s">
        <v>30</v>
      </c>
      <c r="C8140">
        <v>201</v>
      </c>
      <c r="D8140">
        <v>7</v>
      </c>
      <c r="E8140">
        <v>2</v>
      </c>
      <c r="F8140" t="s">
        <v>1139</v>
      </c>
      <c r="G8140" t="s">
        <v>32</v>
      </c>
      <c r="H8140" t="s">
        <v>33</v>
      </c>
      <c r="I8140" t="s">
        <v>43</v>
      </c>
      <c r="J8140" t="s">
        <v>35</v>
      </c>
      <c r="K8140" t="s">
        <v>36</v>
      </c>
      <c r="L8140" t="s">
        <v>45</v>
      </c>
      <c r="M8140">
        <v>0</v>
      </c>
      <c r="N8140">
        <v>1</v>
      </c>
      <c r="O8140">
        <v>1413</v>
      </c>
      <c r="P8140">
        <v>1412</v>
      </c>
      <c r="Q8140">
        <f>29.5-11.5</f>
        <v>18</v>
      </c>
      <c r="R8140" t="s">
        <v>46</v>
      </c>
      <c r="S8140" t="s">
        <v>39</v>
      </c>
      <c r="Z8140" t="s">
        <v>102</v>
      </c>
      <c r="AB8140" t="s">
        <v>86</v>
      </c>
      <c r="AC8140" t="s">
        <v>1140</v>
      </c>
    </row>
    <row r="8141" spans="1:30" x14ac:dyDescent="0.35">
      <c r="A8141" s="7">
        <v>43319</v>
      </c>
      <c r="B8141" t="s">
        <v>30</v>
      </c>
      <c r="C8141">
        <v>201</v>
      </c>
      <c r="D8141">
        <v>10</v>
      </c>
      <c r="E8141">
        <v>1</v>
      </c>
      <c r="F8141" t="s">
        <v>1139</v>
      </c>
      <c r="G8141" t="s">
        <v>32</v>
      </c>
      <c r="H8141" t="s">
        <v>33</v>
      </c>
      <c r="I8141" t="s">
        <v>43</v>
      </c>
      <c r="J8141" t="s">
        <v>35</v>
      </c>
      <c r="K8141" t="s">
        <v>113</v>
      </c>
      <c r="L8141" t="s">
        <v>45</v>
      </c>
      <c r="M8141">
        <v>0</v>
      </c>
      <c r="N8141">
        <v>1</v>
      </c>
      <c r="O8141">
        <v>1415</v>
      </c>
      <c r="P8141">
        <v>1414</v>
      </c>
      <c r="Q8141">
        <f>25-12</f>
        <v>13</v>
      </c>
      <c r="R8141" t="s">
        <v>46</v>
      </c>
      <c r="S8141" t="s">
        <v>39</v>
      </c>
      <c r="AB8141" t="s">
        <v>86</v>
      </c>
      <c r="AC8141" t="s">
        <v>1140</v>
      </c>
    </row>
    <row r="8142" spans="1:30" x14ac:dyDescent="0.35">
      <c r="A8142" s="7">
        <v>43319</v>
      </c>
      <c r="B8142" t="s">
        <v>30</v>
      </c>
      <c r="C8142">
        <v>201</v>
      </c>
      <c r="D8142">
        <v>10</v>
      </c>
      <c r="E8142">
        <v>2</v>
      </c>
      <c r="F8142" t="s">
        <v>1139</v>
      </c>
      <c r="G8142" t="s">
        <v>32</v>
      </c>
      <c r="H8142" t="s">
        <v>33</v>
      </c>
      <c r="I8142" t="s">
        <v>43</v>
      </c>
      <c r="J8142" t="s">
        <v>44</v>
      </c>
      <c r="K8142" t="s">
        <v>113</v>
      </c>
      <c r="L8142" t="s">
        <v>37</v>
      </c>
      <c r="M8142">
        <v>0</v>
      </c>
      <c r="N8142">
        <v>0</v>
      </c>
      <c r="O8142">
        <v>1196</v>
      </c>
      <c r="P8142">
        <v>1195</v>
      </c>
      <c r="Q8142">
        <f>28-14</f>
        <v>14</v>
      </c>
      <c r="R8142" t="s">
        <v>64</v>
      </c>
      <c r="Z8142" t="s">
        <v>102</v>
      </c>
      <c r="AB8142" t="s">
        <v>86</v>
      </c>
      <c r="AC8142" t="s">
        <v>1140</v>
      </c>
    </row>
    <row r="8143" spans="1:30" x14ac:dyDescent="0.35">
      <c r="A8143" s="7">
        <v>43319</v>
      </c>
      <c r="B8143" t="s">
        <v>30</v>
      </c>
      <c r="C8143">
        <v>202</v>
      </c>
      <c r="D8143">
        <v>5</v>
      </c>
      <c r="E8143">
        <v>2</v>
      </c>
      <c r="F8143" t="s">
        <v>1139</v>
      </c>
      <c r="G8143" t="s">
        <v>32</v>
      </c>
      <c r="H8143" t="s">
        <v>33</v>
      </c>
      <c r="I8143" t="s">
        <v>43</v>
      </c>
      <c r="J8143" t="s">
        <v>44</v>
      </c>
      <c r="K8143" t="s">
        <v>113</v>
      </c>
      <c r="L8143" t="s">
        <v>37</v>
      </c>
      <c r="M8143">
        <v>0</v>
      </c>
      <c r="N8143">
        <v>0</v>
      </c>
      <c r="O8143">
        <v>1293</v>
      </c>
      <c r="P8143">
        <v>1292</v>
      </c>
      <c r="Q8143">
        <f>29-16</f>
        <v>13</v>
      </c>
      <c r="R8143" t="s">
        <v>64</v>
      </c>
      <c r="AB8143" t="s">
        <v>86</v>
      </c>
      <c r="AC8143" t="s">
        <v>1140</v>
      </c>
    </row>
    <row r="8144" spans="1:30" x14ac:dyDescent="0.35">
      <c r="A8144" s="7">
        <v>43319</v>
      </c>
      <c r="B8144" t="s">
        <v>30</v>
      </c>
      <c r="C8144">
        <v>202</v>
      </c>
      <c r="D8144">
        <v>7</v>
      </c>
      <c r="E8144">
        <v>2</v>
      </c>
      <c r="F8144" t="s">
        <v>1139</v>
      </c>
      <c r="G8144" t="s">
        <v>32</v>
      </c>
      <c r="H8144" t="s">
        <v>33</v>
      </c>
      <c r="I8144" t="s">
        <v>43</v>
      </c>
      <c r="J8144" t="s">
        <v>35</v>
      </c>
      <c r="K8144" t="s">
        <v>36</v>
      </c>
      <c r="L8144" t="s">
        <v>37</v>
      </c>
      <c r="M8144">
        <v>0</v>
      </c>
      <c r="N8144">
        <v>1</v>
      </c>
      <c r="O8144">
        <v>1425</v>
      </c>
      <c r="P8144">
        <v>1424</v>
      </c>
      <c r="Q8144">
        <f>37-17</f>
        <v>20</v>
      </c>
      <c r="R8144" t="s">
        <v>64</v>
      </c>
      <c r="AB8144" t="s">
        <v>86</v>
      </c>
      <c r="AC8144" t="s">
        <v>1140</v>
      </c>
      <c r="AD8144" t="s">
        <v>1264</v>
      </c>
    </row>
    <row r="8145" spans="1:30" x14ac:dyDescent="0.35">
      <c r="A8145" s="7">
        <v>43319</v>
      </c>
      <c r="B8145" t="s">
        <v>30</v>
      </c>
      <c r="C8145">
        <v>203</v>
      </c>
      <c r="D8145">
        <v>9</v>
      </c>
      <c r="E8145">
        <v>1</v>
      </c>
      <c r="F8145" t="s">
        <v>1139</v>
      </c>
      <c r="G8145" t="s">
        <v>32</v>
      </c>
      <c r="H8145" t="s">
        <v>33</v>
      </c>
      <c r="I8145" t="s">
        <v>43</v>
      </c>
      <c r="J8145" t="s">
        <v>35</v>
      </c>
      <c r="K8145" t="s">
        <v>88</v>
      </c>
      <c r="L8145" t="s">
        <v>45</v>
      </c>
      <c r="M8145">
        <v>0</v>
      </c>
      <c r="N8145">
        <v>1</v>
      </c>
      <c r="O8145">
        <v>1417</v>
      </c>
      <c r="P8145">
        <v>1416</v>
      </c>
      <c r="Q8145">
        <f>26-11.5</f>
        <v>14.5</v>
      </c>
      <c r="R8145" t="s">
        <v>46</v>
      </c>
      <c r="S8145" t="s">
        <v>39</v>
      </c>
      <c r="AB8145" t="s">
        <v>86</v>
      </c>
      <c r="AC8145" t="s">
        <v>1140</v>
      </c>
    </row>
    <row r="8146" spans="1:30" x14ac:dyDescent="0.35">
      <c r="A8146" s="7">
        <v>43319</v>
      </c>
      <c r="B8146" t="s">
        <v>30</v>
      </c>
      <c r="C8146">
        <v>402</v>
      </c>
      <c r="D8146">
        <v>8</v>
      </c>
      <c r="E8146">
        <v>1</v>
      </c>
      <c r="F8146" t="s">
        <v>1020</v>
      </c>
      <c r="G8146" t="s">
        <v>32</v>
      </c>
      <c r="H8146" t="s">
        <v>33</v>
      </c>
      <c r="I8146" t="s">
        <v>43</v>
      </c>
      <c r="J8146" t="s">
        <v>139</v>
      </c>
      <c r="K8146" t="s">
        <v>36</v>
      </c>
      <c r="AB8146" t="s">
        <v>86</v>
      </c>
      <c r="AC8146" t="s">
        <v>87</v>
      </c>
      <c r="AD8146" t="s">
        <v>1265</v>
      </c>
    </row>
    <row r="8147" spans="1:30" x14ac:dyDescent="0.35">
      <c r="A8147" s="7">
        <v>43319</v>
      </c>
      <c r="B8147" t="s">
        <v>30</v>
      </c>
      <c r="C8147">
        <v>111</v>
      </c>
      <c r="D8147">
        <v>3</v>
      </c>
      <c r="E8147">
        <v>2</v>
      </c>
      <c r="F8147" t="s">
        <v>1020</v>
      </c>
      <c r="G8147" t="s">
        <v>32</v>
      </c>
      <c r="H8147" t="s">
        <v>33</v>
      </c>
      <c r="I8147" t="s">
        <v>34</v>
      </c>
      <c r="J8147" t="s">
        <v>44</v>
      </c>
      <c r="K8147" t="s">
        <v>36</v>
      </c>
      <c r="L8147" t="s">
        <v>45</v>
      </c>
      <c r="M8147">
        <v>0</v>
      </c>
      <c r="N8147">
        <v>0</v>
      </c>
      <c r="O8147">
        <v>1317</v>
      </c>
      <c r="Q8147">
        <f>212-130</f>
        <v>82</v>
      </c>
      <c r="R8147" t="s">
        <v>46</v>
      </c>
      <c r="S8147" t="s">
        <v>39</v>
      </c>
      <c r="AB8147" t="s">
        <v>86</v>
      </c>
      <c r="AC8147" t="s">
        <v>87</v>
      </c>
    </row>
    <row r="8148" spans="1:30" x14ac:dyDescent="0.35">
      <c r="A8148" s="7">
        <v>43319</v>
      </c>
      <c r="B8148" t="s">
        <v>30</v>
      </c>
      <c r="C8148">
        <v>113</v>
      </c>
      <c r="D8148">
        <v>9</v>
      </c>
      <c r="E8148">
        <v>2</v>
      </c>
      <c r="F8148" t="s">
        <v>1020</v>
      </c>
      <c r="G8148" t="s">
        <v>32</v>
      </c>
      <c r="H8148" t="s">
        <v>33</v>
      </c>
      <c r="I8148" t="s">
        <v>34</v>
      </c>
      <c r="J8148" t="s">
        <v>44</v>
      </c>
      <c r="K8148" t="s">
        <v>36</v>
      </c>
      <c r="L8148" t="s">
        <v>37</v>
      </c>
      <c r="M8148">
        <v>0</v>
      </c>
      <c r="N8148">
        <v>0</v>
      </c>
      <c r="O8148">
        <v>1340</v>
      </c>
      <c r="Q8148">
        <f>214-130</f>
        <v>84</v>
      </c>
      <c r="R8148" t="s">
        <v>64</v>
      </c>
      <c r="AB8148" t="s">
        <v>86</v>
      </c>
      <c r="AC8148" t="s">
        <v>87</v>
      </c>
    </row>
    <row r="8149" spans="1:30" x14ac:dyDescent="0.35">
      <c r="A8149" s="7">
        <v>43319</v>
      </c>
      <c r="B8149" t="s">
        <v>30</v>
      </c>
      <c r="C8149">
        <v>402</v>
      </c>
      <c r="D8149">
        <v>3</v>
      </c>
      <c r="E8149">
        <v>2</v>
      </c>
      <c r="F8149" t="s">
        <v>1020</v>
      </c>
      <c r="G8149" t="s">
        <v>32</v>
      </c>
      <c r="H8149" t="s">
        <v>33</v>
      </c>
      <c r="I8149" t="s">
        <v>34</v>
      </c>
      <c r="J8149" t="s">
        <v>92</v>
      </c>
      <c r="K8149" t="s">
        <v>36</v>
      </c>
      <c r="L8149" t="s">
        <v>45</v>
      </c>
      <c r="Q8149">
        <f>226-132</f>
        <v>94</v>
      </c>
      <c r="R8149" t="s">
        <v>46</v>
      </c>
      <c r="S8149" t="s">
        <v>39</v>
      </c>
      <c r="Z8149" t="s">
        <v>102</v>
      </c>
      <c r="AB8149" t="s">
        <v>86</v>
      </c>
      <c r="AC8149" t="s">
        <v>87</v>
      </c>
    </row>
    <row r="8150" spans="1:30" x14ac:dyDescent="0.35">
      <c r="A8150" s="7">
        <v>43319</v>
      </c>
      <c r="B8150" t="s">
        <v>30</v>
      </c>
      <c r="C8150">
        <v>402</v>
      </c>
      <c r="D8150">
        <v>4</v>
      </c>
      <c r="E8150">
        <v>2</v>
      </c>
      <c r="F8150" t="s">
        <v>1020</v>
      </c>
      <c r="G8150" t="s">
        <v>32</v>
      </c>
      <c r="H8150" t="s">
        <v>33</v>
      </c>
      <c r="I8150" t="s">
        <v>34</v>
      </c>
      <c r="J8150" t="s">
        <v>44</v>
      </c>
      <c r="K8150" t="s">
        <v>36</v>
      </c>
      <c r="L8150" t="s">
        <v>45</v>
      </c>
      <c r="M8150">
        <v>0</v>
      </c>
      <c r="N8150">
        <v>0</v>
      </c>
      <c r="O8150">
        <v>1385</v>
      </c>
      <c r="Q8150">
        <f>217-133</f>
        <v>84</v>
      </c>
      <c r="R8150" t="s">
        <v>46</v>
      </c>
      <c r="S8150" t="s">
        <v>39</v>
      </c>
      <c r="Z8150" t="s">
        <v>102</v>
      </c>
      <c r="AB8150" t="s">
        <v>86</v>
      </c>
      <c r="AC8150" t="s">
        <v>87</v>
      </c>
    </row>
    <row r="8151" spans="1:30" x14ac:dyDescent="0.35">
      <c r="A8151" s="7">
        <v>43319</v>
      </c>
      <c r="B8151" t="s">
        <v>30</v>
      </c>
      <c r="C8151">
        <v>111</v>
      </c>
      <c r="D8151">
        <v>3</v>
      </c>
      <c r="E8151">
        <v>1</v>
      </c>
      <c r="F8151" t="s">
        <v>1020</v>
      </c>
      <c r="G8151" t="s">
        <v>32</v>
      </c>
      <c r="H8151" t="s">
        <v>33</v>
      </c>
      <c r="I8151" t="s">
        <v>72</v>
      </c>
      <c r="J8151" t="s">
        <v>56</v>
      </c>
      <c r="AB8151" t="s">
        <v>86</v>
      </c>
      <c r="AC8151" t="s">
        <v>87</v>
      </c>
    </row>
    <row r="8152" spans="1:30" x14ac:dyDescent="0.35">
      <c r="A8152" s="7">
        <v>43319</v>
      </c>
      <c r="B8152" t="s">
        <v>30</v>
      </c>
      <c r="C8152">
        <v>111</v>
      </c>
      <c r="D8152">
        <v>6</v>
      </c>
      <c r="E8152">
        <v>2</v>
      </c>
      <c r="F8152" t="s">
        <v>1020</v>
      </c>
      <c r="G8152" t="s">
        <v>32</v>
      </c>
      <c r="H8152" t="s">
        <v>33</v>
      </c>
      <c r="I8152" t="s">
        <v>72</v>
      </c>
      <c r="J8152" t="s">
        <v>56</v>
      </c>
      <c r="AB8152" t="s">
        <v>86</v>
      </c>
      <c r="AC8152" t="s">
        <v>87</v>
      </c>
    </row>
    <row r="8153" spans="1:30" x14ac:dyDescent="0.35">
      <c r="A8153" s="7">
        <v>43319</v>
      </c>
      <c r="B8153" t="s">
        <v>30</v>
      </c>
      <c r="C8153">
        <v>111</v>
      </c>
      <c r="D8153">
        <v>9</v>
      </c>
      <c r="E8153">
        <v>1</v>
      </c>
      <c r="F8153" t="s">
        <v>1020</v>
      </c>
      <c r="G8153" t="s">
        <v>32</v>
      </c>
      <c r="H8153" t="s">
        <v>33</v>
      </c>
      <c r="I8153" t="s">
        <v>72</v>
      </c>
      <c r="J8153" t="s">
        <v>56</v>
      </c>
      <c r="AB8153" t="s">
        <v>86</v>
      </c>
      <c r="AC8153" t="s">
        <v>87</v>
      </c>
    </row>
    <row r="8154" spans="1:30" x14ac:dyDescent="0.35">
      <c r="A8154" s="7">
        <v>43319</v>
      </c>
      <c r="B8154" t="s">
        <v>30</v>
      </c>
      <c r="C8154">
        <v>112</v>
      </c>
      <c r="D8154">
        <v>4</v>
      </c>
      <c r="E8154">
        <v>1</v>
      </c>
      <c r="F8154" t="s">
        <v>1020</v>
      </c>
      <c r="G8154" t="s">
        <v>32</v>
      </c>
      <c r="H8154" t="s">
        <v>33</v>
      </c>
      <c r="I8154" t="s">
        <v>72</v>
      </c>
      <c r="J8154" t="s">
        <v>56</v>
      </c>
      <c r="AB8154" t="s">
        <v>86</v>
      </c>
      <c r="AC8154" t="s">
        <v>87</v>
      </c>
    </row>
    <row r="8155" spans="1:30" x14ac:dyDescent="0.35">
      <c r="A8155" s="7">
        <v>43319</v>
      </c>
      <c r="B8155" t="s">
        <v>30</v>
      </c>
      <c r="C8155">
        <v>112</v>
      </c>
      <c r="D8155">
        <v>7</v>
      </c>
      <c r="E8155">
        <v>1</v>
      </c>
      <c r="F8155" t="s">
        <v>1020</v>
      </c>
      <c r="G8155" t="s">
        <v>32</v>
      </c>
      <c r="H8155" t="s">
        <v>33</v>
      </c>
      <c r="I8155" t="s">
        <v>72</v>
      </c>
      <c r="J8155" t="s">
        <v>56</v>
      </c>
      <c r="AB8155" t="s">
        <v>86</v>
      </c>
      <c r="AC8155" t="s">
        <v>87</v>
      </c>
    </row>
    <row r="8156" spans="1:30" x14ac:dyDescent="0.35">
      <c r="A8156" s="7">
        <v>43319</v>
      </c>
      <c r="B8156" t="s">
        <v>30</v>
      </c>
      <c r="C8156">
        <v>112</v>
      </c>
      <c r="D8156">
        <v>8</v>
      </c>
      <c r="E8156">
        <v>2</v>
      </c>
      <c r="F8156" t="s">
        <v>1020</v>
      </c>
      <c r="G8156" t="s">
        <v>32</v>
      </c>
      <c r="H8156" t="s">
        <v>33</v>
      </c>
      <c r="I8156" t="s">
        <v>72</v>
      </c>
      <c r="J8156" t="s">
        <v>56</v>
      </c>
      <c r="AB8156" t="s">
        <v>86</v>
      </c>
      <c r="AC8156" t="s">
        <v>87</v>
      </c>
    </row>
    <row r="8157" spans="1:30" x14ac:dyDescent="0.35">
      <c r="A8157" s="7">
        <v>43319</v>
      </c>
      <c r="B8157" t="s">
        <v>30</v>
      </c>
      <c r="C8157">
        <v>113</v>
      </c>
      <c r="D8157">
        <v>2</v>
      </c>
      <c r="E8157">
        <v>2</v>
      </c>
      <c r="F8157" t="s">
        <v>1020</v>
      </c>
      <c r="G8157" t="s">
        <v>32</v>
      </c>
      <c r="H8157" t="s">
        <v>33</v>
      </c>
      <c r="I8157" t="s">
        <v>72</v>
      </c>
      <c r="J8157" t="s">
        <v>56</v>
      </c>
      <c r="AB8157" t="s">
        <v>86</v>
      </c>
      <c r="AC8157" t="s">
        <v>87</v>
      </c>
    </row>
    <row r="8158" spans="1:30" x14ac:dyDescent="0.35">
      <c r="A8158" s="7">
        <v>43319</v>
      </c>
      <c r="B8158" t="s">
        <v>30</v>
      </c>
      <c r="C8158">
        <v>113</v>
      </c>
      <c r="D8158">
        <v>6</v>
      </c>
      <c r="E8158">
        <v>1</v>
      </c>
      <c r="F8158" t="s">
        <v>1020</v>
      </c>
      <c r="G8158" t="s">
        <v>32</v>
      </c>
      <c r="H8158" t="s">
        <v>33</v>
      </c>
      <c r="I8158" t="s">
        <v>72</v>
      </c>
      <c r="J8158" t="s">
        <v>56</v>
      </c>
      <c r="AB8158" t="s">
        <v>86</v>
      </c>
      <c r="AC8158" t="s">
        <v>87</v>
      </c>
    </row>
    <row r="8159" spans="1:30" x14ac:dyDescent="0.35">
      <c r="A8159" s="7">
        <v>43319</v>
      </c>
      <c r="B8159" t="s">
        <v>30</v>
      </c>
      <c r="C8159">
        <v>202</v>
      </c>
      <c r="D8159">
        <v>5</v>
      </c>
      <c r="E8159">
        <v>1</v>
      </c>
      <c r="F8159" t="s">
        <v>1139</v>
      </c>
      <c r="G8159" t="s">
        <v>32</v>
      </c>
      <c r="H8159" t="s">
        <v>33</v>
      </c>
      <c r="I8159" t="s">
        <v>72</v>
      </c>
      <c r="J8159" t="s">
        <v>56</v>
      </c>
      <c r="AB8159" t="s">
        <v>86</v>
      </c>
      <c r="AC8159" t="s">
        <v>1140</v>
      </c>
    </row>
    <row r="8160" spans="1:30" x14ac:dyDescent="0.35">
      <c r="A8160" s="7">
        <v>43319</v>
      </c>
      <c r="B8160" t="s">
        <v>30</v>
      </c>
      <c r="C8160">
        <v>202</v>
      </c>
      <c r="D8160">
        <v>6</v>
      </c>
      <c r="E8160">
        <v>1</v>
      </c>
      <c r="F8160" t="s">
        <v>1139</v>
      </c>
      <c r="G8160" t="s">
        <v>32</v>
      </c>
      <c r="H8160" t="s">
        <v>33</v>
      </c>
      <c r="I8160" t="s">
        <v>72</v>
      </c>
      <c r="J8160" t="s">
        <v>56</v>
      </c>
      <c r="AB8160" t="s">
        <v>86</v>
      </c>
      <c r="AC8160" t="s">
        <v>1140</v>
      </c>
    </row>
    <row r="8161" spans="1:29" x14ac:dyDescent="0.35">
      <c r="A8161" s="7">
        <v>43319</v>
      </c>
      <c r="B8161" t="s">
        <v>30</v>
      </c>
      <c r="C8161">
        <v>203</v>
      </c>
      <c r="D8161">
        <v>3</v>
      </c>
      <c r="E8161">
        <v>1</v>
      </c>
      <c r="F8161" t="s">
        <v>1139</v>
      </c>
      <c r="G8161" t="s">
        <v>32</v>
      </c>
      <c r="H8161" t="s">
        <v>33</v>
      </c>
      <c r="I8161" t="s">
        <v>72</v>
      </c>
      <c r="J8161" t="s">
        <v>56</v>
      </c>
      <c r="AB8161" t="s">
        <v>86</v>
      </c>
      <c r="AC8161" t="s">
        <v>1140</v>
      </c>
    </row>
    <row r="8162" spans="1:29" x14ac:dyDescent="0.35">
      <c r="A8162" s="7">
        <v>43319</v>
      </c>
      <c r="B8162" t="s">
        <v>30</v>
      </c>
      <c r="C8162">
        <v>203</v>
      </c>
      <c r="D8162">
        <v>3</v>
      </c>
      <c r="E8162">
        <v>2</v>
      </c>
      <c r="F8162" t="s">
        <v>1139</v>
      </c>
      <c r="G8162" t="s">
        <v>32</v>
      </c>
      <c r="H8162" t="s">
        <v>33</v>
      </c>
      <c r="I8162" t="s">
        <v>72</v>
      </c>
      <c r="J8162" t="s">
        <v>56</v>
      </c>
      <c r="AB8162" t="s">
        <v>86</v>
      </c>
      <c r="AC8162" t="s">
        <v>1140</v>
      </c>
    </row>
    <row r="8163" spans="1:29" x14ac:dyDescent="0.35">
      <c r="A8163" s="7">
        <v>43319</v>
      </c>
      <c r="B8163" t="s">
        <v>30</v>
      </c>
      <c r="C8163">
        <v>203</v>
      </c>
      <c r="D8163">
        <v>4</v>
      </c>
      <c r="E8163">
        <v>1</v>
      </c>
      <c r="F8163" t="s">
        <v>1139</v>
      </c>
      <c r="G8163" t="s">
        <v>32</v>
      </c>
      <c r="H8163" t="s">
        <v>33</v>
      </c>
      <c r="I8163" t="s">
        <v>72</v>
      </c>
      <c r="J8163" t="s">
        <v>56</v>
      </c>
      <c r="AB8163" t="s">
        <v>86</v>
      </c>
      <c r="AC8163" t="s">
        <v>1140</v>
      </c>
    </row>
    <row r="8164" spans="1:29" x14ac:dyDescent="0.35">
      <c r="A8164" s="7">
        <v>43319</v>
      </c>
      <c r="B8164" t="s">
        <v>30</v>
      </c>
      <c r="C8164">
        <v>203</v>
      </c>
      <c r="D8164">
        <v>7</v>
      </c>
      <c r="E8164">
        <v>2</v>
      </c>
      <c r="F8164" t="s">
        <v>1139</v>
      </c>
      <c r="G8164" t="s">
        <v>32</v>
      </c>
      <c r="H8164" t="s">
        <v>33</v>
      </c>
      <c r="I8164" t="s">
        <v>72</v>
      </c>
      <c r="J8164" t="s">
        <v>56</v>
      </c>
      <c r="AB8164" t="s">
        <v>86</v>
      </c>
      <c r="AC8164" t="s">
        <v>1140</v>
      </c>
    </row>
    <row r="8165" spans="1:29" x14ac:dyDescent="0.35">
      <c r="A8165" s="7">
        <v>43319</v>
      </c>
      <c r="B8165" t="s">
        <v>30</v>
      </c>
      <c r="C8165">
        <v>402</v>
      </c>
      <c r="D8165">
        <v>3</v>
      </c>
      <c r="E8165">
        <v>1</v>
      </c>
      <c r="F8165" t="s">
        <v>1020</v>
      </c>
      <c r="G8165" t="s">
        <v>32</v>
      </c>
      <c r="H8165" t="s">
        <v>33</v>
      </c>
      <c r="I8165" t="s">
        <v>72</v>
      </c>
      <c r="J8165" t="s">
        <v>56</v>
      </c>
      <c r="AB8165" t="s">
        <v>86</v>
      </c>
      <c r="AC8165" t="s">
        <v>87</v>
      </c>
    </row>
    <row r="8166" spans="1:29" x14ac:dyDescent="0.35">
      <c r="A8166" s="7">
        <v>43319</v>
      </c>
      <c r="B8166" t="s">
        <v>30</v>
      </c>
      <c r="C8166">
        <v>112</v>
      </c>
      <c r="D8166">
        <v>3</v>
      </c>
      <c r="E8166">
        <v>1</v>
      </c>
      <c r="F8166" t="s">
        <v>1020</v>
      </c>
      <c r="G8166" t="s">
        <v>32</v>
      </c>
      <c r="H8166" t="s">
        <v>33</v>
      </c>
      <c r="I8166" t="s">
        <v>84</v>
      </c>
      <c r="AB8166" t="s">
        <v>86</v>
      </c>
      <c r="AC8166" t="s">
        <v>87</v>
      </c>
    </row>
    <row r="8167" spans="1:29" x14ac:dyDescent="0.35">
      <c r="A8167" s="7">
        <v>43319</v>
      </c>
      <c r="B8167" t="s">
        <v>30</v>
      </c>
      <c r="C8167">
        <v>402</v>
      </c>
      <c r="D8167">
        <v>4</v>
      </c>
      <c r="E8167">
        <v>1</v>
      </c>
      <c r="F8167" t="s">
        <v>1020</v>
      </c>
      <c r="G8167" t="s">
        <v>32</v>
      </c>
      <c r="H8167" t="s">
        <v>33</v>
      </c>
      <c r="I8167" t="s">
        <v>84</v>
      </c>
      <c r="AB8167" t="s">
        <v>86</v>
      </c>
      <c r="AC8167" t="s">
        <v>87</v>
      </c>
    </row>
    <row r="8168" spans="1:29" x14ac:dyDescent="0.35">
      <c r="A8168" s="7">
        <v>43319</v>
      </c>
      <c r="B8168" t="s">
        <v>30</v>
      </c>
      <c r="C8168">
        <v>402</v>
      </c>
      <c r="D8168">
        <v>7</v>
      </c>
      <c r="E8168">
        <v>1</v>
      </c>
      <c r="F8168" t="s">
        <v>1020</v>
      </c>
      <c r="G8168" t="s">
        <v>32</v>
      </c>
      <c r="H8168" t="s">
        <v>33</v>
      </c>
      <c r="I8168" t="s">
        <v>84</v>
      </c>
      <c r="AB8168" t="s">
        <v>86</v>
      </c>
      <c r="AC8168" t="s">
        <v>87</v>
      </c>
    </row>
    <row r="8169" spans="1:29" x14ac:dyDescent="0.35">
      <c r="A8169" s="7">
        <v>43319</v>
      </c>
      <c r="B8169" t="s">
        <v>30</v>
      </c>
      <c r="C8169">
        <v>111</v>
      </c>
      <c r="D8169">
        <v>1</v>
      </c>
      <c r="E8169">
        <v>1</v>
      </c>
      <c r="F8169" t="s">
        <v>1020</v>
      </c>
      <c r="G8169" t="s">
        <v>32</v>
      </c>
      <c r="H8169" t="s">
        <v>33</v>
      </c>
      <c r="I8169" t="s">
        <v>59</v>
      </c>
      <c r="AB8169" t="s">
        <v>86</v>
      </c>
      <c r="AC8169" t="s">
        <v>87</v>
      </c>
    </row>
    <row r="8170" spans="1:29" x14ac:dyDescent="0.35">
      <c r="A8170" s="7">
        <v>43319</v>
      </c>
      <c r="B8170" t="s">
        <v>30</v>
      </c>
      <c r="C8170">
        <v>111</v>
      </c>
      <c r="D8170">
        <v>4</v>
      </c>
      <c r="E8170">
        <v>1</v>
      </c>
      <c r="F8170" t="s">
        <v>1020</v>
      </c>
      <c r="G8170" t="s">
        <v>32</v>
      </c>
      <c r="H8170" t="s">
        <v>33</v>
      </c>
      <c r="I8170" t="s">
        <v>59</v>
      </c>
      <c r="AB8170" t="s">
        <v>86</v>
      </c>
      <c r="AC8170" t="s">
        <v>87</v>
      </c>
    </row>
    <row r="8171" spans="1:29" x14ac:dyDescent="0.35">
      <c r="A8171" s="7">
        <v>43319</v>
      </c>
      <c r="B8171" t="s">
        <v>30</v>
      </c>
      <c r="C8171">
        <v>111</v>
      </c>
      <c r="D8171">
        <v>7</v>
      </c>
      <c r="E8171">
        <v>1</v>
      </c>
      <c r="F8171" t="s">
        <v>1020</v>
      </c>
      <c r="G8171" t="s">
        <v>32</v>
      </c>
      <c r="H8171" t="s">
        <v>33</v>
      </c>
      <c r="I8171" t="s">
        <v>59</v>
      </c>
      <c r="AB8171" t="s">
        <v>86</v>
      </c>
      <c r="AC8171" t="s">
        <v>87</v>
      </c>
    </row>
    <row r="8172" spans="1:29" x14ac:dyDescent="0.35">
      <c r="A8172" s="7">
        <v>43319</v>
      </c>
      <c r="B8172" t="s">
        <v>30</v>
      </c>
      <c r="C8172">
        <v>111</v>
      </c>
      <c r="D8172">
        <v>7</v>
      </c>
      <c r="E8172">
        <v>2</v>
      </c>
      <c r="F8172" t="s">
        <v>1020</v>
      </c>
      <c r="G8172" t="s">
        <v>32</v>
      </c>
      <c r="H8172" t="s">
        <v>33</v>
      </c>
      <c r="I8172" t="s">
        <v>59</v>
      </c>
      <c r="AB8172" t="s">
        <v>86</v>
      </c>
      <c r="AC8172" t="s">
        <v>87</v>
      </c>
    </row>
    <row r="8173" spans="1:29" x14ac:dyDescent="0.35">
      <c r="A8173" s="7">
        <v>43319</v>
      </c>
      <c r="B8173" t="s">
        <v>30</v>
      </c>
      <c r="C8173">
        <v>111</v>
      </c>
      <c r="D8173">
        <v>8</v>
      </c>
      <c r="E8173">
        <v>1</v>
      </c>
      <c r="F8173" t="s">
        <v>1020</v>
      </c>
      <c r="G8173" t="s">
        <v>32</v>
      </c>
      <c r="H8173" t="s">
        <v>33</v>
      </c>
      <c r="I8173" t="s">
        <v>59</v>
      </c>
      <c r="AB8173" t="s">
        <v>86</v>
      </c>
      <c r="AC8173" t="s">
        <v>87</v>
      </c>
    </row>
    <row r="8174" spans="1:29" x14ac:dyDescent="0.35">
      <c r="A8174" s="7">
        <v>43319</v>
      </c>
      <c r="B8174" t="s">
        <v>30</v>
      </c>
      <c r="C8174">
        <v>111</v>
      </c>
      <c r="D8174">
        <v>9</v>
      </c>
      <c r="E8174">
        <v>2</v>
      </c>
      <c r="F8174" t="s">
        <v>1020</v>
      </c>
      <c r="G8174" t="s">
        <v>32</v>
      </c>
      <c r="H8174" t="s">
        <v>33</v>
      </c>
      <c r="I8174" t="s">
        <v>59</v>
      </c>
      <c r="AB8174" t="s">
        <v>86</v>
      </c>
      <c r="AC8174" t="s">
        <v>87</v>
      </c>
    </row>
    <row r="8175" spans="1:29" x14ac:dyDescent="0.35">
      <c r="A8175" s="7">
        <v>43319</v>
      </c>
      <c r="B8175" t="s">
        <v>30</v>
      </c>
      <c r="C8175">
        <v>112</v>
      </c>
      <c r="D8175">
        <v>8</v>
      </c>
      <c r="E8175">
        <v>1</v>
      </c>
      <c r="F8175" t="s">
        <v>1020</v>
      </c>
      <c r="G8175" t="s">
        <v>32</v>
      </c>
      <c r="H8175" t="s">
        <v>33</v>
      </c>
      <c r="I8175" t="s">
        <v>59</v>
      </c>
      <c r="AB8175" t="s">
        <v>86</v>
      </c>
      <c r="AC8175" t="s">
        <v>87</v>
      </c>
    </row>
    <row r="8176" spans="1:29" x14ac:dyDescent="0.35">
      <c r="A8176" s="7">
        <v>43319</v>
      </c>
      <c r="B8176" t="s">
        <v>30</v>
      </c>
      <c r="C8176">
        <v>112</v>
      </c>
      <c r="D8176">
        <v>9</v>
      </c>
      <c r="E8176">
        <v>1</v>
      </c>
      <c r="F8176" t="s">
        <v>1020</v>
      </c>
      <c r="G8176" t="s">
        <v>32</v>
      </c>
      <c r="H8176" t="s">
        <v>33</v>
      </c>
      <c r="I8176" t="s">
        <v>59</v>
      </c>
      <c r="AB8176" t="s">
        <v>86</v>
      </c>
      <c r="AC8176" t="s">
        <v>87</v>
      </c>
    </row>
    <row r="8177" spans="1:29" x14ac:dyDescent="0.35">
      <c r="A8177" s="7">
        <v>43319</v>
      </c>
      <c r="B8177" t="s">
        <v>30</v>
      </c>
      <c r="C8177">
        <v>112</v>
      </c>
      <c r="D8177">
        <v>9</v>
      </c>
      <c r="E8177">
        <v>2</v>
      </c>
      <c r="F8177" t="s">
        <v>1020</v>
      </c>
      <c r="G8177" t="s">
        <v>32</v>
      </c>
      <c r="H8177" t="s">
        <v>33</v>
      </c>
      <c r="I8177" t="s">
        <v>59</v>
      </c>
      <c r="AB8177" t="s">
        <v>86</v>
      </c>
      <c r="AC8177" t="s">
        <v>87</v>
      </c>
    </row>
    <row r="8178" spans="1:29" x14ac:dyDescent="0.35">
      <c r="A8178" s="7">
        <v>43319</v>
      </c>
      <c r="B8178" t="s">
        <v>30</v>
      </c>
      <c r="C8178">
        <v>112</v>
      </c>
      <c r="D8178">
        <v>10</v>
      </c>
      <c r="E8178">
        <v>2</v>
      </c>
      <c r="F8178" t="s">
        <v>1020</v>
      </c>
      <c r="G8178" t="s">
        <v>32</v>
      </c>
      <c r="H8178" t="s">
        <v>33</v>
      </c>
      <c r="I8178" t="s">
        <v>59</v>
      </c>
      <c r="AB8178" t="s">
        <v>86</v>
      </c>
      <c r="AC8178" t="s">
        <v>87</v>
      </c>
    </row>
    <row r="8179" spans="1:29" x14ac:dyDescent="0.35">
      <c r="A8179" s="7">
        <v>43319</v>
      </c>
      <c r="B8179" t="s">
        <v>30</v>
      </c>
      <c r="C8179">
        <v>113</v>
      </c>
      <c r="D8179">
        <v>4</v>
      </c>
      <c r="E8179">
        <v>1</v>
      </c>
      <c r="F8179" t="s">
        <v>1020</v>
      </c>
      <c r="G8179" t="s">
        <v>32</v>
      </c>
      <c r="H8179" t="s">
        <v>33</v>
      </c>
      <c r="I8179" t="s">
        <v>59</v>
      </c>
      <c r="AB8179" t="s">
        <v>86</v>
      </c>
      <c r="AC8179" t="s">
        <v>87</v>
      </c>
    </row>
    <row r="8180" spans="1:29" x14ac:dyDescent="0.35">
      <c r="A8180" s="7">
        <v>43319</v>
      </c>
      <c r="B8180" t="s">
        <v>30</v>
      </c>
      <c r="C8180">
        <v>113</v>
      </c>
      <c r="D8180">
        <v>7</v>
      </c>
      <c r="E8180">
        <v>1</v>
      </c>
      <c r="F8180" t="s">
        <v>1020</v>
      </c>
      <c r="G8180" t="s">
        <v>32</v>
      </c>
      <c r="H8180" t="s">
        <v>33</v>
      </c>
      <c r="I8180" t="s">
        <v>59</v>
      </c>
      <c r="AB8180" t="s">
        <v>86</v>
      </c>
      <c r="AC8180" t="s">
        <v>87</v>
      </c>
    </row>
    <row r="8181" spans="1:29" x14ac:dyDescent="0.35">
      <c r="A8181" s="7">
        <v>43319</v>
      </c>
      <c r="B8181" t="s">
        <v>30</v>
      </c>
      <c r="C8181">
        <v>201</v>
      </c>
      <c r="D8181">
        <v>1</v>
      </c>
      <c r="E8181">
        <v>1</v>
      </c>
      <c r="F8181" t="s">
        <v>1139</v>
      </c>
      <c r="G8181" t="s">
        <v>32</v>
      </c>
      <c r="H8181" t="s">
        <v>33</v>
      </c>
      <c r="I8181" t="s">
        <v>59</v>
      </c>
      <c r="AB8181" t="s">
        <v>86</v>
      </c>
      <c r="AC8181" t="s">
        <v>1140</v>
      </c>
    </row>
    <row r="8182" spans="1:29" x14ac:dyDescent="0.35">
      <c r="A8182" s="7">
        <v>43319</v>
      </c>
      <c r="B8182" t="s">
        <v>30</v>
      </c>
      <c r="C8182">
        <v>201</v>
      </c>
      <c r="D8182">
        <v>5</v>
      </c>
      <c r="E8182">
        <v>1</v>
      </c>
      <c r="F8182" t="s">
        <v>1139</v>
      </c>
      <c r="G8182" t="s">
        <v>32</v>
      </c>
      <c r="H8182" t="s">
        <v>33</v>
      </c>
      <c r="I8182" t="s">
        <v>59</v>
      </c>
      <c r="AB8182" t="s">
        <v>86</v>
      </c>
      <c r="AC8182" t="s">
        <v>1140</v>
      </c>
    </row>
    <row r="8183" spans="1:29" x14ac:dyDescent="0.35">
      <c r="A8183" s="7">
        <v>43319</v>
      </c>
      <c r="B8183" t="s">
        <v>30</v>
      </c>
      <c r="C8183">
        <v>202</v>
      </c>
      <c r="D8183">
        <v>1</v>
      </c>
      <c r="E8183">
        <v>1</v>
      </c>
      <c r="F8183" t="s">
        <v>1139</v>
      </c>
      <c r="G8183" t="s">
        <v>32</v>
      </c>
      <c r="H8183" t="s">
        <v>33</v>
      </c>
      <c r="I8183" t="s">
        <v>59</v>
      </c>
      <c r="AB8183" t="s">
        <v>86</v>
      </c>
      <c r="AC8183" t="s">
        <v>1140</v>
      </c>
    </row>
    <row r="8184" spans="1:29" x14ac:dyDescent="0.35">
      <c r="A8184" s="7">
        <v>43319</v>
      </c>
      <c r="B8184" t="s">
        <v>30</v>
      </c>
      <c r="C8184">
        <v>202</v>
      </c>
      <c r="D8184">
        <v>2</v>
      </c>
      <c r="E8184">
        <v>1</v>
      </c>
      <c r="F8184" t="s">
        <v>1139</v>
      </c>
      <c r="G8184" t="s">
        <v>32</v>
      </c>
      <c r="H8184" t="s">
        <v>33</v>
      </c>
      <c r="I8184" t="s">
        <v>59</v>
      </c>
      <c r="AB8184" t="s">
        <v>86</v>
      </c>
      <c r="AC8184" t="s">
        <v>1140</v>
      </c>
    </row>
    <row r="8185" spans="1:29" x14ac:dyDescent="0.35">
      <c r="A8185" s="7">
        <v>43319</v>
      </c>
      <c r="B8185" t="s">
        <v>30</v>
      </c>
      <c r="C8185">
        <v>202</v>
      </c>
      <c r="D8185">
        <v>3</v>
      </c>
      <c r="E8185">
        <v>1</v>
      </c>
      <c r="F8185" t="s">
        <v>1139</v>
      </c>
      <c r="G8185" t="s">
        <v>32</v>
      </c>
      <c r="H8185" t="s">
        <v>33</v>
      </c>
      <c r="I8185" t="s">
        <v>59</v>
      </c>
      <c r="AB8185" t="s">
        <v>86</v>
      </c>
      <c r="AC8185" t="s">
        <v>1140</v>
      </c>
    </row>
    <row r="8186" spans="1:29" x14ac:dyDescent="0.35">
      <c r="A8186" s="7">
        <v>43319</v>
      </c>
      <c r="B8186" t="s">
        <v>30</v>
      </c>
      <c r="C8186">
        <v>202</v>
      </c>
      <c r="D8186">
        <v>7</v>
      </c>
      <c r="E8186">
        <v>1</v>
      </c>
      <c r="F8186" t="s">
        <v>1139</v>
      </c>
      <c r="G8186" t="s">
        <v>32</v>
      </c>
      <c r="H8186" t="s">
        <v>33</v>
      </c>
      <c r="I8186" t="s">
        <v>59</v>
      </c>
      <c r="AB8186" t="s">
        <v>86</v>
      </c>
      <c r="AC8186" t="s">
        <v>1140</v>
      </c>
    </row>
    <row r="8187" spans="1:29" x14ac:dyDescent="0.35">
      <c r="A8187" s="7">
        <v>43319</v>
      </c>
      <c r="B8187" t="s">
        <v>30</v>
      </c>
      <c r="C8187">
        <v>202</v>
      </c>
      <c r="D8187">
        <v>8</v>
      </c>
      <c r="E8187">
        <v>1</v>
      </c>
      <c r="F8187" t="s">
        <v>1139</v>
      </c>
      <c r="G8187" t="s">
        <v>32</v>
      </c>
      <c r="H8187" t="s">
        <v>33</v>
      </c>
      <c r="I8187" t="s">
        <v>59</v>
      </c>
      <c r="AB8187" t="s">
        <v>86</v>
      </c>
      <c r="AC8187" t="s">
        <v>1140</v>
      </c>
    </row>
    <row r="8188" spans="1:29" x14ac:dyDescent="0.35">
      <c r="A8188" s="7">
        <v>43319</v>
      </c>
      <c r="B8188" t="s">
        <v>30</v>
      </c>
      <c r="C8188">
        <v>203</v>
      </c>
      <c r="D8188">
        <v>5</v>
      </c>
      <c r="E8188">
        <v>1</v>
      </c>
      <c r="F8188" t="s">
        <v>1139</v>
      </c>
      <c r="G8188" t="s">
        <v>32</v>
      </c>
      <c r="H8188" t="s">
        <v>33</v>
      </c>
      <c r="I8188" t="s">
        <v>59</v>
      </c>
      <c r="AB8188" t="s">
        <v>86</v>
      </c>
      <c r="AC8188" t="s">
        <v>1140</v>
      </c>
    </row>
    <row r="8189" spans="1:29" x14ac:dyDescent="0.35">
      <c r="A8189" s="7">
        <v>43319</v>
      </c>
      <c r="B8189" t="s">
        <v>30</v>
      </c>
      <c r="C8189">
        <v>203</v>
      </c>
      <c r="D8189">
        <v>5</v>
      </c>
      <c r="E8189">
        <v>2</v>
      </c>
      <c r="F8189" t="s">
        <v>1139</v>
      </c>
      <c r="G8189" t="s">
        <v>32</v>
      </c>
      <c r="H8189" t="s">
        <v>33</v>
      </c>
      <c r="I8189" t="s">
        <v>59</v>
      </c>
      <c r="AB8189" t="s">
        <v>86</v>
      </c>
      <c r="AC8189" t="s">
        <v>1140</v>
      </c>
    </row>
    <row r="8190" spans="1:29" x14ac:dyDescent="0.35">
      <c r="A8190" s="7">
        <v>43319</v>
      </c>
      <c r="B8190" t="s">
        <v>30</v>
      </c>
      <c r="C8190">
        <v>203</v>
      </c>
      <c r="D8190">
        <v>6</v>
      </c>
      <c r="E8190">
        <v>1</v>
      </c>
      <c r="F8190" t="s">
        <v>1139</v>
      </c>
      <c r="G8190" t="s">
        <v>32</v>
      </c>
      <c r="H8190" t="s">
        <v>33</v>
      </c>
      <c r="I8190" t="s">
        <v>59</v>
      </c>
      <c r="AB8190" t="s">
        <v>86</v>
      </c>
      <c r="AC8190" t="s">
        <v>1140</v>
      </c>
    </row>
    <row r="8191" spans="1:29" x14ac:dyDescent="0.35">
      <c r="A8191" s="7">
        <v>43319</v>
      </c>
      <c r="B8191" t="s">
        <v>30</v>
      </c>
      <c r="C8191">
        <v>203</v>
      </c>
      <c r="D8191">
        <v>6</v>
      </c>
      <c r="E8191">
        <v>2</v>
      </c>
      <c r="F8191" t="s">
        <v>1139</v>
      </c>
      <c r="G8191" t="s">
        <v>32</v>
      </c>
      <c r="H8191" t="s">
        <v>33</v>
      </c>
      <c r="I8191" t="s">
        <v>59</v>
      </c>
      <c r="AB8191" t="s">
        <v>86</v>
      </c>
      <c r="AC8191" t="s">
        <v>1140</v>
      </c>
    </row>
    <row r="8192" spans="1:29" x14ac:dyDescent="0.35">
      <c r="A8192" s="7">
        <v>43319</v>
      </c>
      <c r="B8192" t="s">
        <v>30</v>
      </c>
      <c r="C8192">
        <v>203</v>
      </c>
      <c r="D8192">
        <v>7</v>
      </c>
      <c r="E8192">
        <v>1</v>
      </c>
      <c r="F8192" t="s">
        <v>1139</v>
      </c>
      <c r="G8192" t="s">
        <v>32</v>
      </c>
      <c r="H8192" t="s">
        <v>33</v>
      </c>
      <c r="I8192" t="s">
        <v>59</v>
      </c>
      <c r="AB8192" t="s">
        <v>86</v>
      </c>
      <c r="AC8192" t="s">
        <v>1140</v>
      </c>
    </row>
    <row r="8193" spans="1:30" x14ac:dyDescent="0.35">
      <c r="A8193" s="7">
        <v>43319</v>
      </c>
      <c r="B8193" t="s">
        <v>30</v>
      </c>
      <c r="C8193">
        <v>203</v>
      </c>
      <c r="D8193">
        <v>10</v>
      </c>
      <c r="E8193">
        <v>1</v>
      </c>
      <c r="F8193" t="s">
        <v>1139</v>
      </c>
      <c r="G8193" t="s">
        <v>32</v>
      </c>
      <c r="H8193" t="s">
        <v>33</v>
      </c>
      <c r="I8193" t="s">
        <v>59</v>
      </c>
      <c r="AB8193" t="s">
        <v>86</v>
      </c>
      <c r="AC8193" t="s">
        <v>1140</v>
      </c>
    </row>
    <row r="8194" spans="1:30" x14ac:dyDescent="0.35">
      <c r="A8194" s="7">
        <v>43319</v>
      </c>
      <c r="B8194" t="s">
        <v>30</v>
      </c>
      <c r="C8194">
        <v>304</v>
      </c>
      <c r="D8194">
        <v>2</v>
      </c>
      <c r="E8194">
        <v>1</v>
      </c>
      <c r="F8194" t="s">
        <v>1139</v>
      </c>
      <c r="G8194" t="s">
        <v>32</v>
      </c>
      <c r="H8194" t="s">
        <v>33</v>
      </c>
      <c r="I8194" t="s">
        <v>59</v>
      </c>
      <c r="AB8194" t="s">
        <v>86</v>
      </c>
      <c r="AC8194" t="s">
        <v>1140</v>
      </c>
    </row>
    <row r="8195" spans="1:30" x14ac:dyDescent="0.35">
      <c r="A8195" s="7">
        <v>43319</v>
      </c>
      <c r="B8195" t="s">
        <v>30</v>
      </c>
      <c r="C8195">
        <v>304</v>
      </c>
      <c r="D8195">
        <v>3</v>
      </c>
      <c r="E8195">
        <v>1</v>
      </c>
      <c r="F8195" t="s">
        <v>1139</v>
      </c>
      <c r="G8195" t="s">
        <v>32</v>
      </c>
      <c r="H8195" t="s">
        <v>33</v>
      </c>
      <c r="I8195" t="s">
        <v>59</v>
      </c>
      <c r="AB8195" t="s">
        <v>86</v>
      </c>
      <c r="AC8195" t="s">
        <v>1140</v>
      </c>
    </row>
    <row r="8196" spans="1:30" x14ac:dyDescent="0.35">
      <c r="A8196" s="7">
        <v>43319</v>
      </c>
      <c r="B8196" t="s">
        <v>30</v>
      </c>
      <c r="C8196">
        <v>304</v>
      </c>
      <c r="D8196">
        <v>4</v>
      </c>
      <c r="E8196">
        <v>1</v>
      </c>
      <c r="F8196" t="s">
        <v>1139</v>
      </c>
      <c r="G8196" t="s">
        <v>32</v>
      </c>
      <c r="H8196" t="s">
        <v>33</v>
      </c>
      <c r="I8196" t="s">
        <v>59</v>
      </c>
      <c r="AB8196" t="s">
        <v>86</v>
      </c>
      <c r="AC8196" t="s">
        <v>1140</v>
      </c>
    </row>
    <row r="8197" spans="1:30" x14ac:dyDescent="0.35">
      <c r="A8197" s="7">
        <v>43319</v>
      </c>
      <c r="B8197" t="s">
        <v>30</v>
      </c>
      <c r="C8197">
        <v>304</v>
      </c>
      <c r="D8197">
        <v>6</v>
      </c>
      <c r="E8197">
        <v>1</v>
      </c>
      <c r="F8197" t="s">
        <v>1139</v>
      </c>
      <c r="G8197" t="s">
        <v>32</v>
      </c>
      <c r="H8197" t="s">
        <v>33</v>
      </c>
      <c r="I8197" t="s">
        <v>59</v>
      </c>
      <c r="AB8197" t="s">
        <v>86</v>
      </c>
      <c r="AC8197" t="s">
        <v>1140</v>
      </c>
    </row>
    <row r="8198" spans="1:30" x14ac:dyDescent="0.35">
      <c r="A8198" s="7">
        <v>43319</v>
      </c>
      <c r="B8198" t="s">
        <v>30</v>
      </c>
      <c r="C8198">
        <v>304</v>
      </c>
      <c r="D8198">
        <v>8</v>
      </c>
      <c r="E8198">
        <v>1</v>
      </c>
      <c r="F8198" t="s">
        <v>1139</v>
      </c>
      <c r="G8198" t="s">
        <v>32</v>
      </c>
      <c r="H8198" t="s">
        <v>33</v>
      </c>
      <c r="I8198" t="s">
        <v>59</v>
      </c>
      <c r="AB8198" t="s">
        <v>86</v>
      </c>
      <c r="AC8198" t="s">
        <v>1140</v>
      </c>
    </row>
    <row r="8199" spans="1:30" x14ac:dyDescent="0.35">
      <c r="A8199" s="7">
        <v>43319</v>
      </c>
      <c r="B8199" t="s">
        <v>30</v>
      </c>
      <c r="C8199">
        <v>304</v>
      </c>
      <c r="D8199">
        <v>10</v>
      </c>
      <c r="E8199">
        <v>1</v>
      </c>
      <c r="F8199" t="s">
        <v>1139</v>
      </c>
      <c r="G8199" t="s">
        <v>32</v>
      </c>
      <c r="H8199" t="s">
        <v>33</v>
      </c>
      <c r="I8199" t="s">
        <v>59</v>
      </c>
      <c r="AB8199" t="s">
        <v>86</v>
      </c>
      <c r="AC8199" t="s">
        <v>1140</v>
      </c>
    </row>
    <row r="8200" spans="1:30" x14ac:dyDescent="0.35">
      <c r="A8200" s="7">
        <v>43319</v>
      </c>
      <c r="B8200" t="s">
        <v>30</v>
      </c>
      <c r="C8200">
        <v>402</v>
      </c>
      <c r="D8200">
        <v>1</v>
      </c>
      <c r="E8200">
        <v>1</v>
      </c>
      <c r="F8200" t="s">
        <v>1020</v>
      </c>
      <c r="G8200" t="s">
        <v>32</v>
      </c>
      <c r="H8200" t="s">
        <v>33</v>
      </c>
      <c r="I8200" t="s">
        <v>59</v>
      </c>
      <c r="AB8200" t="s">
        <v>86</v>
      </c>
      <c r="AC8200" t="s">
        <v>87</v>
      </c>
    </row>
    <row r="8201" spans="1:30" x14ac:dyDescent="0.35">
      <c r="A8201" s="7">
        <v>43319</v>
      </c>
      <c r="B8201" t="s">
        <v>30</v>
      </c>
      <c r="C8201">
        <v>402</v>
      </c>
      <c r="D8201">
        <v>2</v>
      </c>
      <c r="E8201">
        <v>1</v>
      </c>
      <c r="F8201" t="s">
        <v>1020</v>
      </c>
      <c r="G8201" t="s">
        <v>32</v>
      </c>
      <c r="H8201" t="s">
        <v>33</v>
      </c>
      <c r="I8201" t="s">
        <v>59</v>
      </c>
      <c r="AB8201" t="s">
        <v>86</v>
      </c>
      <c r="AC8201" t="s">
        <v>87</v>
      </c>
    </row>
    <row r="8202" spans="1:30" x14ac:dyDescent="0.35">
      <c r="A8202" s="7">
        <v>43319</v>
      </c>
      <c r="B8202" t="s">
        <v>30</v>
      </c>
      <c r="C8202">
        <v>402</v>
      </c>
      <c r="D8202">
        <v>2</v>
      </c>
      <c r="E8202">
        <v>2</v>
      </c>
      <c r="F8202" t="s">
        <v>1020</v>
      </c>
      <c r="G8202" t="s">
        <v>32</v>
      </c>
      <c r="H8202" t="s">
        <v>33</v>
      </c>
      <c r="I8202" t="s">
        <v>59</v>
      </c>
      <c r="AB8202" t="s">
        <v>86</v>
      </c>
      <c r="AC8202" t="s">
        <v>87</v>
      </c>
    </row>
    <row r="8203" spans="1:30" x14ac:dyDescent="0.35">
      <c r="A8203" s="7">
        <v>43319</v>
      </c>
      <c r="B8203" t="s">
        <v>30</v>
      </c>
      <c r="C8203">
        <v>304</v>
      </c>
      <c r="D8203">
        <v>1</v>
      </c>
      <c r="E8203">
        <v>1</v>
      </c>
      <c r="F8203" t="s">
        <v>1139</v>
      </c>
      <c r="G8203" t="s">
        <v>32</v>
      </c>
      <c r="H8203" t="s">
        <v>33</v>
      </c>
      <c r="J8203" t="s">
        <v>139</v>
      </c>
      <c r="AB8203" t="s">
        <v>86</v>
      </c>
      <c r="AC8203" t="s">
        <v>1140</v>
      </c>
    </row>
    <row r="8204" spans="1:30" x14ac:dyDescent="0.35">
      <c r="A8204" s="7">
        <v>43320</v>
      </c>
      <c r="B8204" t="s">
        <v>30</v>
      </c>
      <c r="C8204">
        <v>111</v>
      </c>
      <c r="D8204">
        <v>1</v>
      </c>
      <c r="E8204">
        <v>1</v>
      </c>
      <c r="F8204" t="s">
        <v>1020</v>
      </c>
      <c r="G8204" t="s">
        <v>32</v>
      </c>
      <c r="H8204" t="s">
        <v>33</v>
      </c>
      <c r="I8204" t="s">
        <v>43</v>
      </c>
      <c r="J8204" t="s">
        <v>44</v>
      </c>
      <c r="K8204" t="s">
        <v>88</v>
      </c>
      <c r="L8204" t="s">
        <v>45</v>
      </c>
      <c r="M8204">
        <v>0</v>
      </c>
      <c r="N8204">
        <v>0</v>
      </c>
      <c r="O8204">
        <v>1124</v>
      </c>
      <c r="P8204">
        <v>1123</v>
      </c>
      <c r="Q8204">
        <f>24.5-10.5</f>
        <v>14</v>
      </c>
      <c r="R8204" t="s">
        <v>46</v>
      </c>
      <c r="S8204" t="s">
        <v>39</v>
      </c>
      <c r="AB8204" t="s">
        <v>60</v>
      </c>
      <c r="AC8204" t="s">
        <v>87</v>
      </c>
    </row>
    <row r="8205" spans="1:30" x14ac:dyDescent="0.35">
      <c r="A8205" s="7">
        <v>43320</v>
      </c>
      <c r="B8205" t="s">
        <v>30</v>
      </c>
      <c r="C8205">
        <v>111</v>
      </c>
      <c r="D8205">
        <v>1</v>
      </c>
      <c r="E8205">
        <v>2</v>
      </c>
      <c r="F8205" t="s">
        <v>1020</v>
      </c>
      <c r="G8205" t="s">
        <v>32</v>
      </c>
      <c r="H8205" t="s">
        <v>33</v>
      </c>
      <c r="I8205" t="s">
        <v>43</v>
      </c>
      <c r="J8205" t="s">
        <v>44</v>
      </c>
      <c r="K8205" t="s">
        <v>113</v>
      </c>
      <c r="L8205" t="s">
        <v>45</v>
      </c>
      <c r="M8205">
        <v>0</v>
      </c>
      <c r="N8205">
        <v>0</v>
      </c>
      <c r="O8205">
        <v>1308</v>
      </c>
      <c r="P8205">
        <v>1307</v>
      </c>
      <c r="Q8205">
        <f>24-10</f>
        <v>14</v>
      </c>
      <c r="R8205" t="s">
        <v>46</v>
      </c>
      <c r="S8205" t="s">
        <v>39</v>
      </c>
      <c r="AB8205" t="s">
        <v>60</v>
      </c>
      <c r="AC8205" t="s">
        <v>87</v>
      </c>
    </row>
    <row r="8206" spans="1:30" x14ac:dyDescent="0.35">
      <c r="A8206" s="7">
        <v>43320</v>
      </c>
      <c r="B8206" t="s">
        <v>30</v>
      </c>
      <c r="C8206">
        <v>111</v>
      </c>
      <c r="D8206">
        <v>2</v>
      </c>
      <c r="E8206">
        <v>2</v>
      </c>
      <c r="F8206" t="s">
        <v>1020</v>
      </c>
      <c r="G8206" t="s">
        <v>32</v>
      </c>
      <c r="H8206" t="s">
        <v>33</v>
      </c>
      <c r="I8206" t="s">
        <v>43</v>
      </c>
      <c r="J8206" t="s">
        <v>44</v>
      </c>
      <c r="K8206" t="s">
        <v>88</v>
      </c>
      <c r="L8206" t="s">
        <v>45</v>
      </c>
      <c r="M8206">
        <v>0</v>
      </c>
      <c r="N8206">
        <v>0</v>
      </c>
      <c r="O8206">
        <v>1306</v>
      </c>
      <c r="P8206">
        <v>1305</v>
      </c>
      <c r="Q8206">
        <f>22.5-10</f>
        <v>12.5</v>
      </c>
      <c r="R8206" t="s">
        <v>46</v>
      </c>
      <c r="S8206" t="s">
        <v>39</v>
      </c>
      <c r="AB8206" t="s">
        <v>60</v>
      </c>
      <c r="AC8206" t="s">
        <v>87</v>
      </c>
    </row>
    <row r="8207" spans="1:30" x14ac:dyDescent="0.35">
      <c r="A8207" s="7">
        <v>43320</v>
      </c>
      <c r="B8207" t="s">
        <v>30</v>
      </c>
      <c r="C8207">
        <v>111</v>
      </c>
      <c r="D8207">
        <v>3</v>
      </c>
      <c r="E8207">
        <v>2</v>
      </c>
      <c r="F8207" t="s">
        <v>1020</v>
      </c>
      <c r="G8207" t="s">
        <v>32</v>
      </c>
      <c r="H8207" t="s">
        <v>33</v>
      </c>
      <c r="I8207" t="s">
        <v>43</v>
      </c>
      <c r="J8207" t="s">
        <v>44</v>
      </c>
      <c r="K8207" t="s">
        <v>88</v>
      </c>
      <c r="L8207" t="s">
        <v>45</v>
      </c>
      <c r="M8207">
        <v>0</v>
      </c>
      <c r="N8207">
        <v>0</v>
      </c>
      <c r="O8207">
        <v>1302</v>
      </c>
      <c r="P8207">
        <v>1301</v>
      </c>
      <c r="Q8207">
        <f>24.5-10.5</f>
        <v>14</v>
      </c>
      <c r="R8207" t="s">
        <v>46</v>
      </c>
      <c r="S8207" t="s">
        <v>39</v>
      </c>
      <c r="AB8207" t="s">
        <v>60</v>
      </c>
      <c r="AC8207" t="s">
        <v>87</v>
      </c>
    </row>
    <row r="8208" spans="1:30" x14ac:dyDescent="0.35">
      <c r="A8208" s="7">
        <v>43320</v>
      </c>
      <c r="B8208" t="s">
        <v>30</v>
      </c>
      <c r="C8208">
        <v>111</v>
      </c>
      <c r="D8208">
        <v>4</v>
      </c>
      <c r="E8208">
        <v>2</v>
      </c>
      <c r="F8208" t="s">
        <v>1020</v>
      </c>
      <c r="G8208" t="s">
        <v>32</v>
      </c>
      <c r="H8208" t="s">
        <v>33</v>
      </c>
      <c r="I8208" t="s">
        <v>43</v>
      </c>
      <c r="J8208" t="s">
        <v>44</v>
      </c>
      <c r="K8208" t="s">
        <v>113</v>
      </c>
      <c r="L8208" t="s">
        <v>37</v>
      </c>
      <c r="M8208">
        <v>0</v>
      </c>
      <c r="N8208">
        <v>0</v>
      </c>
      <c r="O8208">
        <v>1304</v>
      </c>
      <c r="P8208">
        <v>1303</v>
      </c>
      <c r="Q8208">
        <f>26-10</f>
        <v>16</v>
      </c>
      <c r="R8208" t="s">
        <v>64</v>
      </c>
      <c r="AB8208" t="s">
        <v>60</v>
      </c>
      <c r="AC8208" t="s">
        <v>87</v>
      </c>
      <c r="AD8208" t="s">
        <v>1266</v>
      </c>
    </row>
    <row r="8209" spans="1:30" x14ac:dyDescent="0.35">
      <c r="A8209" s="7">
        <v>43320</v>
      </c>
      <c r="B8209" t="s">
        <v>30</v>
      </c>
      <c r="C8209">
        <v>111</v>
      </c>
      <c r="D8209">
        <v>5</v>
      </c>
      <c r="E8209">
        <v>1</v>
      </c>
      <c r="F8209" t="s">
        <v>1020</v>
      </c>
      <c r="G8209" t="s">
        <v>32</v>
      </c>
      <c r="H8209" t="s">
        <v>33</v>
      </c>
      <c r="I8209" t="s">
        <v>43</v>
      </c>
      <c r="J8209" t="s">
        <v>44</v>
      </c>
      <c r="K8209" t="s">
        <v>88</v>
      </c>
      <c r="L8209" t="s">
        <v>37</v>
      </c>
      <c r="M8209">
        <v>0</v>
      </c>
      <c r="N8209">
        <v>0</v>
      </c>
      <c r="O8209">
        <v>1314</v>
      </c>
      <c r="P8209">
        <v>1313</v>
      </c>
      <c r="Q8209">
        <f>23-9.5</f>
        <v>13.5</v>
      </c>
      <c r="R8209" t="s">
        <v>64</v>
      </c>
      <c r="AB8209" t="s">
        <v>60</v>
      </c>
      <c r="AC8209" t="s">
        <v>87</v>
      </c>
      <c r="AD8209" t="s">
        <v>1267</v>
      </c>
    </row>
    <row r="8210" spans="1:30" x14ac:dyDescent="0.35">
      <c r="A8210" s="7">
        <v>43320</v>
      </c>
      <c r="B8210" t="s">
        <v>30</v>
      </c>
      <c r="C8210">
        <v>111</v>
      </c>
      <c r="D8210">
        <v>5</v>
      </c>
      <c r="E8210">
        <v>1</v>
      </c>
      <c r="F8210" t="s">
        <v>1020</v>
      </c>
      <c r="G8210" t="s">
        <v>32</v>
      </c>
      <c r="H8210" t="s">
        <v>33</v>
      </c>
      <c r="I8210" t="s">
        <v>43</v>
      </c>
      <c r="J8210" t="s">
        <v>44</v>
      </c>
      <c r="K8210" t="s">
        <v>88</v>
      </c>
      <c r="L8210" t="s">
        <v>37</v>
      </c>
      <c r="M8210">
        <v>0</v>
      </c>
      <c r="N8210">
        <v>0</v>
      </c>
      <c r="O8210">
        <v>1316</v>
      </c>
      <c r="P8210">
        <v>1315</v>
      </c>
      <c r="Q8210">
        <f>22-9.5</f>
        <v>12.5</v>
      </c>
      <c r="R8210" t="s">
        <v>64</v>
      </c>
      <c r="AB8210" t="s">
        <v>60</v>
      </c>
      <c r="AC8210" t="s">
        <v>87</v>
      </c>
      <c r="AD8210" t="s">
        <v>1267</v>
      </c>
    </row>
    <row r="8211" spans="1:30" x14ac:dyDescent="0.35">
      <c r="A8211" s="7">
        <v>43320</v>
      </c>
      <c r="B8211" t="s">
        <v>30</v>
      </c>
      <c r="C8211">
        <v>111</v>
      </c>
      <c r="D8211">
        <v>5</v>
      </c>
      <c r="E8211">
        <v>2</v>
      </c>
      <c r="F8211" t="s">
        <v>1020</v>
      </c>
      <c r="G8211" t="s">
        <v>32</v>
      </c>
      <c r="H8211" t="s">
        <v>33</v>
      </c>
      <c r="I8211" t="s">
        <v>43</v>
      </c>
      <c r="J8211" t="s">
        <v>44</v>
      </c>
      <c r="K8211" t="s">
        <v>36</v>
      </c>
      <c r="L8211" t="s">
        <v>45</v>
      </c>
      <c r="M8211">
        <v>0</v>
      </c>
      <c r="N8211">
        <v>0</v>
      </c>
      <c r="O8211">
        <v>2463</v>
      </c>
      <c r="P8211">
        <v>2462</v>
      </c>
      <c r="Q8211">
        <f>29.75-11.5</f>
        <v>18.25</v>
      </c>
      <c r="R8211" t="s">
        <v>79</v>
      </c>
      <c r="S8211" t="s">
        <v>39</v>
      </c>
      <c r="AB8211" t="s">
        <v>60</v>
      </c>
      <c r="AC8211" t="s">
        <v>87</v>
      </c>
    </row>
    <row r="8212" spans="1:30" x14ac:dyDescent="0.35">
      <c r="A8212" s="7">
        <v>43320</v>
      </c>
      <c r="B8212" t="s">
        <v>30</v>
      </c>
      <c r="C8212">
        <v>111</v>
      </c>
      <c r="D8212">
        <v>9</v>
      </c>
      <c r="E8212">
        <v>1</v>
      </c>
      <c r="F8212" t="s">
        <v>1020</v>
      </c>
      <c r="G8212" t="s">
        <v>32</v>
      </c>
      <c r="H8212" t="s">
        <v>33</v>
      </c>
      <c r="I8212" t="s">
        <v>43</v>
      </c>
      <c r="J8212" t="s">
        <v>44</v>
      </c>
      <c r="K8212" t="s">
        <v>36</v>
      </c>
      <c r="L8212" t="s">
        <v>45</v>
      </c>
      <c r="M8212">
        <v>0</v>
      </c>
      <c r="N8212">
        <v>0</v>
      </c>
      <c r="O8212">
        <v>2406</v>
      </c>
      <c r="P8212">
        <v>2405</v>
      </c>
      <c r="Q8212">
        <f>32.25-13</f>
        <v>19.25</v>
      </c>
      <c r="R8212" t="s">
        <v>79</v>
      </c>
      <c r="S8212" t="s">
        <v>39</v>
      </c>
      <c r="AB8212" t="s">
        <v>60</v>
      </c>
      <c r="AC8212" t="s">
        <v>87</v>
      </c>
    </row>
    <row r="8213" spans="1:30" x14ac:dyDescent="0.35">
      <c r="A8213" s="7">
        <v>43320</v>
      </c>
      <c r="B8213" t="s">
        <v>30</v>
      </c>
      <c r="C8213">
        <v>111</v>
      </c>
      <c r="D8213">
        <v>9</v>
      </c>
      <c r="E8213">
        <v>2</v>
      </c>
      <c r="F8213" t="s">
        <v>1020</v>
      </c>
      <c r="G8213" t="s">
        <v>32</v>
      </c>
      <c r="H8213" t="s">
        <v>33</v>
      </c>
      <c r="I8213" t="s">
        <v>43</v>
      </c>
      <c r="J8213" t="s">
        <v>44</v>
      </c>
      <c r="K8213" t="s">
        <v>36</v>
      </c>
      <c r="L8213" t="s">
        <v>37</v>
      </c>
      <c r="M8213">
        <v>0</v>
      </c>
      <c r="N8213">
        <v>0</v>
      </c>
      <c r="O8213">
        <v>1391</v>
      </c>
      <c r="P8213">
        <v>1390</v>
      </c>
      <c r="Q8213">
        <f>28.5-10</f>
        <v>18.5</v>
      </c>
      <c r="R8213" t="s">
        <v>64</v>
      </c>
      <c r="AB8213" t="s">
        <v>60</v>
      </c>
      <c r="AC8213" t="s">
        <v>87</v>
      </c>
    </row>
    <row r="8214" spans="1:30" x14ac:dyDescent="0.35">
      <c r="A8214" s="7">
        <v>43320</v>
      </c>
      <c r="B8214" t="s">
        <v>30</v>
      </c>
      <c r="C8214">
        <v>112</v>
      </c>
      <c r="D8214">
        <v>2</v>
      </c>
      <c r="E8214">
        <v>1</v>
      </c>
      <c r="F8214" t="s">
        <v>1020</v>
      </c>
      <c r="G8214" t="s">
        <v>32</v>
      </c>
      <c r="H8214" t="s">
        <v>33</v>
      </c>
      <c r="I8214" t="s">
        <v>43</v>
      </c>
      <c r="J8214" t="s">
        <v>44</v>
      </c>
      <c r="K8214" t="s">
        <v>36</v>
      </c>
      <c r="L8214" t="s">
        <v>45</v>
      </c>
      <c r="M8214">
        <v>0</v>
      </c>
      <c r="N8214">
        <v>0</v>
      </c>
      <c r="O8214">
        <v>1061</v>
      </c>
      <c r="P8214">
        <v>1060</v>
      </c>
      <c r="Q8214">
        <f>30.5-11</f>
        <v>19.5</v>
      </c>
      <c r="R8214" t="s">
        <v>46</v>
      </c>
      <c r="S8214" t="s">
        <v>39</v>
      </c>
      <c r="AB8214" t="s">
        <v>60</v>
      </c>
      <c r="AC8214" t="s">
        <v>87</v>
      </c>
    </row>
    <row r="8215" spans="1:30" x14ac:dyDescent="0.35">
      <c r="A8215" s="7">
        <v>43320</v>
      </c>
      <c r="B8215" t="s">
        <v>30</v>
      </c>
      <c r="C8215">
        <v>112</v>
      </c>
      <c r="D8215">
        <v>2</v>
      </c>
      <c r="E8215">
        <v>2</v>
      </c>
      <c r="F8215" t="s">
        <v>1020</v>
      </c>
      <c r="G8215" t="s">
        <v>32</v>
      </c>
      <c r="H8215" t="s">
        <v>33</v>
      </c>
      <c r="I8215" t="s">
        <v>43</v>
      </c>
      <c r="J8215" t="s">
        <v>44</v>
      </c>
      <c r="K8215" t="s">
        <v>113</v>
      </c>
      <c r="L8215" t="s">
        <v>37</v>
      </c>
      <c r="M8215">
        <v>0</v>
      </c>
      <c r="N8215">
        <v>0</v>
      </c>
      <c r="O8215">
        <v>1346</v>
      </c>
      <c r="P8215">
        <v>1345</v>
      </c>
      <c r="Q8215">
        <f>26.25-11</f>
        <v>15.25</v>
      </c>
      <c r="R8215" t="s">
        <v>64</v>
      </c>
      <c r="AB8215" t="s">
        <v>60</v>
      </c>
      <c r="AC8215" t="s">
        <v>87</v>
      </c>
    </row>
    <row r="8216" spans="1:30" x14ac:dyDescent="0.35">
      <c r="A8216" s="7">
        <v>43320</v>
      </c>
      <c r="B8216" t="s">
        <v>30</v>
      </c>
      <c r="C8216">
        <v>112</v>
      </c>
      <c r="D8216">
        <v>4</v>
      </c>
      <c r="E8216">
        <v>1</v>
      </c>
      <c r="F8216" t="s">
        <v>1020</v>
      </c>
      <c r="G8216" t="s">
        <v>32</v>
      </c>
      <c r="H8216" t="s">
        <v>33</v>
      </c>
      <c r="I8216" t="s">
        <v>43</v>
      </c>
      <c r="J8216" t="s">
        <v>44</v>
      </c>
      <c r="K8216" t="s">
        <v>113</v>
      </c>
      <c r="L8216" t="s">
        <v>45</v>
      </c>
      <c r="M8216">
        <v>0</v>
      </c>
      <c r="N8216">
        <v>0</v>
      </c>
      <c r="O8216">
        <v>1332</v>
      </c>
      <c r="P8216">
        <v>1331</v>
      </c>
      <c r="Q8216">
        <f>25.5-11</f>
        <v>14.5</v>
      </c>
      <c r="R8216" t="s">
        <v>46</v>
      </c>
      <c r="S8216" t="s">
        <v>39</v>
      </c>
      <c r="AB8216" t="s">
        <v>60</v>
      </c>
      <c r="AC8216" t="s">
        <v>87</v>
      </c>
    </row>
    <row r="8217" spans="1:30" x14ac:dyDescent="0.35">
      <c r="A8217" s="7">
        <v>43320</v>
      </c>
      <c r="B8217" t="s">
        <v>30</v>
      </c>
      <c r="C8217">
        <v>112</v>
      </c>
      <c r="D8217">
        <v>5</v>
      </c>
      <c r="E8217">
        <v>2</v>
      </c>
      <c r="F8217" t="s">
        <v>1020</v>
      </c>
      <c r="G8217" t="s">
        <v>32</v>
      </c>
      <c r="H8217" t="s">
        <v>33</v>
      </c>
      <c r="I8217" t="s">
        <v>43</v>
      </c>
      <c r="J8217" t="s">
        <v>44</v>
      </c>
      <c r="K8217" t="s">
        <v>113</v>
      </c>
      <c r="L8217" t="s">
        <v>37</v>
      </c>
      <c r="M8217">
        <v>0</v>
      </c>
      <c r="N8217">
        <v>0</v>
      </c>
      <c r="O8217">
        <v>1334</v>
      </c>
      <c r="P8217">
        <v>1333</v>
      </c>
      <c r="Q8217">
        <f>25.5-11</f>
        <v>14.5</v>
      </c>
      <c r="R8217" t="s">
        <v>64</v>
      </c>
      <c r="AB8217" t="s">
        <v>60</v>
      </c>
      <c r="AC8217" t="s">
        <v>87</v>
      </c>
    </row>
    <row r="8218" spans="1:30" x14ac:dyDescent="0.35">
      <c r="A8218" s="7">
        <v>43320</v>
      </c>
      <c r="B8218" t="s">
        <v>30</v>
      </c>
      <c r="C8218">
        <v>112</v>
      </c>
      <c r="D8218">
        <v>8</v>
      </c>
      <c r="E8218">
        <v>1</v>
      </c>
      <c r="F8218" t="s">
        <v>1020</v>
      </c>
      <c r="G8218" t="s">
        <v>32</v>
      </c>
      <c r="H8218" t="s">
        <v>33</v>
      </c>
      <c r="I8218" t="s">
        <v>43</v>
      </c>
      <c r="J8218" t="s">
        <v>44</v>
      </c>
      <c r="K8218" t="s">
        <v>113</v>
      </c>
      <c r="L8218" t="s">
        <v>45</v>
      </c>
      <c r="M8218">
        <v>0</v>
      </c>
      <c r="N8218">
        <v>0</v>
      </c>
      <c r="O8218">
        <v>1330</v>
      </c>
      <c r="P8218">
        <v>1329</v>
      </c>
      <c r="Q8218">
        <f>27.5-12.25</f>
        <v>15.25</v>
      </c>
      <c r="R8218" t="s">
        <v>46</v>
      </c>
      <c r="S8218" t="s">
        <v>39</v>
      </c>
      <c r="AB8218" t="s">
        <v>60</v>
      </c>
      <c r="AC8218" t="s">
        <v>87</v>
      </c>
    </row>
    <row r="8219" spans="1:30" x14ac:dyDescent="0.35">
      <c r="A8219" s="7">
        <v>43320</v>
      </c>
      <c r="B8219" t="s">
        <v>30</v>
      </c>
      <c r="C8219">
        <v>112</v>
      </c>
      <c r="D8219">
        <v>10</v>
      </c>
      <c r="E8219">
        <v>1</v>
      </c>
      <c r="F8219" t="s">
        <v>1020</v>
      </c>
      <c r="G8219" t="s">
        <v>32</v>
      </c>
      <c r="H8219" t="s">
        <v>33</v>
      </c>
      <c r="I8219" t="s">
        <v>43</v>
      </c>
      <c r="J8219" t="s">
        <v>44</v>
      </c>
      <c r="K8219" t="s">
        <v>113</v>
      </c>
      <c r="L8219" t="s">
        <v>45</v>
      </c>
      <c r="M8219">
        <v>0</v>
      </c>
      <c r="N8219">
        <v>0</v>
      </c>
      <c r="O8219">
        <v>1337</v>
      </c>
      <c r="P8219">
        <v>1336</v>
      </c>
      <c r="Q8219">
        <f>27-9.5</f>
        <v>17.5</v>
      </c>
      <c r="R8219" t="s">
        <v>46</v>
      </c>
      <c r="S8219" t="s">
        <v>39</v>
      </c>
      <c r="AB8219" t="s">
        <v>60</v>
      </c>
      <c r="AC8219" t="s">
        <v>87</v>
      </c>
    </row>
    <row r="8220" spans="1:30" x14ac:dyDescent="0.35">
      <c r="A8220" s="7">
        <v>43320</v>
      </c>
      <c r="B8220" t="s">
        <v>30</v>
      </c>
      <c r="C8220">
        <v>113</v>
      </c>
      <c r="D8220">
        <v>7</v>
      </c>
      <c r="E8220">
        <v>2</v>
      </c>
      <c r="F8220" t="s">
        <v>1020</v>
      </c>
      <c r="G8220" t="s">
        <v>32</v>
      </c>
      <c r="H8220" t="s">
        <v>33</v>
      </c>
      <c r="I8220" t="s">
        <v>43</v>
      </c>
      <c r="J8220" t="s">
        <v>139</v>
      </c>
      <c r="AB8220" t="s">
        <v>60</v>
      </c>
      <c r="AC8220" t="s">
        <v>87</v>
      </c>
      <c r="AD8220" t="s">
        <v>1268</v>
      </c>
    </row>
    <row r="8221" spans="1:30" x14ac:dyDescent="0.35">
      <c r="A8221" s="7">
        <v>43320</v>
      </c>
      <c r="B8221" t="s">
        <v>30</v>
      </c>
      <c r="C8221">
        <v>201</v>
      </c>
      <c r="D8221">
        <v>2</v>
      </c>
      <c r="E8221">
        <v>1</v>
      </c>
      <c r="F8221" t="s">
        <v>1139</v>
      </c>
      <c r="G8221" t="s">
        <v>32</v>
      </c>
      <c r="H8221" t="s">
        <v>33</v>
      </c>
      <c r="I8221" t="s">
        <v>43</v>
      </c>
      <c r="J8221" t="s">
        <v>44</v>
      </c>
      <c r="K8221" t="s">
        <v>113</v>
      </c>
      <c r="L8221" t="s">
        <v>45</v>
      </c>
      <c r="M8221">
        <v>0</v>
      </c>
      <c r="N8221">
        <v>0</v>
      </c>
      <c r="O8221">
        <v>1404</v>
      </c>
      <c r="P8221">
        <v>1403</v>
      </c>
      <c r="Q8221">
        <f>24-10</f>
        <v>14</v>
      </c>
      <c r="R8221" t="s">
        <v>1021</v>
      </c>
      <c r="S8221" t="s">
        <v>102</v>
      </c>
      <c r="AB8221" t="s">
        <v>86</v>
      </c>
      <c r="AC8221" t="s">
        <v>1140</v>
      </c>
    </row>
    <row r="8222" spans="1:30" x14ac:dyDescent="0.35">
      <c r="A8222" s="7">
        <v>43320</v>
      </c>
      <c r="B8222" t="s">
        <v>30</v>
      </c>
      <c r="C8222">
        <v>201</v>
      </c>
      <c r="D8222">
        <v>3</v>
      </c>
      <c r="E8222">
        <v>1</v>
      </c>
      <c r="F8222" t="s">
        <v>1139</v>
      </c>
      <c r="G8222" t="s">
        <v>32</v>
      </c>
      <c r="H8222" t="s">
        <v>33</v>
      </c>
      <c r="I8222" t="s">
        <v>43</v>
      </c>
      <c r="J8222" t="s">
        <v>44</v>
      </c>
      <c r="K8222" t="s">
        <v>36</v>
      </c>
      <c r="L8222" t="s">
        <v>45</v>
      </c>
      <c r="M8222">
        <v>0</v>
      </c>
      <c r="N8222">
        <v>0</v>
      </c>
      <c r="O8222">
        <v>1283</v>
      </c>
      <c r="P8222">
        <v>1282</v>
      </c>
      <c r="Q8222">
        <f>26.5-11</f>
        <v>15.5</v>
      </c>
      <c r="R8222" t="s">
        <v>46</v>
      </c>
      <c r="S8222" t="s">
        <v>39</v>
      </c>
      <c r="Z8222" t="s">
        <v>102</v>
      </c>
      <c r="AB8222" t="s">
        <v>86</v>
      </c>
      <c r="AC8222" t="s">
        <v>1140</v>
      </c>
    </row>
    <row r="8223" spans="1:30" x14ac:dyDescent="0.35">
      <c r="A8223" s="7">
        <v>43320</v>
      </c>
      <c r="B8223" t="s">
        <v>30</v>
      </c>
      <c r="C8223">
        <v>201</v>
      </c>
      <c r="D8223">
        <v>3</v>
      </c>
      <c r="E8223">
        <v>2</v>
      </c>
      <c r="F8223" t="s">
        <v>1139</v>
      </c>
      <c r="G8223" t="s">
        <v>32</v>
      </c>
      <c r="H8223" t="s">
        <v>33</v>
      </c>
      <c r="I8223" t="s">
        <v>43</v>
      </c>
      <c r="J8223" t="s">
        <v>44</v>
      </c>
      <c r="K8223" t="s">
        <v>113</v>
      </c>
      <c r="L8223" t="s">
        <v>37</v>
      </c>
      <c r="M8223">
        <v>0</v>
      </c>
      <c r="N8223">
        <v>0</v>
      </c>
      <c r="O8223">
        <v>1406</v>
      </c>
      <c r="P8223">
        <v>1405</v>
      </c>
      <c r="Q8223">
        <f>27-13</f>
        <v>14</v>
      </c>
      <c r="R8223" t="s">
        <v>64</v>
      </c>
      <c r="AB8223" t="s">
        <v>86</v>
      </c>
      <c r="AC8223" t="s">
        <v>1140</v>
      </c>
    </row>
    <row r="8224" spans="1:30" x14ac:dyDescent="0.35">
      <c r="A8224" s="7">
        <v>43320</v>
      </c>
      <c r="B8224" t="s">
        <v>30</v>
      </c>
      <c r="C8224">
        <v>201</v>
      </c>
      <c r="D8224">
        <v>4</v>
      </c>
      <c r="E8224">
        <v>1</v>
      </c>
      <c r="F8224" t="s">
        <v>1139</v>
      </c>
      <c r="G8224" t="s">
        <v>32</v>
      </c>
      <c r="H8224" t="s">
        <v>33</v>
      </c>
      <c r="I8224" t="s">
        <v>43</v>
      </c>
      <c r="J8224" t="s">
        <v>44</v>
      </c>
      <c r="K8224" t="s">
        <v>36</v>
      </c>
      <c r="L8224" t="s">
        <v>45</v>
      </c>
      <c r="M8224">
        <v>0</v>
      </c>
      <c r="N8224">
        <v>0</v>
      </c>
      <c r="O8224">
        <v>1413</v>
      </c>
      <c r="P8224">
        <v>1412</v>
      </c>
      <c r="Q8224">
        <f>30-15</f>
        <v>15</v>
      </c>
      <c r="R8224" t="s">
        <v>46</v>
      </c>
      <c r="S8224" t="s">
        <v>39</v>
      </c>
      <c r="Z8224" t="s">
        <v>102</v>
      </c>
      <c r="AB8224" t="s">
        <v>86</v>
      </c>
      <c r="AC8224" t="s">
        <v>1140</v>
      </c>
    </row>
    <row r="8225" spans="1:29" x14ac:dyDescent="0.35">
      <c r="A8225" s="7">
        <v>43320</v>
      </c>
      <c r="B8225" t="s">
        <v>30</v>
      </c>
      <c r="C8225">
        <v>201</v>
      </c>
      <c r="D8225">
        <v>5</v>
      </c>
      <c r="E8225">
        <v>2</v>
      </c>
      <c r="F8225" t="s">
        <v>1139</v>
      </c>
      <c r="G8225" t="s">
        <v>32</v>
      </c>
      <c r="H8225" t="s">
        <v>33</v>
      </c>
      <c r="I8225" t="s">
        <v>43</v>
      </c>
      <c r="J8225" t="s">
        <v>44</v>
      </c>
      <c r="K8225" t="s">
        <v>36</v>
      </c>
      <c r="L8225" t="s">
        <v>45</v>
      </c>
      <c r="M8225">
        <v>0</v>
      </c>
      <c r="N8225">
        <v>0</v>
      </c>
      <c r="O8225">
        <v>1408</v>
      </c>
      <c r="P8225">
        <v>1407</v>
      </c>
      <c r="Q8225">
        <f>37.5-17.5</f>
        <v>20</v>
      </c>
      <c r="R8225" t="s">
        <v>46</v>
      </c>
      <c r="S8225" t="s">
        <v>39</v>
      </c>
      <c r="Z8225" t="s">
        <v>102</v>
      </c>
      <c r="AB8225" t="s">
        <v>86</v>
      </c>
      <c r="AC8225" t="s">
        <v>1140</v>
      </c>
    </row>
    <row r="8226" spans="1:29" x14ac:dyDescent="0.35">
      <c r="A8226" s="7">
        <v>43320</v>
      </c>
      <c r="B8226" t="s">
        <v>30</v>
      </c>
      <c r="C8226">
        <v>201</v>
      </c>
      <c r="D8226">
        <v>6</v>
      </c>
      <c r="E8226">
        <v>1</v>
      </c>
      <c r="F8226" t="s">
        <v>1139</v>
      </c>
      <c r="G8226" t="s">
        <v>32</v>
      </c>
      <c r="H8226" t="s">
        <v>33</v>
      </c>
      <c r="I8226" t="s">
        <v>43</v>
      </c>
      <c r="J8226" t="s">
        <v>44</v>
      </c>
      <c r="K8226" t="s">
        <v>88</v>
      </c>
      <c r="L8226" t="s">
        <v>37</v>
      </c>
      <c r="M8226">
        <v>0</v>
      </c>
      <c r="N8226">
        <v>0</v>
      </c>
      <c r="O8226">
        <v>1410</v>
      </c>
      <c r="P8226">
        <v>1411</v>
      </c>
      <c r="Q8226">
        <f>21-11</f>
        <v>10</v>
      </c>
      <c r="R8226" t="s">
        <v>64</v>
      </c>
      <c r="Z8226" t="s">
        <v>102</v>
      </c>
      <c r="AB8226" t="s">
        <v>86</v>
      </c>
      <c r="AC8226" t="s">
        <v>1140</v>
      </c>
    </row>
    <row r="8227" spans="1:29" x14ac:dyDescent="0.35">
      <c r="A8227" s="7">
        <v>43320</v>
      </c>
      <c r="B8227" t="s">
        <v>30</v>
      </c>
      <c r="C8227">
        <v>201</v>
      </c>
      <c r="D8227">
        <v>6</v>
      </c>
      <c r="E8227">
        <v>2</v>
      </c>
      <c r="F8227" t="s">
        <v>1139</v>
      </c>
      <c r="G8227" t="s">
        <v>32</v>
      </c>
      <c r="H8227" t="s">
        <v>33</v>
      </c>
      <c r="I8227" t="s">
        <v>43</v>
      </c>
      <c r="J8227" t="s">
        <v>35</v>
      </c>
      <c r="K8227" t="s">
        <v>36</v>
      </c>
      <c r="L8227" t="s">
        <v>37</v>
      </c>
      <c r="M8227">
        <v>0</v>
      </c>
      <c r="N8227">
        <v>1</v>
      </c>
      <c r="O8227">
        <v>1419</v>
      </c>
      <c r="P8227">
        <v>1418</v>
      </c>
      <c r="Q8227">
        <f>28.5-10.5</f>
        <v>18</v>
      </c>
      <c r="R8227" t="s">
        <v>38</v>
      </c>
      <c r="Z8227" t="s">
        <v>102</v>
      </c>
      <c r="AB8227" t="s">
        <v>86</v>
      </c>
      <c r="AC8227" t="s">
        <v>1140</v>
      </c>
    </row>
    <row r="8228" spans="1:29" x14ac:dyDescent="0.35">
      <c r="A8228" s="7">
        <v>43320</v>
      </c>
      <c r="B8228" t="s">
        <v>30</v>
      </c>
      <c r="C8228">
        <v>201</v>
      </c>
      <c r="D8228">
        <v>7</v>
      </c>
      <c r="E8228">
        <v>1</v>
      </c>
      <c r="F8228" t="s">
        <v>1139</v>
      </c>
      <c r="G8228" t="s">
        <v>32</v>
      </c>
      <c r="H8228" t="s">
        <v>33</v>
      </c>
      <c r="I8228" t="s">
        <v>43</v>
      </c>
      <c r="J8228" t="s">
        <v>35</v>
      </c>
      <c r="K8228" t="s">
        <v>88</v>
      </c>
      <c r="L8228" t="s">
        <v>45</v>
      </c>
      <c r="M8228">
        <v>0</v>
      </c>
      <c r="N8228">
        <v>1</v>
      </c>
      <c r="O8228">
        <v>1421</v>
      </c>
      <c r="P8228">
        <v>1420</v>
      </c>
      <c r="Q8228">
        <f>24-11</f>
        <v>13</v>
      </c>
      <c r="R8228" t="s">
        <v>46</v>
      </c>
      <c r="S8228" t="s">
        <v>39</v>
      </c>
      <c r="AB8228" t="s">
        <v>86</v>
      </c>
      <c r="AC8228" t="s">
        <v>1140</v>
      </c>
    </row>
    <row r="8229" spans="1:29" x14ac:dyDescent="0.35">
      <c r="A8229" s="7">
        <v>43320</v>
      </c>
      <c r="B8229" t="s">
        <v>30</v>
      </c>
      <c r="C8229">
        <v>201</v>
      </c>
      <c r="D8229">
        <v>7</v>
      </c>
      <c r="E8229">
        <v>2</v>
      </c>
      <c r="F8229" t="s">
        <v>1139</v>
      </c>
      <c r="G8229" t="s">
        <v>32</v>
      </c>
      <c r="H8229" t="s">
        <v>33</v>
      </c>
      <c r="I8229" t="s">
        <v>43</v>
      </c>
      <c r="J8229" t="s">
        <v>44</v>
      </c>
      <c r="K8229" t="s">
        <v>113</v>
      </c>
      <c r="L8229" t="s">
        <v>37</v>
      </c>
      <c r="M8229">
        <v>0</v>
      </c>
      <c r="N8229">
        <v>0</v>
      </c>
      <c r="O8229">
        <v>1196</v>
      </c>
      <c r="P8229">
        <v>1195</v>
      </c>
      <c r="Q8229">
        <f>25-12</f>
        <v>13</v>
      </c>
      <c r="R8229" t="s">
        <v>64</v>
      </c>
      <c r="Z8229" t="s">
        <v>102</v>
      </c>
      <c r="AB8229" t="s">
        <v>86</v>
      </c>
      <c r="AC8229" t="s">
        <v>1140</v>
      </c>
    </row>
    <row r="8230" spans="1:29" x14ac:dyDescent="0.35">
      <c r="A8230" s="7">
        <v>43320</v>
      </c>
      <c r="B8230" t="s">
        <v>30</v>
      </c>
      <c r="C8230">
        <v>201</v>
      </c>
      <c r="D8230">
        <v>9</v>
      </c>
      <c r="E8230">
        <v>1</v>
      </c>
      <c r="F8230" t="s">
        <v>1139</v>
      </c>
      <c r="G8230" t="s">
        <v>32</v>
      </c>
      <c r="H8230" t="s">
        <v>33</v>
      </c>
      <c r="I8230" t="s">
        <v>43</v>
      </c>
      <c r="J8230" t="s">
        <v>44</v>
      </c>
      <c r="K8230" t="s">
        <v>36</v>
      </c>
      <c r="L8230" t="s">
        <v>45</v>
      </c>
      <c r="M8230">
        <v>0</v>
      </c>
      <c r="N8230">
        <v>0</v>
      </c>
      <c r="O8230">
        <v>1287</v>
      </c>
      <c r="P8230">
        <v>1286</v>
      </c>
      <c r="Q8230">
        <f>30-15</f>
        <v>15</v>
      </c>
      <c r="R8230" t="s">
        <v>46</v>
      </c>
      <c r="S8230" t="s">
        <v>39</v>
      </c>
      <c r="Z8230" t="s">
        <v>102</v>
      </c>
      <c r="AB8230" t="s">
        <v>86</v>
      </c>
      <c r="AC8230" t="s">
        <v>1140</v>
      </c>
    </row>
    <row r="8231" spans="1:29" x14ac:dyDescent="0.35">
      <c r="A8231" s="7">
        <v>43320</v>
      </c>
      <c r="B8231" t="s">
        <v>30</v>
      </c>
      <c r="C8231">
        <v>201</v>
      </c>
      <c r="D8231">
        <v>9</v>
      </c>
      <c r="E8231">
        <v>2</v>
      </c>
      <c r="F8231" t="s">
        <v>1139</v>
      </c>
      <c r="G8231" t="s">
        <v>32</v>
      </c>
      <c r="H8231" t="s">
        <v>33</v>
      </c>
      <c r="I8231" t="s">
        <v>43</v>
      </c>
      <c r="J8231" t="s">
        <v>35</v>
      </c>
      <c r="K8231" t="s">
        <v>113</v>
      </c>
      <c r="L8231" t="s">
        <v>45</v>
      </c>
      <c r="M8231">
        <v>0</v>
      </c>
      <c r="N8231">
        <v>1</v>
      </c>
      <c r="O8231">
        <v>1423</v>
      </c>
      <c r="P8231">
        <v>1422</v>
      </c>
      <c r="Q8231">
        <f>29.5-16</f>
        <v>13.5</v>
      </c>
      <c r="R8231" t="s">
        <v>46</v>
      </c>
      <c r="S8231" t="s">
        <v>39</v>
      </c>
      <c r="AB8231" t="s">
        <v>86</v>
      </c>
      <c r="AC8231" t="s">
        <v>1140</v>
      </c>
    </row>
    <row r="8232" spans="1:29" x14ac:dyDescent="0.35">
      <c r="A8232" s="7">
        <v>43320</v>
      </c>
      <c r="B8232" t="s">
        <v>30</v>
      </c>
      <c r="C8232">
        <v>201</v>
      </c>
      <c r="D8232">
        <v>10</v>
      </c>
      <c r="E8232">
        <v>1</v>
      </c>
      <c r="F8232" t="s">
        <v>1139</v>
      </c>
      <c r="G8232" t="s">
        <v>32</v>
      </c>
      <c r="H8232" t="s">
        <v>33</v>
      </c>
      <c r="I8232" t="s">
        <v>43</v>
      </c>
      <c r="J8232" t="s">
        <v>44</v>
      </c>
      <c r="K8232" t="s">
        <v>113</v>
      </c>
      <c r="L8232" t="s">
        <v>45</v>
      </c>
      <c r="M8232">
        <v>0</v>
      </c>
      <c r="N8232">
        <v>0</v>
      </c>
      <c r="O8232">
        <v>1415</v>
      </c>
      <c r="P8232">
        <v>1414</v>
      </c>
      <c r="Q8232">
        <f>23-10</f>
        <v>13</v>
      </c>
      <c r="R8232" t="s">
        <v>46</v>
      </c>
      <c r="S8232" t="s">
        <v>39</v>
      </c>
      <c r="AB8232" t="s">
        <v>86</v>
      </c>
      <c r="AC8232" t="s">
        <v>1140</v>
      </c>
    </row>
    <row r="8233" spans="1:29" x14ac:dyDescent="0.35">
      <c r="A8233" s="7">
        <v>43320</v>
      </c>
      <c r="B8233" t="s">
        <v>30</v>
      </c>
      <c r="C8233">
        <v>202</v>
      </c>
      <c r="D8233">
        <v>1</v>
      </c>
      <c r="E8233">
        <v>1</v>
      </c>
      <c r="F8233" t="s">
        <v>1139</v>
      </c>
      <c r="G8233" t="s">
        <v>32</v>
      </c>
      <c r="H8233" t="s">
        <v>33</v>
      </c>
      <c r="I8233" t="s">
        <v>43</v>
      </c>
      <c r="J8233" t="s">
        <v>44</v>
      </c>
      <c r="K8233" t="s">
        <v>113</v>
      </c>
      <c r="L8233" t="s">
        <v>37</v>
      </c>
      <c r="M8233">
        <v>0</v>
      </c>
      <c r="N8233">
        <v>0</v>
      </c>
      <c r="O8233">
        <v>1293</v>
      </c>
      <c r="P8233">
        <v>1292</v>
      </c>
      <c r="Q8233">
        <f>27.5-14</f>
        <v>13.5</v>
      </c>
      <c r="R8233" t="s">
        <v>64</v>
      </c>
      <c r="AB8233" t="s">
        <v>86</v>
      </c>
      <c r="AC8233" t="s">
        <v>1140</v>
      </c>
    </row>
    <row r="8234" spans="1:29" x14ac:dyDescent="0.35">
      <c r="A8234" s="7">
        <v>43320</v>
      </c>
      <c r="B8234" t="s">
        <v>30</v>
      </c>
      <c r="C8234">
        <v>202</v>
      </c>
      <c r="D8234">
        <v>2</v>
      </c>
      <c r="E8234">
        <v>1</v>
      </c>
      <c r="F8234" t="s">
        <v>1139</v>
      </c>
      <c r="G8234" t="s">
        <v>32</v>
      </c>
      <c r="H8234" t="s">
        <v>33</v>
      </c>
      <c r="I8234" t="s">
        <v>43</v>
      </c>
      <c r="J8234" t="s">
        <v>35</v>
      </c>
      <c r="K8234" t="s">
        <v>113</v>
      </c>
      <c r="L8234" t="s">
        <v>37</v>
      </c>
      <c r="M8234">
        <v>0</v>
      </c>
      <c r="N8234">
        <v>1</v>
      </c>
      <c r="O8234">
        <v>1504</v>
      </c>
      <c r="P8234">
        <v>1503</v>
      </c>
      <c r="Q8234">
        <f>33-15</f>
        <v>18</v>
      </c>
      <c r="R8234" t="s">
        <v>64</v>
      </c>
      <c r="AB8234" t="s">
        <v>86</v>
      </c>
      <c r="AC8234" t="s">
        <v>1140</v>
      </c>
    </row>
    <row r="8235" spans="1:29" x14ac:dyDescent="0.35">
      <c r="A8235" s="7">
        <v>43320</v>
      </c>
      <c r="B8235" t="s">
        <v>30</v>
      </c>
      <c r="C8235">
        <v>202</v>
      </c>
      <c r="D8235">
        <v>3</v>
      </c>
      <c r="E8235">
        <v>1</v>
      </c>
      <c r="F8235" t="s">
        <v>1139</v>
      </c>
      <c r="G8235" t="s">
        <v>32</v>
      </c>
      <c r="H8235" t="s">
        <v>33</v>
      </c>
      <c r="I8235" t="s">
        <v>43</v>
      </c>
      <c r="J8235" t="s">
        <v>35</v>
      </c>
      <c r="K8235" t="s">
        <v>88</v>
      </c>
      <c r="L8235" t="s">
        <v>45</v>
      </c>
      <c r="M8235">
        <v>0</v>
      </c>
      <c r="N8235">
        <v>1</v>
      </c>
      <c r="O8235">
        <v>1506</v>
      </c>
      <c r="P8235">
        <v>1505</v>
      </c>
      <c r="Q8235">
        <f>32-19</f>
        <v>13</v>
      </c>
      <c r="R8235" t="s">
        <v>46</v>
      </c>
      <c r="S8235" t="s">
        <v>39</v>
      </c>
      <c r="AB8235" t="s">
        <v>86</v>
      </c>
      <c r="AC8235" t="s">
        <v>1140</v>
      </c>
    </row>
    <row r="8236" spans="1:29" x14ac:dyDescent="0.35">
      <c r="A8236" s="7">
        <v>43320</v>
      </c>
      <c r="B8236" t="s">
        <v>30</v>
      </c>
      <c r="C8236">
        <v>202</v>
      </c>
      <c r="D8236">
        <v>5</v>
      </c>
      <c r="E8236">
        <v>1</v>
      </c>
      <c r="F8236" t="s">
        <v>1139</v>
      </c>
      <c r="G8236" t="s">
        <v>32</v>
      </c>
      <c r="H8236" t="s">
        <v>33</v>
      </c>
      <c r="I8236" t="s">
        <v>43</v>
      </c>
      <c r="J8236" t="s">
        <v>44</v>
      </c>
      <c r="K8236" t="s">
        <v>36</v>
      </c>
      <c r="L8236" t="s">
        <v>45</v>
      </c>
      <c r="M8236">
        <v>0</v>
      </c>
      <c r="N8236">
        <v>0</v>
      </c>
      <c r="O8236">
        <v>1281</v>
      </c>
      <c r="P8236">
        <v>1280</v>
      </c>
      <c r="Q8236">
        <f>31-11</f>
        <v>20</v>
      </c>
      <c r="R8236" t="s">
        <v>1021</v>
      </c>
      <c r="S8236" t="s">
        <v>102</v>
      </c>
      <c r="AB8236" t="s">
        <v>86</v>
      </c>
      <c r="AC8236" t="s">
        <v>1140</v>
      </c>
    </row>
    <row r="8237" spans="1:29" x14ac:dyDescent="0.35">
      <c r="A8237" s="7">
        <v>43320</v>
      </c>
      <c r="B8237" t="s">
        <v>30</v>
      </c>
      <c r="C8237">
        <v>202</v>
      </c>
      <c r="D8237">
        <v>6</v>
      </c>
      <c r="E8237">
        <v>1</v>
      </c>
      <c r="F8237" t="s">
        <v>1139</v>
      </c>
      <c r="G8237" t="s">
        <v>32</v>
      </c>
      <c r="H8237" t="s">
        <v>33</v>
      </c>
      <c r="I8237" t="s">
        <v>43</v>
      </c>
      <c r="J8237" t="s">
        <v>35</v>
      </c>
      <c r="K8237" t="s">
        <v>36</v>
      </c>
      <c r="L8237" t="s">
        <v>45</v>
      </c>
      <c r="M8237">
        <v>0</v>
      </c>
      <c r="N8237">
        <v>1</v>
      </c>
      <c r="O8237">
        <v>1508</v>
      </c>
      <c r="P8237">
        <v>1507</v>
      </c>
      <c r="Q8237">
        <f>32-12</f>
        <v>20</v>
      </c>
      <c r="R8237" t="s">
        <v>46</v>
      </c>
      <c r="S8237" t="s">
        <v>39</v>
      </c>
      <c r="AB8237" t="s">
        <v>86</v>
      </c>
      <c r="AC8237" t="s">
        <v>1140</v>
      </c>
    </row>
    <row r="8238" spans="1:29" x14ac:dyDescent="0.35">
      <c r="A8238" s="7">
        <v>43320</v>
      </c>
      <c r="B8238" t="s">
        <v>30</v>
      </c>
      <c r="C8238">
        <v>202</v>
      </c>
      <c r="D8238">
        <v>7</v>
      </c>
      <c r="E8238">
        <v>1</v>
      </c>
      <c r="F8238" t="s">
        <v>1139</v>
      </c>
      <c r="G8238" t="s">
        <v>32</v>
      </c>
      <c r="H8238" t="s">
        <v>33</v>
      </c>
      <c r="I8238" t="s">
        <v>43</v>
      </c>
      <c r="J8238" t="s">
        <v>44</v>
      </c>
      <c r="K8238" t="s">
        <v>36</v>
      </c>
      <c r="L8238" t="s">
        <v>37</v>
      </c>
      <c r="M8238">
        <v>0</v>
      </c>
      <c r="N8238">
        <v>0</v>
      </c>
      <c r="O8238">
        <v>1425</v>
      </c>
      <c r="P8238">
        <v>1424</v>
      </c>
      <c r="Q8238">
        <f>32.5-14</f>
        <v>18.5</v>
      </c>
      <c r="R8238" t="s">
        <v>38</v>
      </c>
      <c r="AB8238" t="s">
        <v>86</v>
      </c>
      <c r="AC8238" t="s">
        <v>1140</v>
      </c>
    </row>
    <row r="8239" spans="1:29" x14ac:dyDescent="0.35">
      <c r="A8239" s="7">
        <v>43320</v>
      </c>
      <c r="B8239" t="s">
        <v>30</v>
      </c>
      <c r="C8239">
        <v>202</v>
      </c>
      <c r="D8239">
        <v>7</v>
      </c>
      <c r="E8239">
        <v>2</v>
      </c>
      <c r="F8239" t="s">
        <v>1139</v>
      </c>
      <c r="G8239" t="s">
        <v>32</v>
      </c>
      <c r="H8239" t="s">
        <v>33</v>
      </c>
      <c r="I8239" t="s">
        <v>43</v>
      </c>
      <c r="J8239" t="s">
        <v>35</v>
      </c>
      <c r="K8239" t="s">
        <v>88</v>
      </c>
      <c r="L8239" t="s">
        <v>45</v>
      </c>
      <c r="M8239">
        <v>0</v>
      </c>
      <c r="N8239">
        <v>1</v>
      </c>
      <c r="O8239">
        <v>1510</v>
      </c>
      <c r="P8239">
        <v>1509</v>
      </c>
      <c r="Q8239">
        <f>26.5-12</f>
        <v>14.5</v>
      </c>
      <c r="R8239" t="s">
        <v>46</v>
      </c>
      <c r="S8239" t="s">
        <v>39</v>
      </c>
      <c r="AB8239" t="s">
        <v>86</v>
      </c>
      <c r="AC8239" t="s">
        <v>1140</v>
      </c>
    </row>
    <row r="8240" spans="1:29" x14ac:dyDescent="0.35">
      <c r="A8240" s="7">
        <v>43320</v>
      </c>
      <c r="B8240" t="s">
        <v>30</v>
      </c>
      <c r="C8240">
        <v>203</v>
      </c>
      <c r="D8240">
        <v>2</v>
      </c>
      <c r="E8240">
        <v>1</v>
      </c>
      <c r="F8240" t="s">
        <v>1139</v>
      </c>
      <c r="G8240" t="s">
        <v>32</v>
      </c>
      <c r="H8240" t="s">
        <v>33</v>
      </c>
      <c r="I8240" t="s">
        <v>43</v>
      </c>
      <c r="J8240" t="s">
        <v>35</v>
      </c>
      <c r="K8240" t="s">
        <v>113</v>
      </c>
      <c r="L8240" t="s">
        <v>45</v>
      </c>
      <c r="M8240">
        <v>0</v>
      </c>
      <c r="N8240">
        <v>1</v>
      </c>
      <c r="O8240">
        <v>1502</v>
      </c>
      <c r="P8240">
        <v>1501</v>
      </c>
      <c r="Q8240">
        <f>33-18</f>
        <v>15</v>
      </c>
      <c r="R8240" t="s">
        <v>46</v>
      </c>
      <c r="S8240" t="s">
        <v>39</v>
      </c>
      <c r="AB8240" t="s">
        <v>86</v>
      </c>
      <c r="AC8240" t="s">
        <v>1140</v>
      </c>
    </row>
    <row r="8241" spans="1:30" x14ac:dyDescent="0.35">
      <c r="A8241" s="7">
        <v>43320</v>
      </c>
      <c r="B8241" t="s">
        <v>30</v>
      </c>
      <c r="C8241">
        <v>203</v>
      </c>
      <c r="D8241">
        <v>5</v>
      </c>
      <c r="E8241">
        <v>1</v>
      </c>
      <c r="F8241" t="s">
        <v>1139</v>
      </c>
      <c r="G8241" t="s">
        <v>32</v>
      </c>
      <c r="H8241" t="s">
        <v>33</v>
      </c>
      <c r="I8241" t="s">
        <v>43</v>
      </c>
      <c r="J8241" t="s">
        <v>44</v>
      </c>
      <c r="K8241" t="s">
        <v>36</v>
      </c>
      <c r="L8241" t="s">
        <v>45</v>
      </c>
      <c r="M8241">
        <v>0</v>
      </c>
      <c r="N8241">
        <v>0</v>
      </c>
      <c r="O8241">
        <v>1198</v>
      </c>
      <c r="P8241">
        <v>1197</v>
      </c>
      <c r="Q8241">
        <f>32-13</f>
        <v>19</v>
      </c>
      <c r="R8241" t="s">
        <v>77</v>
      </c>
      <c r="S8241" t="s">
        <v>39</v>
      </c>
      <c r="AB8241" t="s">
        <v>86</v>
      </c>
      <c r="AC8241" t="s">
        <v>1140</v>
      </c>
    </row>
    <row r="8242" spans="1:30" x14ac:dyDescent="0.35">
      <c r="A8242" s="7">
        <v>43320</v>
      </c>
      <c r="B8242" t="s">
        <v>30</v>
      </c>
      <c r="C8242">
        <v>203</v>
      </c>
      <c r="D8242">
        <v>9</v>
      </c>
      <c r="E8242">
        <v>1</v>
      </c>
      <c r="F8242" t="s">
        <v>1139</v>
      </c>
      <c r="G8242" t="s">
        <v>32</v>
      </c>
      <c r="H8242" t="s">
        <v>33</v>
      </c>
      <c r="I8242" t="s">
        <v>43</v>
      </c>
      <c r="J8242" t="s">
        <v>44</v>
      </c>
      <c r="K8242" t="s">
        <v>88</v>
      </c>
      <c r="L8242" t="s">
        <v>45</v>
      </c>
      <c r="M8242">
        <v>0</v>
      </c>
      <c r="N8242">
        <v>0</v>
      </c>
      <c r="O8242">
        <v>1417</v>
      </c>
      <c r="P8242">
        <v>1416</v>
      </c>
      <c r="Q8242">
        <f>30-15.5</f>
        <v>14.5</v>
      </c>
      <c r="R8242" t="s">
        <v>46</v>
      </c>
      <c r="S8242" t="s">
        <v>39</v>
      </c>
      <c r="AB8242" t="s">
        <v>86</v>
      </c>
      <c r="AC8242" t="s">
        <v>1140</v>
      </c>
    </row>
    <row r="8243" spans="1:30" x14ac:dyDescent="0.35">
      <c r="A8243" s="7">
        <v>43320</v>
      </c>
      <c r="B8243" t="s">
        <v>30</v>
      </c>
      <c r="C8243">
        <v>111</v>
      </c>
      <c r="D8243">
        <v>6</v>
      </c>
      <c r="E8243">
        <v>1</v>
      </c>
      <c r="F8243" t="s">
        <v>1020</v>
      </c>
      <c r="G8243" t="s">
        <v>32</v>
      </c>
      <c r="H8243" t="s">
        <v>33</v>
      </c>
      <c r="I8243" t="s">
        <v>34</v>
      </c>
      <c r="J8243" t="s">
        <v>44</v>
      </c>
      <c r="K8243" t="s">
        <v>36</v>
      </c>
      <c r="L8243" t="s">
        <v>45</v>
      </c>
      <c r="M8243">
        <v>0</v>
      </c>
      <c r="N8243">
        <v>0</v>
      </c>
      <c r="O8243">
        <v>1317</v>
      </c>
      <c r="Q8243">
        <f>214-131</f>
        <v>83</v>
      </c>
      <c r="R8243" t="s">
        <v>46</v>
      </c>
      <c r="S8243" t="s">
        <v>39</v>
      </c>
      <c r="AB8243" t="s">
        <v>60</v>
      </c>
      <c r="AC8243" t="s">
        <v>87</v>
      </c>
    </row>
    <row r="8244" spans="1:30" x14ac:dyDescent="0.35">
      <c r="A8244" s="7">
        <v>43320</v>
      </c>
      <c r="B8244" t="s">
        <v>30</v>
      </c>
      <c r="C8244">
        <v>111</v>
      </c>
      <c r="D8244">
        <v>10</v>
      </c>
      <c r="E8244">
        <v>2</v>
      </c>
      <c r="F8244" t="s">
        <v>1020</v>
      </c>
      <c r="G8244" t="s">
        <v>32</v>
      </c>
      <c r="H8244" t="s">
        <v>33</v>
      </c>
      <c r="I8244" t="s">
        <v>34</v>
      </c>
      <c r="J8244" t="s">
        <v>35</v>
      </c>
      <c r="K8244" t="s">
        <v>36</v>
      </c>
      <c r="L8244" t="s">
        <v>45</v>
      </c>
      <c r="M8244">
        <v>0</v>
      </c>
      <c r="N8244">
        <v>1</v>
      </c>
      <c r="O8244">
        <v>1434</v>
      </c>
      <c r="Q8244">
        <f>226-130</f>
        <v>96</v>
      </c>
      <c r="R8244" t="s">
        <v>46</v>
      </c>
      <c r="S8244" t="s">
        <v>39</v>
      </c>
      <c r="AB8244" t="s">
        <v>60</v>
      </c>
      <c r="AC8244" t="s">
        <v>87</v>
      </c>
    </row>
    <row r="8245" spans="1:30" x14ac:dyDescent="0.35">
      <c r="A8245" s="7">
        <v>43320</v>
      </c>
      <c r="B8245" t="s">
        <v>30</v>
      </c>
      <c r="C8245">
        <v>112</v>
      </c>
      <c r="D8245">
        <v>5</v>
      </c>
      <c r="E8245">
        <v>1</v>
      </c>
      <c r="F8245" t="s">
        <v>1020</v>
      </c>
      <c r="G8245" t="s">
        <v>32</v>
      </c>
      <c r="H8245" t="s">
        <v>33</v>
      </c>
      <c r="I8245" t="s">
        <v>34</v>
      </c>
      <c r="J8245" t="s">
        <v>35</v>
      </c>
      <c r="K8245" t="s">
        <v>36</v>
      </c>
      <c r="L8245" t="s">
        <v>45</v>
      </c>
      <c r="M8245">
        <v>0</v>
      </c>
      <c r="N8245">
        <v>1</v>
      </c>
      <c r="O8245">
        <v>1435</v>
      </c>
      <c r="Q8245">
        <f>208-130</f>
        <v>78</v>
      </c>
      <c r="R8245" t="s">
        <v>46</v>
      </c>
      <c r="S8245" t="s">
        <v>39</v>
      </c>
      <c r="AB8245" t="s">
        <v>60</v>
      </c>
      <c r="AC8245" t="s">
        <v>87</v>
      </c>
      <c r="AD8245" t="s">
        <v>1269</v>
      </c>
    </row>
    <row r="8246" spans="1:30" x14ac:dyDescent="0.35">
      <c r="A8246" s="7">
        <v>43320</v>
      </c>
      <c r="B8246" t="s">
        <v>30</v>
      </c>
      <c r="C8246">
        <v>112</v>
      </c>
      <c r="D8246">
        <v>8</v>
      </c>
      <c r="E8246">
        <v>2</v>
      </c>
      <c r="F8246" t="s">
        <v>1020</v>
      </c>
      <c r="G8246" t="s">
        <v>32</v>
      </c>
      <c r="H8246" t="s">
        <v>33</v>
      </c>
      <c r="I8246" t="s">
        <v>34</v>
      </c>
      <c r="J8246" t="s">
        <v>44</v>
      </c>
      <c r="K8246" t="s">
        <v>36</v>
      </c>
      <c r="L8246" t="s">
        <v>37</v>
      </c>
      <c r="M8246">
        <v>0</v>
      </c>
      <c r="N8246">
        <v>0</v>
      </c>
      <c r="P8246">
        <v>1384</v>
      </c>
      <c r="Q8246">
        <f>211-128</f>
        <v>83</v>
      </c>
      <c r="R8246" t="s">
        <v>64</v>
      </c>
      <c r="AB8246" t="s">
        <v>60</v>
      </c>
      <c r="AC8246" t="s">
        <v>87</v>
      </c>
      <c r="AD8246" t="s">
        <v>1270</v>
      </c>
    </row>
    <row r="8247" spans="1:30" x14ac:dyDescent="0.35">
      <c r="A8247" s="7">
        <v>43320</v>
      </c>
      <c r="B8247" t="s">
        <v>30</v>
      </c>
      <c r="C8247">
        <v>113</v>
      </c>
      <c r="D8247">
        <v>3</v>
      </c>
      <c r="E8247">
        <v>1</v>
      </c>
      <c r="F8247" t="s">
        <v>1020</v>
      </c>
      <c r="G8247" t="s">
        <v>32</v>
      </c>
      <c r="H8247" t="s">
        <v>33</v>
      </c>
      <c r="I8247" t="s">
        <v>34</v>
      </c>
      <c r="J8247" t="s">
        <v>44</v>
      </c>
      <c r="K8247" t="s">
        <v>36</v>
      </c>
      <c r="L8247" t="s">
        <v>37</v>
      </c>
      <c r="M8247">
        <v>0</v>
      </c>
      <c r="N8247">
        <v>0</v>
      </c>
      <c r="O8247">
        <v>1340</v>
      </c>
      <c r="Q8247">
        <f>210-133</f>
        <v>77</v>
      </c>
      <c r="R8247" t="s">
        <v>64</v>
      </c>
      <c r="AB8247" t="s">
        <v>60</v>
      </c>
      <c r="AC8247" t="s">
        <v>87</v>
      </c>
      <c r="AD8247" t="s">
        <v>1271</v>
      </c>
    </row>
    <row r="8248" spans="1:30" x14ac:dyDescent="0.35">
      <c r="A8248" s="7">
        <v>43320</v>
      </c>
      <c r="B8248" t="s">
        <v>30</v>
      </c>
      <c r="C8248">
        <v>113</v>
      </c>
      <c r="D8248">
        <v>9</v>
      </c>
      <c r="E8248">
        <v>1</v>
      </c>
      <c r="F8248" t="s">
        <v>1020</v>
      </c>
      <c r="G8248" t="s">
        <v>32</v>
      </c>
      <c r="H8248" t="s">
        <v>33</v>
      </c>
      <c r="I8248" t="s">
        <v>34</v>
      </c>
      <c r="J8248" t="s">
        <v>44</v>
      </c>
      <c r="K8248" t="s">
        <v>36</v>
      </c>
      <c r="L8248" t="s">
        <v>37</v>
      </c>
      <c r="M8248">
        <v>0</v>
      </c>
      <c r="N8248">
        <v>0</v>
      </c>
      <c r="O8248">
        <v>1058</v>
      </c>
      <c r="Q8248">
        <f>213-130</f>
        <v>83</v>
      </c>
      <c r="R8248" t="s">
        <v>64</v>
      </c>
      <c r="AB8248" t="s">
        <v>60</v>
      </c>
      <c r="AC8248" t="s">
        <v>87</v>
      </c>
      <c r="AD8248" t="s">
        <v>1272</v>
      </c>
    </row>
    <row r="8249" spans="1:30" x14ac:dyDescent="0.35">
      <c r="A8249" s="7">
        <v>43320</v>
      </c>
      <c r="B8249" t="s">
        <v>30</v>
      </c>
      <c r="C8249">
        <v>201</v>
      </c>
      <c r="D8249">
        <v>1</v>
      </c>
      <c r="E8249">
        <v>1</v>
      </c>
      <c r="F8249" t="s">
        <v>1139</v>
      </c>
      <c r="G8249" t="s">
        <v>32</v>
      </c>
      <c r="H8249" t="s">
        <v>33</v>
      </c>
      <c r="I8249" t="s">
        <v>34</v>
      </c>
      <c r="J8249" t="s">
        <v>35</v>
      </c>
      <c r="K8249" t="s">
        <v>36</v>
      </c>
      <c r="L8249" t="s">
        <v>37</v>
      </c>
      <c r="M8249">
        <v>0</v>
      </c>
      <c r="N8249">
        <v>1</v>
      </c>
      <c r="O8249">
        <v>1473</v>
      </c>
      <c r="Q8249">
        <f>175-85</f>
        <v>90</v>
      </c>
      <c r="R8249" t="s">
        <v>64</v>
      </c>
      <c r="AB8249" t="s">
        <v>86</v>
      </c>
      <c r="AC8249" t="s">
        <v>1140</v>
      </c>
    </row>
    <row r="8250" spans="1:30" x14ac:dyDescent="0.35">
      <c r="A8250" s="7">
        <v>43320</v>
      </c>
      <c r="B8250" t="s">
        <v>30</v>
      </c>
      <c r="C8250">
        <v>203</v>
      </c>
      <c r="D8250">
        <v>4</v>
      </c>
      <c r="E8250">
        <v>1</v>
      </c>
      <c r="F8250" t="s">
        <v>1139</v>
      </c>
      <c r="G8250" t="s">
        <v>32</v>
      </c>
      <c r="H8250" t="s">
        <v>33</v>
      </c>
      <c r="I8250" t="s">
        <v>34</v>
      </c>
      <c r="J8250" t="s">
        <v>35</v>
      </c>
      <c r="K8250" t="s">
        <v>36</v>
      </c>
      <c r="L8250" t="s">
        <v>37</v>
      </c>
      <c r="M8250">
        <v>0</v>
      </c>
      <c r="N8250">
        <v>1</v>
      </c>
      <c r="O8250">
        <v>1409</v>
      </c>
      <c r="Q8250">
        <f>170-90</f>
        <v>80</v>
      </c>
      <c r="R8250" t="s">
        <v>38</v>
      </c>
      <c r="AB8250" t="s">
        <v>86</v>
      </c>
      <c r="AC8250" t="s">
        <v>1140</v>
      </c>
    </row>
    <row r="8251" spans="1:30" x14ac:dyDescent="0.35">
      <c r="A8251" s="7">
        <v>43320</v>
      </c>
      <c r="B8251" t="s">
        <v>30</v>
      </c>
      <c r="C8251">
        <v>304</v>
      </c>
      <c r="D8251">
        <v>7</v>
      </c>
      <c r="E8251">
        <v>1</v>
      </c>
      <c r="F8251" t="s">
        <v>1139</v>
      </c>
      <c r="G8251" t="s">
        <v>32</v>
      </c>
      <c r="H8251" t="s">
        <v>33</v>
      </c>
      <c r="I8251" t="s">
        <v>58</v>
      </c>
      <c r="J8251" t="s">
        <v>35</v>
      </c>
      <c r="K8251" t="s">
        <v>36</v>
      </c>
      <c r="L8251" t="s">
        <v>37</v>
      </c>
      <c r="M8251">
        <v>0</v>
      </c>
      <c r="N8251">
        <v>1</v>
      </c>
      <c r="O8251">
        <v>1511</v>
      </c>
      <c r="Q8251">
        <f>41.5-14.5</f>
        <v>27</v>
      </c>
      <c r="R8251" t="s">
        <v>38</v>
      </c>
      <c r="Z8251" t="s">
        <v>102</v>
      </c>
      <c r="AB8251" t="s">
        <v>86</v>
      </c>
      <c r="AC8251" t="s">
        <v>1140</v>
      </c>
    </row>
    <row r="8252" spans="1:30" x14ac:dyDescent="0.35">
      <c r="A8252" s="7">
        <v>43320</v>
      </c>
      <c r="B8252" t="s">
        <v>30</v>
      </c>
      <c r="C8252">
        <v>402</v>
      </c>
      <c r="D8252">
        <v>2</v>
      </c>
      <c r="E8252">
        <v>1</v>
      </c>
      <c r="F8252" t="s">
        <v>1020</v>
      </c>
      <c r="G8252" t="s">
        <v>32</v>
      </c>
      <c r="H8252" t="s">
        <v>33</v>
      </c>
      <c r="I8252" t="s">
        <v>58</v>
      </c>
      <c r="J8252" t="s">
        <v>139</v>
      </c>
      <c r="AB8252" t="s">
        <v>60</v>
      </c>
      <c r="AC8252" t="s">
        <v>87</v>
      </c>
      <c r="AD8252" t="s">
        <v>1273</v>
      </c>
    </row>
    <row r="8253" spans="1:30" x14ac:dyDescent="0.35">
      <c r="A8253" s="7">
        <v>43320</v>
      </c>
      <c r="B8253" t="s">
        <v>30</v>
      </c>
      <c r="C8253">
        <v>304</v>
      </c>
      <c r="D8253">
        <v>3</v>
      </c>
      <c r="E8253">
        <v>1</v>
      </c>
      <c r="F8253" t="s">
        <v>1139</v>
      </c>
      <c r="G8253" t="s">
        <v>32</v>
      </c>
      <c r="H8253" t="s">
        <v>33</v>
      </c>
      <c r="I8253" t="s">
        <v>1029</v>
      </c>
      <c r="J8253" t="s">
        <v>66</v>
      </c>
      <c r="AB8253" t="s">
        <v>86</v>
      </c>
      <c r="AC8253" t="s">
        <v>1140</v>
      </c>
    </row>
    <row r="8254" spans="1:30" x14ac:dyDescent="0.35">
      <c r="A8254" s="7">
        <v>43320</v>
      </c>
      <c r="B8254" t="s">
        <v>30</v>
      </c>
      <c r="C8254">
        <v>111</v>
      </c>
      <c r="D8254">
        <v>8</v>
      </c>
      <c r="E8254">
        <v>2</v>
      </c>
      <c r="F8254" t="s">
        <v>1020</v>
      </c>
      <c r="G8254" t="s">
        <v>32</v>
      </c>
      <c r="H8254" t="s">
        <v>33</v>
      </c>
      <c r="I8254" t="s">
        <v>72</v>
      </c>
      <c r="J8254" t="s">
        <v>56</v>
      </c>
      <c r="AB8254" t="s">
        <v>60</v>
      </c>
      <c r="AC8254" t="s">
        <v>87</v>
      </c>
    </row>
    <row r="8255" spans="1:30" x14ac:dyDescent="0.35">
      <c r="A8255" s="7">
        <v>43320</v>
      </c>
      <c r="B8255" t="s">
        <v>30</v>
      </c>
      <c r="C8255">
        <v>112</v>
      </c>
      <c r="D8255">
        <v>1</v>
      </c>
      <c r="E8255">
        <v>1</v>
      </c>
      <c r="F8255" t="s">
        <v>1020</v>
      </c>
      <c r="G8255" t="s">
        <v>32</v>
      </c>
      <c r="H8255" t="s">
        <v>33</v>
      </c>
      <c r="I8255" t="s">
        <v>72</v>
      </c>
      <c r="J8255" t="s">
        <v>56</v>
      </c>
      <c r="AB8255" t="s">
        <v>60</v>
      </c>
      <c r="AC8255" t="s">
        <v>87</v>
      </c>
    </row>
    <row r="8256" spans="1:30" x14ac:dyDescent="0.35">
      <c r="A8256" s="7">
        <v>43320</v>
      </c>
      <c r="B8256" t="s">
        <v>30</v>
      </c>
      <c r="C8256">
        <v>112</v>
      </c>
      <c r="D8256">
        <v>1</v>
      </c>
      <c r="E8256">
        <v>2</v>
      </c>
      <c r="F8256" t="s">
        <v>1020</v>
      </c>
      <c r="G8256" t="s">
        <v>32</v>
      </c>
      <c r="H8256" t="s">
        <v>33</v>
      </c>
      <c r="I8256" t="s">
        <v>72</v>
      </c>
      <c r="J8256" t="s">
        <v>56</v>
      </c>
      <c r="AB8256" t="s">
        <v>60</v>
      </c>
      <c r="AC8256" t="s">
        <v>87</v>
      </c>
    </row>
    <row r="8257" spans="1:29" x14ac:dyDescent="0.35">
      <c r="A8257" s="7">
        <v>43320</v>
      </c>
      <c r="B8257" t="s">
        <v>30</v>
      </c>
      <c r="C8257">
        <v>112</v>
      </c>
      <c r="D8257">
        <v>7</v>
      </c>
      <c r="E8257">
        <v>1</v>
      </c>
      <c r="F8257" t="s">
        <v>1020</v>
      </c>
      <c r="G8257" t="s">
        <v>32</v>
      </c>
      <c r="H8257" t="s">
        <v>33</v>
      </c>
      <c r="I8257" t="s">
        <v>72</v>
      </c>
      <c r="J8257" t="s">
        <v>56</v>
      </c>
      <c r="AB8257" t="s">
        <v>60</v>
      </c>
      <c r="AC8257" t="s">
        <v>87</v>
      </c>
    </row>
    <row r="8258" spans="1:29" x14ac:dyDescent="0.35">
      <c r="A8258" s="7">
        <v>43320</v>
      </c>
      <c r="B8258" t="s">
        <v>30</v>
      </c>
      <c r="C8258">
        <v>112</v>
      </c>
      <c r="D8258">
        <v>7</v>
      </c>
      <c r="E8258">
        <v>2</v>
      </c>
      <c r="F8258" t="s">
        <v>1020</v>
      </c>
      <c r="G8258" t="s">
        <v>32</v>
      </c>
      <c r="H8258" t="s">
        <v>33</v>
      </c>
      <c r="I8258" t="s">
        <v>72</v>
      </c>
      <c r="J8258" t="s">
        <v>56</v>
      </c>
      <c r="AB8258" t="s">
        <v>60</v>
      </c>
      <c r="AC8258" t="s">
        <v>87</v>
      </c>
    </row>
    <row r="8259" spans="1:29" x14ac:dyDescent="0.35">
      <c r="A8259" s="7">
        <v>43320</v>
      </c>
      <c r="B8259" t="s">
        <v>30</v>
      </c>
      <c r="C8259">
        <v>113</v>
      </c>
      <c r="D8259">
        <v>1</v>
      </c>
      <c r="E8259">
        <v>2</v>
      </c>
      <c r="F8259" t="s">
        <v>1020</v>
      </c>
      <c r="G8259" t="s">
        <v>32</v>
      </c>
      <c r="H8259" t="s">
        <v>33</v>
      </c>
      <c r="I8259" t="s">
        <v>72</v>
      </c>
      <c r="J8259" t="s">
        <v>66</v>
      </c>
      <c r="AB8259" t="s">
        <v>60</v>
      </c>
      <c r="AC8259" t="s">
        <v>87</v>
      </c>
    </row>
    <row r="8260" spans="1:29" x14ac:dyDescent="0.35">
      <c r="A8260" s="7">
        <v>43320</v>
      </c>
      <c r="B8260" t="s">
        <v>30</v>
      </c>
      <c r="C8260">
        <v>113</v>
      </c>
      <c r="D8260">
        <v>2</v>
      </c>
      <c r="E8260">
        <v>1</v>
      </c>
      <c r="F8260" t="s">
        <v>1020</v>
      </c>
      <c r="G8260" t="s">
        <v>32</v>
      </c>
      <c r="H8260" t="s">
        <v>33</v>
      </c>
      <c r="I8260" t="s">
        <v>72</v>
      </c>
      <c r="J8260" t="s">
        <v>56</v>
      </c>
      <c r="AB8260" t="s">
        <v>60</v>
      </c>
      <c r="AC8260" t="s">
        <v>87</v>
      </c>
    </row>
    <row r="8261" spans="1:29" x14ac:dyDescent="0.35">
      <c r="A8261" s="7">
        <v>43320</v>
      </c>
      <c r="B8261" t="s">
        <v>30</v>
      </c>
      <c r="C8261">
        <v>113</v>
      </c>
      <c r="D8261">
        <v>4</v>
      </c>
      <c r="E8261">
        <v>1</v>
      </c>
      <c r="F8261" t="s">
        <v>1020</v>
      </c>
      <c r="G8261" t="s">
        <v>32</v>
      </c>
      <c r="H8261" t="s">
        <v>33</v>
      </c>
      <c r="I8261" t="s">
        <v>72</v>
      </c>
      <c r="J8261" t="s">
        <v>56</v>
      </c>
      <c r="AB8261" t="s">
        <v>60</v>
      </c>
      <c r="AC8261" t="s">
        <v>87</v>
      </c>
    </row>
    <row r="8262" spans="1:29" x14ac:dyDescent="0.35">
      <c r="A8262" s="7">
        <v>43320</v>
      </c>
      <c r="B8262" t="s">
        <v>30</v>
      </c>
      <c r="C8262">
        <v>113</v>
      </c>
      <c r="D8262">
        <v>5</v>
      </c>
      <c r="E8262">
        <v>2</v>
      </c>
      <c r="F8262" t="s">
        <v>1020</v>
      </c>
      <c r="G8262" t="s">
        <v>32</v>
      </c>
      <c r="H8262" t="s">
        <v>33</v>
      </c>
      <c r="I8262" t="s">
        <v>72</v>
      </c>
      <c r="J8262" t="s">
        <v>56</v>
      </c>
      <c r="AB8262" t="s">
        <v>60</v>
      </c>
      <c r="AC8262" t="s">
        <v>87</v>
      </c>
    </row>
    <row r="8263" spans="1:29" x14ac:dyDescent="0.35">
      <c r="A8263" s="7">
        <v>43320</v>
      </c>
      <c r="B8263" t="s">
        <v>30</v>
      </c>
      <c r="C8263">
        <v>203</v>
      </c>
      <c r="D8263">
        <v>1</v>
      </c>
      <c r="E8263">
        <v>1</v>
      </c>
      <c r="F8263" t="s">
        <v>1139</v>
      </c>
      <c r="G8263" t="s">
        <v>32</v>
      </c>
      <c r="H8263" t="s">
        <v>33</v>
      </c>
      <c r="I8263" t="s">
        <v>72</v>
      </c>
      <c r="J8263" t="s">
        <v>56</v>
      </c>
      <c r="AB8263" t="s">
        <v>86</v>
      </c>
      <c r="AC8263" t="s">
        <v>1140</v>
      </c>
    </row>
    <row r="8264" spans="1:29" x14ac:dyDescent="0.35">
      <c r="A8264" s="7">
        <v>43320</v>
      </c>
      <c r="B8264" t="s">
        <v>30</v>
      </c>
      <c r="C8264">
        <v>203</v>
      </c>
      <c r="D8264">
        <v>3</v>
      </c>
      <c r="E8264">
        <v>1</v>
      </c>
      <c r="F8264" t="s">
        <v>1139</v>
      </c>
      <c r="G8264" t="s">
        <v>32</v>
      </c>
      <c r="H8264" t="s">
        <v>33</v>
      </c>
      <c r="I8264" t="s">
        <v>72</v>
      </c>
      <c r="J8264" t="s">
        <v>56</v>
      </c>
      <c r="AB8264" t="s">
        <v>86</v>
      </c>
      <c r="AC8264" t="s">
        <v>1140</v>
      </c>
    </row>
    <row r="8265" spans="1:29" x14ac:dyDescent="0.35">
      <c r="A8265" s="7">
        <v>43320</v>
      </c>
      <c r="B8265" t="s">
        <v>30</v>
      </c>
      <c r="C8265">
        <v>203</v>
      </c>
      <c r="D8265">
        <v>5</v>
      </c>
      <c r="E8265">
        <v>2</v>
      </c>
      <c r="F8265" t="s">
        <v>1139</v>
      </c>
      <c r="G8265" t="s">
        <v>32</v>
      </c>
      <c r="H8265" t="s">
        <v>33</v>
      </c>
      <c r="I8265" t="s">
        <v>72</v>
      </c>
      <c r="J8265" t="s">
        <v>56</v>
      </c>
      <c r="AB8265" t="s">
        <v>86</v>
      </c>
      <c r="AC8265" t="s">
        <v>1140</v>
      </c>
    </row>
    <row r="8266" spans="1:29" x14ac:dyDescent="0.35">
      <c r="A8266" s="7">
        <v>43320</v>
      </c>
      <c r="B8266" t="s">
        <v>30</v>
      </c>
      <c r="C8266">
        <v>203</v>
      </c>
      <c r="D8266">
        <v>8</v>
      </c>
      <c r="E8266">
        <v>1</v>
      </c>
      <c r="F8266" t="s">
        <v>1139</v>
      </c>
      <c r="G8266" t="s">
        <v>32</v>
      </c>
      <c r="H8266" t="s">
        <v>33</v>
      </c>
      <c r="I8266" t="s">
        <v>72</v>
      </c>
      <c r="J8266" t="s">
        <v>56</v>
      </c>
      <c r="AB8266" t="s">
        <v>86</v>
      </c>
      <c r="AC8266" t="s">
        <v>1140</v>
      </c>
    </row>
    <row r="8267" spans="1:29" x14ac:dyDescent="0.35">
      <c r="A8267" s="7">
        <v>43320</v>
      </c>
      <c r="B8267" t="s">
        <v>30</v>
      </c>
      <c r="C8267">
        <v>304</v>
      </c>
      <c r="D8267">
        <v>1</v>
      </c>
      <c r="E8267">
        <v>2</v>
      </c>
      <c r="F8267" t="s">
        <v>1139</v>
      </c>
      <c r="G8267" t="s">
        <v>32</v>
      </c>
      <c r="H8267" t="s">
        <v>33</v>
      </c>
      <c r="I8267" t="s">
        <v>72</v>
      </c>
      <c r="J8267" t="s">
        <v>56</v>
      </c>
      <c r="AB8267" t="s">
        <v>86</v>
      </c>
      <c r="AC8267" t="s">
        <v>1140</v>
      </c>
    </row>
    <row r="8268" spans="1:29" x14ac:dyDescent="0.35">
      <c r="A8268" s="7">
        <v>43320</v>
      </c>
      <c r="B8268" t="s">
        <v>30</v>
      </c>
      <c r="C8268">
        <v>304</v>
      </c>
      <c r="D8268">
        <v>2</v>
      </c>
      <c r="E8268">
        <v>1</v>
      </c>
      <c r="F8268" t="s">
        <v>1139</v>
      </c>
      <c r="G8268" t="s">
        <v>32</v>
      </c>
      <c r="H8268" t="s">
        <v>33</v>
      </c>
      <c r="I8268" t="s">
        <v>72</v>
      </c>
      <c r="J8268" t="s">
        <v>56</v>
      </c>
      <c r="AB8268" t="s">
        <v>86</v>
      </c>
      <c r="AC8268" t="s">
        <v>1140</v>
      </c>
    </row>
    <row r="8269" spans="1:29" x14ac:dyDescent="0.35">
      <c r="A8269" s="7">
        <v>43320</v>
      </c>
      <c r="B8269" t="s">
        <v>30</v>
      </c>
      <c r="C8269">
        <v>304</v>
      </c>
      <c r="D8269">
        <v>4</v>
      </c>
      <c r="E8269">
        <v>2</v>
      </c>
      <c r="F8269" t="s">
        <v>1139</v>
      </c>
      <c r="G8269" t="s">
        <v>32</v>
      </c>
      <c r="H8269" t="s">
        <v>33</v>
      </c>
      <c r="I8269" t="s">
        <v>72</v>
      </c>
      <c r="J8269" t="s">
        <v>66</v>
      </c>
      <c r="AB8269" t="s">
        <v>86</v>
      </c>
      <c r="AC8269" t="s">
        <v>1140</v>
      </c>
    </row>
    <row r="8270" spans="1:29" x14ac:dyDescent="0.35">
      <c r="A8270" s="7">
        <v>43320</v>
      </c>
      <c r="B8270" t="s">
        <v>30</v>
      </c>
      <c r="C8270">
        <v>304</v>
      </c>
      <c r="D8270">
        <v>6</v>
      </c>
      <c r="E8270">
        <v>1</v>
      </c>
      <c r="F8270" t="s">
        <v>1139</v>
      </c>
      <c r="G8270" t="s">
        <v>32</v>
      </c>
      <c r="H8270" t="s">
        <v>33</v>
      </c>
      <c r="I8270" t="s">
        <v>72</v>
      </c>
      <c r="J8270" t="s">
        <v>56</v>
      </c>
      <c r="AB8270" t="s">
        <v>86</v>
      </c>
      <c r="AC8270" t="s">
        <v>1140</v>
      </c>
    </row>
    <row r="8271" spans="1:29" x14ac:dyDescent="0.35">
      <c r="A8271" s="7">
        <v>43320</v>
      </c>
      <c r="B8271" t="s">
        <v>30</v>
      </c>
      <c r="C8271">
        <v>304</v>
      </c>
      <c r="D8271">
        <v>9</v>
      </c>
      <c r="E8271">
        <v>1</v>
      </c>
      <c r="F8271" t="s">
        <v>1139</v>
      </c>
      <c r="G8271" t="s">
        <v>32</v>
      </c>
      <c r="H8271" t="s">
        <v>33</v>
      </c>
      <c r="I8271" t="s">
        <v>72</v>
      </c>
      <c r="J8271" t="s">
        <v>56</v>
      </c>
      <c r="AB8271" t="s">
        <v>86</v>
      </c>
      <c r="AC8271" t="s">
        <v>1140</v>
      </c>
    </row>
    <row r="8272" spans="1:29" x14ac:dyDescent="0.35">
      <c r="A8272" s="7">
        <v>43320</v>
      </c>
      <c r="B8272" t="s">
        <v>30</v>
      </c>
      <c r="C8272">
        <v>402</v>
      </c>
      <c r="D8272">
        <v>3</v>
      </c>
      <c r="E8272">
        <v>1</v>
      </c>
      <c r="F8272" t="s">
        <v>1020</v>
      </c>
      <c r="G8272" t="s">
        <v>32</v>
      </c>
      <c r="H8272" t="s">
        <v>33</v>
      </c>
      <c r="I8272" t="s">
        <v>72</v>
      </c>
      <c r="J8272" t="s">
        <v>56</v>
      </c>
      <c r="AB8272" t="s">
        <v>60</v>
      </c>
      <c r="AC8272" t="s">
        <v>87</v>
      </c>
    </row>
    <row r="8273" spans="1:29" x14ac:dyDescent="0.35">
      <c r="A8273" s="7">
        <v>43320</v>
      </c>
      <c r="B8273" t="s">
        <v>30</v>
      </c>
      <c r="C8273">
        <v>111</v>
      </c>
      <c r="D8273">
        <v>10</v>
      </c>
      <c r="E8273">
        <v>1</v>
      </c>
      <c r="F8273" t="s">
        <v>1020</v>
      </c>
      <c r="G8273" t="s">
        <v>32</v>
      </c>
      <c r="H8273" t="s">
        <v>33</v>
      </c>
      <c r="I8273" t="s">
        <v>84</v>
      </c>
      <c r="AB8273" t="s">
        <v>60</v>
      </c>
      <c r="AC8273" t="s">
        <v>87</v>
      </c>
    </row>
    <row r="8274" spans="1:29" x14ac:dyDescent="0.35">
      <c r="A8274" s="7">
        <v>43320</v>
      </c>
      <c r="B8274" t="s">
        <v>30</v>
      </c>
      <c r="C8274">
        <v>113</v>
      </c>
      <c r="D8274">
        <v>5</v>
      </c>
      <c r="E8274">
        <v>1</v>
      </c>
      <c r="F8274" t="s">
        <v>1020</v>
      </c>
      <c r="G8274" t="s">
        <v>32</v>
      </c>
      <c r="H8274" t="s">
        <v>33</v>
      </c>
      <c r="I8274" t="s">
        <v>84</v>
      </c>
      <c r="AB8274" t="s">
        <v>60</v>
      </c>
      <c r="AC8274" t="s">
        <v>87</v>
      </c>
    </row>
    <row r="8275" spans="1:29" x14ac:dyDescent="0.35">
      <c r="A8275" s="7">
        <v>43320</v>
      </c>
      <c r="B8275" t="s">
        <v>30</v>
      </c>
      <c r="C8275">
        <v>113</v>
      </c>
      <c r="D8275">
        <v>7</v>
      </c>
      <c r="E8275">
        <v>1</v>
      </c>
      <c r="F8275" t="s">
        <v>1020</v>
      </c>
      <c r="G8275" t="s">
        <v>32</v>
      </c>
      <c r="H8275" t="s">
        <v>33</v>
      </c>
      <c r="I8275" t="s">
        <v>84</v>
      </c>
      <c r="AB8275" t="s">
        <v>60</v>
      </c>
      <c r="AC8275" t="s">
        <v>87</v>
      </c>
    </row>
    <row r="8276" spans="1:29" x14ac:dyDescent="0.35">
      <c r="A8276" s="7">
        <v>43320</v>
      </c>
      <c r="B8276" t="s">
        <v>30</v>
      </c>
      <c r="C8276">
        <v>402</v>
      </c>
      <c r="D8276">
        <v>1</v>
      </c>
      <c r="E8276">
        <v>1</v>
      </c>
      <c r="F8276" t="s">
        <v>1020</v>
      </c>
      <c r="G8276" t="s">
        <v>32</v>
      </c>
      <c r="H8276" t="s">
        <v>33</v>
      </c>
      <c r="I8276" t="s">
        <v>84</v>
      </c>
      <c r="AB8276" t="s">
        <v>60</v>
      </c>
      <c r="AC8276" t="s">
        <v>87</v>
      </c>
    </row>
    <row r="8277" spans="1:29" x14ac:dyDescent="0.35">
      <c r="A8277" s="7">
        <v>43320</v>
      </c>
      <c r="B8277" t="s">
        <v>30</v>
      </c>
      <c r="C8277">
        <v>402</v>
      </c>
      <c r="D8277">
        <v>7</v>
      </c>
      <c r="E8277">
        <v>1</v>
      </c>
      <c r="F8277" t="s">
        <v>1020</v>
      </c>
      <c r="G8277" t="s">
        <v>32</v>
      </c>
      <c r="H8277" t="s">
        <v>33</v>
      </c>
      <c r="I8277" t="s">
        <v>84</v>
      </c>
      <c r="AB8277" t="s">
        <v>60</v>
      </c>
      <c r="AC8277" t="s">
        <v>87</v>
      </c>
    </row>
    <row r="8278" spans="1:29" x14ac:dyDescent="0.35">
      <c r="A8278" s="7">
        <v>43320</v>
      </c>
      <c r="B8278" t="s">
        <v>30</v>
      </c>
      <c r="C8278">
        <v>111</v>
      </c>
      <c r="D8278">
        <v>2</v>
      </c>
      <c r="E8278">
        <v>1</v>
      </c>
      <c r="F8278" t="s">
        <v>1020</v>
      </c>
      <c r="G8278" t="s">
        <v>32</v>
      </c>
      <c r="H8278" t="s">
        <v>33</v>
      </c>
      <c r="I8278" t="s">
        <v>59</v>
      </c>
      <c r="AB8278" t="s">
        <v>60</v>
      </c>
      <c r="AC8278" t="s">
        <v>87</v>
      </c>
    </row>
    <row r="8279" spans="1:29" x14ac:dyDescent="0.35">
      <c r="A8279" s="7">
        <v>43320</v>
      </c>
      <c r="B8279" t="s">
        <v>30</v>
      </c>
      <c r="C8279">
        <v>111</v>
      </c>
      <c r="D8279">
        <v>3</v>
      </c>
      <c r="E8279">
        <v>1</v>
      </c>
      <c r="F8279" t="s">
        <v>1020</v>
      </c>
      <c r="G8279" t="s">
        <v>32</v>
      </c>
      <c r="H8279" t="s">
        <v>33</v>
      </c>
      <c r="I8279" t="s">
        <v>59</v>
      </c>
      <c r="AB8279" t="s">
        <v>60</v>
      </c>
      <c r="AC8279" t="s">
        <v>87</v>
      </c>
    </row>
    <row r="8280" spans="1:29" x14ac:dyDescent="0.35">
      <c r="A8280" s="7">
        <v>43320</v>
      </c>
      <c r="B8280" t="s">
        <v>30</v>
      </c>
      <c r="C8280">
        <v>111</v>
      </c>
      <c r="D8280">
        <v>4</v>
      </c>
      <c r="E8280">
        <v>1</v>
      </c>
      <c r="F8280" t="s">
        <v>1020</v>
      </c>
      <c r="G8280" t="s">
        <v>32</v>
      </c>
      <c r="H8280" t="s">
        <v>33</v>
      </c>
      <c r="I8280" t="s">
        <v>59</v>
      </c>
      <c r="AB8280" t="s">
        <v>60</v>
      </c>
      <c r="AC8280" t="s">
        <v>87</v>
      </c>
    </row>
    <row r="8281" spans="1:29" x14ac:dyDescent="0.35">
      <c r="A8281" s="7">
        <v>43320</v>
      </c>
      <c r="B8281" t="s">
        <v>30</v>
      </c>
      <c r="C8281">
        <v>111</v>
      </c>
      <c r="D8281">
        <v>7</v>
      </c>
      <c r="E8281">
        <v>1</v>
      </c>
      <c r="F8281" t="s">
        <v>1020</v>
      </c>
      <c r="G8281" t="s">
        <v>32</v>
      </c>
      <c r="H8281" t="s">
        <v>33</v>
      </c>
      <c r="I8281" t="s">
        <v>59</v>
      </c>
      <c r="AB8281" t="s">
        <v>60</v>
      </c>
      <c r="AC8281" t="s">
        <v>87</v>
      </c>
    </row>
    <row r="8282" spans="1:29" x14ac:dyDescent="0.35">
      <c r="A8282" s="7">
        <v>43320</v>
      </c>
      <c r="B8282" t="s">
        <v>30</v>
      </c>
      <c r="C8282">
        <v>111</v>
      </c>
      <c r="D8282">
        <v>7</v>
      </c>
      <c r="E8282">
        <v>2</v>
      </c>
      <c r="F8282" t="s">
        <v>1020</v>
      </c>
      <c r="G8282" t="s">
        <v>32</v>
      </c>
      <c r="H8282" t="s">
        <v>33</v>
      </c>
      <c r="I8282" t="s">
        <v>59</v>
      </c>
      <c r="AB8282" t="s">
        <v>60</v>
      </c>
      <c r="AC8282" t="s">
        <v>87</v>
      </c>
    </row>
    <row r="8283" spans="1:29" x14ac:dyDescent="0.35">
      <c r="A8283" s="7">
        <v>43320</v>
      </c>
      <c r="B8283" t="s">
        <v>30</v>
      </c>
      <c r="C8283">
        <v>111</v>
      </c>
      <c r="D8283">
        <v>8</v>
      </c>
      <c r="E8283">
        <v>1</v>
      </c>
      <c r="F8283" t="s">
        <v>1020</v>
      </c>
      <c r="G8283" t="s">
        <v>32</v>
      </c>
      <c r="H8283" t="s">
        <v>33</v>
      </c>
      <c r="I8283" t="s">
        <v>59</v>
      </c>
      <c r="AB8283" t="s">
        <v>60</v>
      </c>
      <c r="AC8283" t="s">
        <v>87</v>
      </c>
    </row>
    <row r="8284" spans="1:29" x14ac:dyDescent="0.35">
      <c r="A8284" s="7">
        <v>43320</v>
      </c>
      <c r="B8284" t="s">
        <v>30</v>
      </c>
      <c r="C8284">
        <v>112</v>
      </c>
      <c r="D8284">
        <v>3</v>
      </c>
      <c r="E8284">
        <v>1</v>
      </c>
      <c r="F8284" t="s">
        <v>1020</v>
      </c>
      <c r="G8284" t="s">
        <v>32</v>
      </c>
      <c r="H8284" t="s">
        <v>33</v>
      </c>
      <c r="I8284" t="s">
        <v>59</v>
      </c>
      <c r="AB8284" t="s">
        <v>60</v>
      </c>
      <c r="AC8284" t="s">
        <v>87</v>
      </c>
    </row>
    <row r="8285" spans="1:29" x14ac:dyDescent="0.35">
      <c r="A8285" s="7">
        <v>43320</v>
      </c>
      <c r="B8285" t="s">
        <v>30</v>
      </c>
      <c r="C8285">
        <v>112</v>
      </c>
      <c r="D8285">
        <v>3</v>
      </c>
      <c r="E8285">
        <v>2</v>
      </c>
      <c r="F8285" t="s">
        <v>1020</v>
      </c>
      <c r="G8285" t="s">
        <v>32</v>
      </c>
      <c r="H8285" t="s">
        <v>33</v>
      </c>
      <c r="I8285" t="s">
        <v>59</v>
      </c>
      <c r="AB8285" t="s">
        <v>60</v>
      </c>
      <c r="AC8285" t="s">
        <v>87</v>
      </c>
    </row>
    <row r="8286" spans="1:29" x14ac:dyDescent="0.35">
      <c r="A8286" s="7">
        <v>43320</v>
      </c>
      <c r="B8286" t="s">
        <v>30</v>
      </c>
      <c r="C8286">
        <v>112</v>
      </c>
      <c r="D8286">
        <v>9</v>
      </c>
      <c r="E8286">
        <v>1</v>
      </c>
      <c r="F8286" t="s">
        <v>1020</v>
      </c>
      <c r="G8286" t="s">
        <v>32</v>
      </c>
      <c r="H8286" t="s">
        <v>33</v>
      </c>
      <c r="I8286" t="s">
        <v>59</v>
      </c>
      <c r="AB8286" t="s">
        <v>60</v>
      </c>
      <c r="AC8286" t="s">
        <v>87</v>
      </c>
    </row>
    <row r="8287" spans="1:29" x14ac:dyDescent="0.35">
      <c r="A8287" s="7">
        <v>43320</v>
      </c>
      <c r="B8287" t="s">
        <v>30</v>
      </c>
      <c r="C8287">
        <v>112</v>
      </c>
      <c r="D8287">
        <v>9</v>
      </c>
      <c r="E8287">
        <v>2</v>
      </c>
      <c r="F8287" t="s">
        <v>1020</v>
      </c>
      <c r="G8287" t="s">
        <v>32</v>
      </c>
      <c r="H8287" t="s">
        <v>33</v>
      </c>
      <c r="I8287" t="s">
        <v>59</v>
      </c>
      <c r="AB8287" t="s">
        <v>60</v>
      </c>
      <c r="AC8287" t="s">
        <v>87</v>
      </c>
    </row>
    <row r="8288" spans="1:29" x14ac:dyDescent="0.35">
      <c r="A8288" s="7">
        <v>43320</v>
      </c>
      <c r="B8288" t="s">
        <v>30</v>
      </c>
      <c r="C8288">
        <v>113</v>
      </c>
      <c r="D8288">
        <v>1</v>
      </c>
      <c r="E8288">
        <v>1</v>
      </c>
      <c r="F8288" t="s">
        <v>1020</v>
      </c>
      <c r="G8288" t="s">
        <v>32</v>
      </c>
      <c r="H8288" t="s">
        <v>33</v>
      </c>
      <c r="I8288" t="s">
        <v>59</v>
      </c>
      <c r="AB8288" t="s">
        <v>60</v>
      </c>
      <c r="AC8288" t="s">
        <v>87</v>
      </c>
    </row>
    <row r="8289" spans="1:29" x14ac:dyDescent="0.35">
      <c r="A8289" s="7">
        <v>43320</v>
      </c>
      <c r="B8289" t="s">
        <v>30</v>
      </c>
      <c r="C8289">
        <v>113</v>
      </c>
      <c r="D8289">
        <v>2</v>
      </c>
      <c r="E8289">
        <v>2</v>
      </c>
      <c r="F8289" t="s">
        <v>1020</v>
      </c>
      <c r="G8289" t="s">
        <v>32</v>
      </c>
      <c r="H8289" t="s">
        <v>33</v>
      </c>
      <c r="I8289" t="s">
        <v>59</v>
      </c>
      <c r="AB8289" t="s">
        <v>60</v>
      </c>
      <c r="AC8289" t="s">
        <v>87</v>
      </c>
    </row>
    <row r="8290" spans="1:29" x14ac:dyDescent="0.35">
      <c r="A8290" s="7">
        <v>43320</v>
      </c>
      <c r="B8290" t="s">
        <v>30</v>
      </c>
      <c r="C8290">
        <v>113</v>
      </c>
      <c r="D8290">
        <v>3</v>
      </c>
      <c r="E8290">
        <v>2</v>
      </c>
      <c r="F8290" t="s">
        <v>1020</v>
      </c>
      <c r="G8290" t="s">
        <v>32</v>
      </c>
      <c r="H8290" t="s">
        <v>33</v>
      </c>
      <c r="I8290" t="s">
        <v>59</v>
      </c>
      <c r="AB8290" t="s">
        <v>60</v>
      </c>
      <c r="AC8290" t="s">
        <v>87</v>
      </c>
    </row>
    <row r="8291" spans="1:29" x14ac:dyDescent="0.35">
      <c r="A8291" s="7">
        <v>43320</v>
      </c>
      <c r="B8291" t="s">
        <v>30</v>
      </c>
      <c r="C8291">
        <v>113</v>
      </c>
      <c r="D8291">
        <v>6</v>
      </c>
      <c r="E8291">
        <v>1</v>
      </c>
      <c r="F8291" t="s">
        <v>1020</v>
      </c>
      <c r="G8291" t="s">
        <v>32</v>
      </c>
      <c r="H8291" t="s">
        <v>33</v>
      </c>
      <c r="I8291" t="s">
        <v>59</v>
      </c>
      <c r="AB8291" t="s">
        <v>60</v>
      </c>
      <c r="AC8291" t="s">
        <v>87</v>
      </c>
    </row>
    <row r="8292" spans="1:29" x14ac:dyDescent="0.35">
      <c r="A8292" s="7">
        <v>43320</v>
      </c>
      <c r="B8292" t="s">
        <v>30</v>
      </c>
      <c r="C8292">
        <v>113</v>
      </c>
      <c r="D8292">
        <v>6</v>
      </c>
      <c r="E8292">
        <v>2</v>
      </c>
      <c r="F8292" t="s">
        <v>1020</v>
      </c>
      <c r="G8292" t="s">
        <v>32</v>
      </c>
      <c r="H8292" t="s">
        <v>33</v>
      </c>
      <c r="I8292" t="s">
        <v>59</v>
      </c>
      <c r="AB8292" t="s">
        <v>60</v>
      </c>
      <c r="AC8292" t="s">
        <v>87</v>
      </c>
    </row>
    <row r="8293" spans="1:29" x14ac:dyDescent="0.35">
      <c r="A8293" s="7">
        <v>43320</v>
      </c>
      <c r="B8293" t="s">
        <v>30</v>
      </c>
      <c r="C8293">
        <v>113</v>
      </c>
      <c r="D8293">
        <v>8</v>
      </c>
      <c r="E8293">
        <v>1</v>
      </c>
      <c r="F8293" t="s">
        <v>1020</v>
      </c>
      <c r="G8293" t="s">
        <v>32</v>
      </c>
      <c r="H8293" t="s">
        <v>33</v>
      </c>
      <c r="I8293" t="s">
        <v>59</v>
      </c>
      <c r="AB8293" t="s">
        <v>60</v>
      </c>
      <c r="AC8293" t="s">
        <v>87</v>
      </c>
    </row>
    <row r="8294" spans="1:29" x14ac:dyDescent="0.35">
      <c r="A8294" s="7">
        <v>43320</v>
      </c>
      <c r="B8294" t="s">
        <v>30</v>
      </c>
      <c r="C8294">
        <v>201</v>
      </c>
      <c r="D8294">
        <v>1</v>
      </c>
      <c r="E8294">
        <v>2</v>
      </c>
      <c r="F8294" t="s">
        <v>1139</v>
      </c>
      <c r="G8294" t="s">
        <v>32</v>
      </c>
      <c r="H8294" t="s">
        <v>33</v>
      </c>
      <c r="I8294" t="s">
        <v>59</v>
      </c>
      <c r="AB8294" t="s">
        <v>86</v>
      </c>
      <c r="AC8294" t="s">
        <v>1140</v>
      </c>
    </row>
    <row r="8295" spans="1:29" x14ac:dyDescent="0.35">
      <c r="A8295" s="7">
        <v>43320</v>
      </c>
      <c r="B8295" t="s">
        <v>30</v>
      </c>
      <c r="C8295">
        <v>201</v>
      </c>
      <c r="D8295">
        <v>2</v>
      </c>
      <c r="E8295">
        <v>2</v>
      </c>
      <c r="F8295" t="s">
        <v>1139</v>
      </c>
      <c r="G8295" t="s">
        <v>32</v>
      </c>
      <c r="H8295" t="s">
        <v>33</v>
      </c>
      <c r="I8295" t="s">
        <v>59</v>
      </c>
      <c r="AB8295" t="s">
        <v>86</v>
      </c>
      <c r="AC8295" t="s">
        <v>1140</v>
      </c>
    </row>
    <row r="8296" spans="1:29" x14ac:dyDescent="0.35">
      <c r="A8296" s="7">
        <v>43320</v>
      </c>
      <c r="B8296" t="s">
        <v>30</v>
      </c>
      <c r="C8296">
        <v>201</v>
      </c>
      <c r="D8296">
        <v>4</v>
      </c>
      <c r="E8296">
        <v>2</v>
      </c>
      <c r="F8296" t="s">
        <v>1139</v>
      </c>
      <c r="G8296" t="s">
        <v>32</v>
      </c>
      <c r="H8296" t="s">
        <v>33</v>
      </c>
      <c r="I8296" t="s">
        <v>59</v>
      </c>
      <c r="AB8296" t="s">
        <v>86</v>
      </c>
      <c r="AC8296" t="s">
        <v>1140</v>
      </c>
    </row>
    <row r="8297" spans="1:29" x14ac:dyDescent="0.35">
      <c r="A8297" s="7">
        <v>43320</v>
      </c>
      <c r="B8297" t="s">
        <v>30</v>
      </c>
      <c r="C8297">
        <v>201</v>
      </c>
      <c r="D8297">
        <v>5</v>
      </c>
      <c r="E8297">
        <v>1</v>
      </c>
      <c r="F8297" t="s">
        <v>1139</v>
      </c>
      <c r="G8297" t="s">
        <v>32</v>
      </c>
      <c r="H8297" t="s">
        <v>33</v>
      </c>
      <c r="I8297" t="s">
        <v>59</v>
      </c>
      <c r="AB8297" t="s">
        <v>86</v>
      </c>
      <c r="AC8297" t="s">
        <v>1140</v>
      </c>
    </row>
    <row r="8298" spans="1:29" x14ac:dyDescent="0.35">
      <c r="A8298" s="7">
        <v>43320</v>
      </c>
      <c r="B8298" t="s">
        <v>30</v>
      </c>
      <c r="C8298">
        <v>201</v>
      </c>
      <c r="D8298">
        <v>8</v>
      </c>
      <c r="E8298">
        <v>1</v>
      </c>
      <c r="F8298" t="s">
        <v>1139</v>
      </c>
      <c r="G8298" t="s">
        <v>32</v>
      </c>
      <c r="H8298" t="s">
        <v>33</v>
      </c>
      <c r="I8298" t="s">
        <v>59</v>
      </c>
      <c r="AB8298" t="s">
        <v>86</v>
      </c>
      <c r="AC8298" t="s">
        <v>1140</v>
      </c>
    </row>
    <row r="8299" spans="1:29" x14ac:dyDescent="0.35">
      <c r="A8299" s="7">
        <v>43320</v>
      </c>
      <c r="B8299" t="s">
        <v>30</v>
      </c>
      <c r="C8299">
        <v>201</v>
      </c>
      <c r="D8299">
        <v>8</v>
      </c>
      <c r="E8299">
        <v>2</v>
      </c>
      <c r="F8299" t="s">
        <v>1139</v>
      </c>
      <c r="G8299" t="s">
        <v>32</v>
      </c>
      <c r="H8299" t="s">
        <v>33</v>
      </c>
      <c r="I8299" t="s">
        <v>59</v>
      </c>
      <c r="AB8299" t="s">
        <v>86</v>
      </c>
      <c r="AC8299" t="s">
        <v>1140</v>
      </c>
    </row>
    <row r="8300" spans="1:29" x14ac:dyDescent="0.35">
      <c r="A8300" s="7">
        <v>43320</v>
      </c>
      <c r="B8300" t="s">
        <v>30</v>
      </c>
      <c r="C8300">
        <v>202</v>
      </c>
      <c r="D8300">
        <v>3</v>
      </c>
      <c r="E8300">
        <v>2</v>
      </c>
      <c r="F8300" t="s">
        <v>1139</v>
      </c>
      <c r="G8300" t="s">
        <v>32</v>
      </c>
      <c r="H8300" t="s">
        <v>33</v>
      </c>
      <c r="I8300" t="s">
        <v>59</v>
      </c>
      <c r="AB8300" t="s">
        <v>86</v>
      </c>
      <c r="AC8300" t="s">
        <v>1140</v>
      </c>
    </row>
    <row r="8301" spans="1:29" x14ac:dyDescent="0.35">
      <c r="A8301" s="7">
        <v>43320</v>
      </c>
      <c r="B8301" t="s">
        <v>30</v>
      </c>
      <c r="C8301">
        <v>203</v>
      </c>
      <c r="D8301">
        <v>7</v>
      </c>
      <c r="E8301">
        <v>1</v>
      </c>
      <c r="F8301" t="s">
        <v>1139</v>
      </c>
      <c r="G8301" t="s">
        <v>32</v>
      </c>
      <c r="H8301" t="s">
        <v>33</v>
      </c>
      <c r="I8301" t="s">
        <v>59</v>
      </c>
      <c r="AB8301" t="s">
        <v>86</v>
      </c>
      <c r="AC8301" t="s">
        <v>1140</v>
      </c>
    </row>
    <row r="8302" spans="1:29" x14ac:dyDescent="0.35">
      <c r="A8302" s="7">
        <v>43320</v>
      </c>
      <c r="B8302" t="s">
        <v>30</v>
      </c>
      <c r="C8302">
        <v>304</v>
      </c>
      <c r="D8302">
        <v>1</v>
      </c>
      <c r="E8302">
        <v>1</v>
      </c>
      <c r="F8302" t="s">
        <v>1139</v>
      </c>
      <c r="G8302" t="s">
        <v>32</v>
      </c>
      <c r="H8302" t="s">
        <v>33</v>
      </c>
      <c r="I8302" t="s">
        <v>59</v>
      </c>
      <c r="AB8302" t="s">
        <v>86</v>
      </c>
      <c r="AC8302" t="s">
        <v>1140</v>
      </c>
    </row>
    <row r="8303" spans="1:29" x14ac:dyDescent="0.35">
      <c r="A8303" s="7">
        <v>43320</v>
      </c>
      <c r="B8303" t="s">
        <v>30</v>
      </c>
      <c r="C8303">
        <v>304</v>
      </c>
      <c r="D8303">
        <v>3</v>
      </c>
      <c r="E8303">
        <v>2</v>
      </c>
      <c r="F8303" t="s">
        <v>1139</v>
      </c>
      <c r="G8303" t="s">
        <v>32</v>
      </c>
      <c r="H8303" t="s">
        <v>33</v>
      </c>
      <c r="I8303" t="s">
        <v>59</v>
      </c>
      <c r="AB8303" t="s">
        <v>86</v>
      </c>
      <c r="AC8303" t="s">
        <v>1140</v>
      </c>
    </row>
    <row r="8304" spans="1:29" x14ac:dyDescent="0.35">
      <c r="A8304" s="7">
        <v>43320</v>
      </c>
      <c r="B8304" t="s">
        <v>30</v>
      </c>
      <c r="C8304">
        <v>304</v>
      </c>
      <c r="D8304">
        <v>8</v>
      </c>
      <c r="E8304">
        <v>1</v>
      </c>
      <c r="F8304" t="s">
        <v>1139</v>
      </c>
      <c r="G8304" t="s">
        <v>32</v>
      </c>
      <c r="H8304" t="s">
        <v>33</v>
      </c>
      <c r="I8304" t="s">
        <v>59</v>
      </c>
      <c r="AB8304" t="s">
        <v>86</v>
      </c>
      <c r="AC8304" t="s">
        <v>1140</v>
      </c>
    </row>
    <row r="8305" spans="1:30" x14ac:dyDescent="0.35">
      <c r="A8305" s="7">
        <v>43320</v>
      </c>
      <c r="B8305" t="s">
        <v>30</v>
      </c>
      <c r="C8305">
        <v>304</v>
      </c>
      <c r="D8305">
        <v>10</v>
      </c>
      <c r="E8305">
        <v>1</v>
      </c>
      <c r="F8305" t="s">
        <v>1139</v>
      </c>
      <c r="G8305" t="s">
        <v>32</v>
      </c>
      <c r="H8305" t="s">
        <v>33</v>
      </c>
      <c r="I8305" t="s">
        <v>59</v>
      </c>
      <c r="AB8305" t="s">
        <v>86</v>
      </c>
      <c r="AC8305" t="s">
        <v>1140</v>
      </c>
    </row>
    <row r="8306" spans="1:30" x14ac:dyDescent="0.35">
      <c r="A8306" s="7">
        <v>43320</v>
      </c>
      <c r="B8306" t="s">
        <v>30</v>
      </c>
      <c r="C8306">
        <v>304</v>
      </c>
      <c r="D8306">
        <v>4</v>
      </c>
      <c r="E8306">
        <v>1</v>
      </c>
      <c r="F8306" t="s">
        <v>1139</v>
      </c>
      <c r="G8306" t="s">
        <v>32</v>
      </c>
      <c r="H8306" t="s">
        <v>33</v>
      </c>
      <c r="J8306" t="s">
        <v>139</v>
      </c>
      <c r="AB8306" t="s">
        <v>86</v>
      </c>
      <c r="AC8306" t="s">
        <v>1140</v>
      </c>
    </row>
    <row r="8307" spans="1:30" x14ac:dyDescent="0.35">
      <c r="A8307" s="7">
        <v>43321</v>
      </c>
      <c r="B8307" t="s">
        <v>30</v>
      </c>
      <c r="C8307">
        <v>111</v>
      </c>
      <c r="D8307">
        <v>1</v>
      </c>
      <c r="E8307">
        <v>2</v>
      </c>
      <c r="F8307" t="s">
        <v>1020</v>
      </c>
      <c r="G8307" t="s">
        <v>32</v>
      </c>
      <c r="H8307" t="s">
        <v>33</v>
      </c>
      <c r="I8307" t="s">
        <v>43</v>
      </c>
      <c r="J8307" t="s">
        <v>44</v>
      </c>
      <c r="K8307" t="s">
        <v>113</v>
      </c>
      <c r="L8307" t="s">
        <v>45</v>
      </c>
      <c r="M8307">
        <v>0</v>
      </c>
      <c r="N8307">
        <v>0</v>
      </c>
      <c r="O8307">
        <v>1308</v>
      </c>
      <c r="P8307">
        <v>1307</v>
      </c>
      <c r="Q8307">
        <f>24-10</f>
        <v>14</v>
      </c>
      <c r="R8307" t="s">
        <v>46</v>
      </c>
      <c r="S8307" t="s">
        <v>39</v>
      </c>
      <c r="AB8307" t="s">
        <v>47</v>
      </c>
      <c r="AC8307" t="s">
        <v>41</v>
      </c>
    </row>
    <row r="8308" spans="1:30" x14ac:dyDescent="0.35">
      <c r="A8308" s="7">
        <v>43321</v>
      </c>
      <c r="B8308" t="s">
        <v>30</v>
      </c>
      <c r="C8308">
        <v>111</v>
      </c>
      <c r="D8308">
        <v>2</v>
      </c>
      <c r="E8308">
        <v>2</v>
      </c>
      <c r="F8308" t="s">
        <v>1020</v>
      </c>
      <c r="G8308" t="s">
        <v>32</v>
      </c>
      <c r="H8308" t="s">
        <v>33</v>
      </c>
      <c r="I8308" t="s">
        <v>43</v>
      </c>
      <c r="J8308" t="s">
        <v>44</v>
      </c>
      <c r="K8308" t="s">
        <v>88</v>
      </c>
      <c r="L8308" t="s">
        <v>45</v>
      </c>
      <c r="M8308">
        <v>0</v>
      </c>
      <c r="N8308">
        <v>0</v>
      </c>
      <c r="O8308">
        <v>1124</v>
      </c>
      <c r="P8308">
        <v>1123</v>
      </c>
      <c r="Q8308">
        <f>22.5-9.5</f>
        <v>13</v>
      </c>
      <c r="R8308" t="s">
        <v>46</v>
      </c>
      <c r="S8308" t="s">
        <v>39</v>
      </c>
      <c r="AB8308" t="s">
        <v>47</v>
      </c>
      <c r="AC8308" t="s">
        <v>41</v>
      </c>
    </row>
    <row r="8309" spans="1:30" x14ac:dyDescent="0.35">
      <c r="A8309" s="7">
        <v>43321</v>
      </c>
      <c r="B8309" t="s">
        <v>30</v>
      </c>
      <c r="C8309">
        <v>111</v>
      </c>
      <c r="D8309">
        <v>3</v>
      </c>
      <c r="E8309">
        <v>2</v>
      </c>
      <c r="F8309" t="s">
        <v>1020</v>
      </c>
      <c r="G8309" t="s">
        <v>32</v>
      </c>
      <c r="H8309" t="s">
        <v>33</v>
      </c>
      <c r="I8309" t="s">
        <v>43</v>
      </c>
      <c r="J8309" t="s">
        <v>44</v>
      </c>
      <c r="K8309" t="s">
        <v>88</v>
      </c>
      <c r="L8309" t="s">
        <v>37</v>
      </c>
      <c r="M8309">
        <v>0</v>
      </c>
      <c r="N8309">
        <v>0</v>
      </c>
      <c r="O8309">
        <v>1314</v>
      </c>
      <c r="P8309">
        <v>1313</v>
      </c>
      <c r="Q8309">
        <f>26-10</f>
        <v>16</v>
      </c>
      <c r="R8309" t="s">
        <v>64</v>
      </c>
      <c r="AB8309" t="s">
        <v>47</v>
      </c>
      <c r="AC8309" t="s">
        <v>41</v>
      </c>
    </row>
    <row r="8310" spans="1:30" x14ac:dyDescent="0.35">
      <c r="A8310" s="7">
        <v>43321</v>
      </c>
      <c r="B8310" t="s">
        <v>30</v>
      </c>
      <c r="C8310">
        <v>111</v>
      </c>
      <c r="D8310">
        <v>4</v>
      </c>
      <c r="E8310">
        <v>2</v>
      </c>
      <c r="F8310" t="s">
        <v>1020</v>
      </c>
      <c r="G8310" t="s">
        <v>32</v>
      </c>
      <c r="H8310" t="s">
        <v>33</v>
      </c>
      <c r="I8310" t="s">
        <v>43</v>
      </c>
      <c r="J8310" t="s">
        <v>44</v>
      </c>
      <c r="K8310" t="s">
        <v>88</v>
      </c>
      <c r="L8310" t="s">
        <v>45</v>
      </c>
      <c r="M8310">
        <v>0</v>
      </c>
      <c r="N8310">
        <v>0</v>
      </c>
      <c r="O8310">
        <v>1302</v>
      </c>
      <c r="P8310">
        <v>1301</v>
      </c>
      <c r="Q8310">
        <f>25.5-11.5</f>
        <v>14</v>
      </c>
      <c r="R8310" t="s">
        <v>46</v>
      </c>
      <c r="S8310" t="s">
        <v>39</v>
      </c>
      <c r="AB8310" t="s">
        <v>47</v>
      </c>
      <c r="AC8310" t="s">
        <v>41</v>
      </c>
    </row>
    <row r="8311" spans="1:30" x14ac:dyDescent="0.35">
      <c r="A8311" s="7">
        <v>43321</v>
      </c>
      <c r="B8311" t="s">
        <v>30</v>
      </c>
      <c r="C8311">
        <v>111</v>
      </c>
      <c r="D8311">
        <v>5</v>
      </c>
      <c r="E8311">
        <v>1</v>
      </c>
      <c r="F8311" t="s">
        <v>1020</v>
      </c>
      <c r="G8311" t="s">
        <v>32</v>
      </c>
      <c r="H8311" t="s">
        <v>33</v>
      </c>
      <c r="I8311" t="s">
        <v>43</v>
      </c>
      <c r="J8311" t="s">
        <v>44</v>
      </c>
      <c r="K8311" t="s">
        <v>36</v>
      </c>
      <c r="L8311" t="s">
        <v>45</v>
      </c>
      <c r="M8311">
        <v>0</v>
      </c>
      <c r="N8311">
        <v>0</v>
      </c>
      <c r="O8311">
        <v>2463</v>
      </c>
      <c r="P8311">
        <v>2462</v>
      </c>
      <c r="Q8311">
        <f>29-10</f>
        <v>19</v>
      </c>
      <c r="R8311" t="s">
        <v>79</v>
      </c>
      <c r="S8311" t="s">
        <v>39</v>
      </c>
      <c r="AB8311" t="s">
        <v>47</v>
      </c>
      <c r="AC8311" t="s">
        <v>41</v>
      </c>
    </row>
    <row r="8312" spans="1:30" x14ac:dyDescent="0.35">
      <c r="A8312" s="7">
        <v>43321</v>
      </c>
      <c r="B8312" t="s">
        <v>30</v>
      </c>
      <c r="C8312">
        <v>111</v>
      </c>
      <c r="D8312">
        <v>5</v>
      </c>
      <c r="E8312">
        <v>2</v>
      </c>
      <c r="F8312" t="s">
        <v>1020</v>
      </c>
      <c r="G8312" t="s">
        <v>32</v>
      </c>
      <c r="H8312" t="s">
        <v>33</v>
      </c>
      <c r="I8312" t="s">
        <v>43</v>
      </c>
      <c r="J8312" t="s">
        <v>44</v>
      </c>
      <c r="K8312" t="s">
        <v>88</v>
      </c>
      <c r="L8312" t="s">
        <v>37</v>
      </c>
      <c r="M8312">
        <v>0</v>
      </c>
      <c r="N8312">
        <v>0</v>
      </c>
      <c r="O8312">
        <v>1316</v>
      </c>
      <c r="P8312">
        <v>1315</v>
      </c>
      <c r="Q8312">
        <f>23-10</f>
        <v>13</v>
      </c>
      <c r="R8312" t="s">
        <v>64</v>
      </c>
      <c r="AB8312" t="s">
        <v>47</v>
      </c>
      <c r="AC8312" t="s">
        <v>41</v>
      </c>
    </row>
    <row r="8313" spans="1:30" x14ac:dyDescent="0.35">
      <c r="A8313" s="7">
        <v>43321</v>
      </c>
      <c r="B8313" t="s">
        <v>30</v>
      </c>
      <c r="C8313">
        <v>111</v>
      </c>
      <c r="D8313">
        <v>6</v>
      </c>
      <c r="E8313">
        <v>1</v>
      </c>
      <c r="F8313" t="s">
        <v>1020</v>
      </c>
      <c r="G8313" t="s">
        <v>32</v>
      </c>
      <c r="H8313" t="s">
        <v>33</v>
      </c>
      <c r="I8313" t="s">
        <v>43</v>
      </c>
      <c r="J8313" t="s">
        <v>35</v>
      </c>
      <c r="K8313" t="s">
        <v>113</v>
      </c>
      <c r="L8313" t="s">
        <v>37</v>
      </c>
      <c r="M8313">
        <v>0</v>
      </c>
      <c r="N8313">
        <v>1</v>
      </c>
      <c r="O8313">
        <v>1437</v>
      </c>
      <c r="P8313">
        <v>1436</v>
      </c>
      <c r="Q8313">
        <f>26.5-10.5</f>
        <v>16</v>
      </c>
      <c r="R8313" t="s">
        <v>64</v>
      </c>
      <c r="AB8313" t="s">
        <v>47</v>
      </c>
      <c r="AC8313" t="s">
        <v>41</v>
      </c>
    </row>
    <row r="8314" spans="1:30" x14ac:dyDescent="0.35">
      <c r="A8314" s="7">
        <v>43321</v>
      </c>
      <c r="B8314" t="s">
        <v>30</v>
      </c>
      <c r="C8314">
        <v>111</v>
      </c>
      <c r="D8314">
        <v>6</v>
      </c>
      <c r="E8314">
        <v>2</v>
      </c>
      <c r="F8314" t="s">
        <v>1020</v>
      </c>
      <c r="G8314" t="s">
        <v>32</v>
      </c>
      <c r="H8314" t="s">
        <v>33</v>
      </c>
      <c r="I8314" t="s">
        <v>43</v>
      </c>
      <c r="J8314" t="s">
        <v>44</v>
      </c>
      <c r="K8314" t="s">
        <v>113</v>
      </c>
      <c r="L8314" t="s">
        <v>45</v>
      </c>
      <c r="M8314">
        <v>0</v>
      </c>
      <c r="N8314">
        <v>0</v>
      </c>
      <c r="O8314">
        <v>1063</v>
      </c>
      <c r="P8314">
        <v>1062</v>
      </c>
      <c r="Q8314">
        <f>22-11.5</f>
        <v>10.5</v>
      </c>
      <c r="R8314" t="s">
        <v>46</v>
      </c>
      <c r="S8314" t="s">
        <v>39</v>
      </c>
      <c r="AB8314" t="s">
        <v>47</v>
      </c>
      <c r="AC8314" t="s">
        <v>41</v>
      </c>
    </row>
    <row r="8315" spans="1:30" x14ac:dyDescent="0.35">
      <c r="A8315" s="7">
        <v>43321</v>
      </c>
      <c r="B8315" t="s">
        <v>30</v>
      </c>
      <c r="C8315">
        <v>111</v>
      </c>
      <c r="D8315">
        <v>10</v>
      </c>
      <c r="E8315">
        <v>1</v>
      </c>
      <c r="F8315" t="s">
        <v>1020</v>
      </c>
      <c r="G8315" t="s">
        <v>32</v>
      </c>
      <c r="H8315" t="s">
        <v>33</v>
      </c>
      <c r="I8315" t="s">
        <v>43</v>
      </c>
      <c r="J8315" t="s">
        <v>44</v>
      </c>
      <c r="K8315" t="s">
        <v>36</v>
      </c>
      <c r="L8315" t="s">
        <v>45</v>
      </c>
      <c r="M8315">
        <v>0</v>
      </c>
      <c r="N8315">
        <v>0</v>
      </c>
      <c r="O8315">
        <v>2406</v>
      </c>
      <c r="P8315">
        <v>2405</v>
      </c>
      <c r="Q8315">
        <f>29-11.5</f>
        <v>17.5</v>
      </c>
      <c r="R8315" t="s">
        <v>79</v>
      </c>
      <c r="S8315" t="s">
        <v>39</v>
      </c>
      <c r="AB8315" t="s">
        <v>47</v>
      </c>
      <c r="AC8315" t="s">
        <v>41</v>
      </c>
    </row>
    <row r="8316" spans="1:30" x14ac:dyDescent="0.35">
      <c r="A8316" s="7">
        <v>43321</v>
      </c>
      <c r="B8316" t="s">
        <v>30</v>
      </c>
      <c r="C8316">
        <v>111</v>
      </c>
      <c r="D8316">
        <v>10</v>
      </c>
      <c r="E8316">
        <v>2</v>
      </c>
      <c r="F8316" t="s">
        <v>1020</v>
      </c>
      <c r="G8316" t="s">
        <v>32</v>
      </c>
      <c r="H8316" t="s">
        <v>33</v>
      </c>
      <c r="I8316" t="s">
        <v>43</v>
      </c>
      <c r="J8316" t="s">
        <v>44</v>
      </c>
      <c r="K8316" t="s">
        <v>36</v>
      </c>
      <c r="L8316" t="s">
        <v>37</v>
      </c>
      <c r="M8316">
        <v>0</v>
      </c>
      <c r="N8316">
        <v>0</v>
      </c>
      <c r="O8316">
        <v>1391</v>
      </c>
      <c r="P8316">
        <v>1390</v>
      </c>
      <c r="Q8316">
        <f>30-11.25</f>
        <v>18.75</v>
      </c>
      <c r="R8316" t="s">
        <v>64</v>
      </c>
      <c r="AB8316" t="s">
        <v>47</v>
      </c>
      <c r="AC8316" t="s">
        <v>41</v>
      </c>
    </row>
    <row r="8317" spans="1:30" x14ac:dyDescent="0.35">
      <c r="A8317" s="7">
        <v>43321</v>
      </c>
      <c r="B8317" t="s">
        <v>30</v>
      </c>
      <c r="C8317">
        <v>112</v>
      </c>
      <c r="D8317">
        <v>2</v>
      </c>
      <c r="E8317">
        <v>1</v>
      </c>
      <c r="F8317" t="s">
        <v>1020</v>
      </c>
      <c r="G8317" t="s">
        <v>32</v>
      </c>
      <c r="H8317" t="s">
        <v>33</v>
      </c>
      <c r="I8317" t="s">
        <v>43</v>
      </c>
      <c r="J8317" t="s">
        <v>44</v>
      </c>
      <c r="K8317" t="s">
        <v>113</v>
      </c>
      <c r="L8317" t="s">
        <v>37</v>
      </c>
      <c r="M8317">
        <v>0</v>
      </c>
      <c r="N8317">
        <v>0</v>
      </c>
      <c r="O8317">
        <v>1346</v>
      </c>
      <c r="P8317">
        <v>1345</v>
      </c>
      <c r="Q8317">
        <f>25.5-11</f>
        <v>14.5</v>
      </c>
      <c r="R8317" t="s">
        <v>64</v>
      </c>
      <c r="AB8317" t="s">
        <v>47</v>
      </c>
      <c r="AC8317" t="s">
        <v>41</v>
      </c>
    </row>
    <row r="8318" spans="1:30" x14ac:dyDescent="0.35">
      <c r="A8318" s="7">
        <v>43321</v>
      </c>
      <c r="B8318" t="s">
        <v>30</v>
      </c>
      <c r="C8318">
        <v>112</v>
      </c>
      <c r="D8318">
        <v>2</v>
      </c>
      <c r="E8318">
        <v>2</v>
      </c>
      <c r="F8318" t="s">
        <v>1020</v>
      </c>
      <c r="G8318" t="s">
        <v>32</v>
      </c>
      <c r="H8318" t="s">
        <v>33</v>
      </c>
      <c r="I8318" t="s">
        <v>43</v>
      </c>
      <c r="J8318" t="s">
        <v>44</v>
      </c>
      <c r="K8318" t="s">
        <v>113</v>
      </c>
      <c r="L8318" t="s">
        <v>45</v>
      </c>
      <c r="M8318">
        <v>0</v>
      </c>
      <c r="N8318">
        <v>0</v>
      </c>
      <c r="O8318">
        <v>1332</v>
      </c>
      <c r="P8318">
        <v>1331</v>
      </c>
      <c r="Q8318">
        <f>24.5-10</f>
        <v>14.5</v>
      </c>
      <c r="R8318" t="s">
        <v>46</v>
      </c>
      <c r="S8318" t="s">
        <v>39</v>
      </c>
      <c r="AB8318" t="s">
        <v>47</v>
      </c>
      <c r="AC8318" t="s">
        <v>41</v>
      </c>
    </row>
    <row r="8319" spans="1:30" x14ac:dyDescent="0.35">
      <c r="A8319" s="7">
        <v>43321</v>
      </c>
      <c r="B8319" t="s">
        <v>30</v>
      </c>
      <c r="C8319">
        <v>112</v>
      </c>
      <c r="D8319">
        <v>3</v>
      </c>
      <c r="E8319">
        <v>1</v>
      </c>
      <c r="F8319" t="s">
        <v>1020</v>
      </c>
      <c r="G8319" t="s">
        <v>32</v>
      </c>
      <c r="H8319" t="s">
        <v>33</v>
      </c>
      <c r="I8319" t="s">
        <v>43</v>
      </c>
      <c r="J8319" t="s">
        <v>44</v>
      </c>
      <c r="K8319" t="s">
        <v>113</v>
      </c>
      <c r="L8319" t="s">
        <v>37</v>
      </c>
      <c r="M8319">
        <v>0</v>
      </c>
      <c r="N8319">
        <v>0</v>
      </c>
      <c r="O8319">
        <v>1334</v>
      </c>
      <c r="P8319">
        <v>1333</v>
      </c>
      <c r="Q8319">
        <f>27-11.5</f>
        <v>15.5</v>
      </c>
      <c r="R8319" t="s">
        <v>64</v>
      </c>
      <c r="AB8319" t="s">
        <v>47</v>
      </c>
      <c r="AC8319" t="s">
        <v>41</v>
      </c>
    </row>
    <row r="8320" spans="1:30" x14ac:dyDescent="0.35">
      <c r="A8320" s="7">
        <v>43321</v>
      </c>
      <c r="B8320" t="s">
        <v>30</v>
      </c>
      <c r="C8320">
        <v>112</v>
      </c>
      <c r="D8320">
        <v>4</v>
      </c>
      <c r="E8320">
        <v>1</v>
      </c>
      <c r="F8320" t="s">
        <v>1020</v>
      </c>
      <c r="G8320" t="s">
        <v>32</v>
      </c>
      <c r="H8320" t="s">
        <v>33</v>
      </c>
      <c r="I8320" t="s">
        <v>43</v>
      </c>
      <c r="J8320" t="s">
        <v>44</v>
      </c>
      <c r="K8320" t="s">
        <v>113</v>
      </c>
      <c r="L8320" t="s">
        <v>45</v>
      </c>
      <c r="M8320">
        <v>0</v>
      </c>
      <c r="N8320">
        <v>0</v>
      </c>
      <c r="O8320">
        <v>1328</v>
      </c>
      <c r="P8320">
        <v>1327</v>
      </c>
      <c r="Q8320">
        <f>26-11</f>
        <v>15</v>
      </c>
      <c r="R8320" t="s">
        <v>46</v>
      </c>
      <c r="S8320" t="s">
        <v>39</v>
      </c>
      <c r="AB8320" t="s">
        <v>47</v>
      </c>
      <c r="AC8320" t="s">
        <v>41</v>
      </c>
      <c r="AD8320" t="s">
        <v>1274</v>
      </c>
    </row>
    <row r="8321" spans="1:30" x14ac:dyDescent="0.35">
      <c r="A8321" s="7">
        <v>43321</v>
      </c>
      <c r="B8321" t="s">
        <v>30</v>
      </c>
      <c r="C8321">
        <v>112</v>
      </c>
      <c r="D8321">
        <v>5</v>
      </c>
      <c r="E8321">
        <v>1</v>
      </c>
      <c r="F8321" t="s">
        <v>1020</v>
      </c>
      <c r="G8321" t="s">
        <v>32</v>
      </c>
      <c r="H8321" t="s">
        <v>33</v>
      </c>
      <c r="I8321" t="s">
        <v>43</v>
      </c>
      <c r="J8321" t="s">
        <v>44</v>
      </c>
      <c r="K8321" t="s">
        <v>113</v>
      </c>
      <c r="L8321" t="s">
        <v>45</v>
      </c>
      <c r="M8321">
        <v>0</v>
      </c>
      <c r="N8321">
        <v>0</v>
      </c>
      <c r="O8321">
        <v>1311</v>
      </c>
      <c r="P8321">
        <v>1310</v>
      </c>
      <c r="Q8321">
        <f>28-11</f>
        <v>17</v>
      </c>
      <c r="R8321" t="s">
        <v>46</v>
      </c>
      <c r="S8321" t="s">
        <v>39</v>
      </c>
      <c r="AB8321" t="s">
        <v>47</v>
      </c>
      <c r="AC8321" t="s">
        <v>41</v>
      </c>
    </row>
    <row r="8322" spans="1:30" x14ac:dyDescent="0.35">
      <c r="A8322" s="7">
        <v>43321</v>
      </c>
      <c r="B8322" t="s">
        <v>30</v>
      </c>
      <c r="C8322">
        <v>112</v>
      </c>
      <c r="D8322">
        <v>5</v>
      </c>
      <c r="E8322">
        <v>2</v>
      </c>
      <c r="F8322" t="s">
        <v>1020</v>
      </c>
      <c r="G8322" t="s">
        <v>32</v>
      </c>
      <c r="H8322" t="s">
        <v>33</v>
      </c>
      <c r="I8322" t="s">
        <v>43</v>
      </c>
      <c r="J8322" t="s">
        <v>35</v>
      </c>
      <c r="K8322" t="s">
        <v>113</v>
      </c>
      <c r="L8322" t="s">
        <v>45</v>
      </c>
      <c r="M8322">
        <v>0</v>
      </c>
      <c r="N8322">
        <v>1</v>
      </c>
      <c r="O8322">
        <v>1439</v>
      </c>
      <c r="P8322">
        <v>1438</v>
      </c>
      <c r="Q8322">
        <f>26.5-10.5</f>
        <v>16</v>
      </c>
      <c r="R8322" t="s">
        <v>46</v>
      </c>
      <c r="S8322" t="s">
        <v>39</v>
      </c>
      <c r="AB8322" t="s">
        <v>47</v>
      </c>
      <c r="AC8322" t="s">
        <v>41</v>
      </c>
    </row>
    <row r="8323" spans="1:30" x14ac:dyDescent="0.35">
      <c r="A8323" s="7">
        <v>43321</v>
      </c>
      <c r="B8323" t="s">
        <v>30</v>
      </c>
      <c r="C8323">
        <v>112</v>
      </c>
      <c r="D8323">
        <v>6</v>
      </c>
      <c r="E8323">
        <v>1</v>
      </c>
      <c r="F8323" t="s">
        <v>1020</v>
      </c>
      <c r="G8323" t="s">
        <v>32</v>
      </c>
      <c r="H8323" t="s">
        <v>33</v>
      </c>
      <c r="I8323" t="s">
        <v>43</v>
      </c>
      <c r="J8323" t="s">
        <v>44</v>
      </c>
      <c r="K8323" t="s">
        <v>36</v>
      </c>
      <c r="L8323" t="s">
        <v>45</v>
      </c>
      <c r="M8323">
        <v>0</v>
      </c>
      <c r="N8323">
        <v>0</v>
      </c>
      <c r="O8323">
        <v>1061</v>
      </c>
      <c r="P8323">
        <v>1060</v>
      </c>
      <c r="Q8323">
        <f>30-10</f>
        <v>20</v>
      </c>
      <c r="R8323" t="s">
        <v>46</v>
      </c>
      <c r="S8323" t="s">
        <v>39</v>
      </c>
      <c r="AB8323" t="s">
        <v>47</v>
      </c>
      <c r="AC8323" t="s">
        <v>41</v>
      </c>
    </row>
    <row r="8324" spans="1:30" x14ac:dyDescent="0.35">
      <c r="A8324" s="7">
        <v>43321</v>
      </c>
      <c r="B8324" t="s">
        <v>30</v>
      </c>
      <c r="C8324">
        <v>112</v>
      </c>
      <c r="D8324">
        <v>9</v>
      </c>
      <c r="E8324">
        <v>1</v>
      </c>
      <c r="F8324" t="s">
        <v>1020</v>
      </c>
      <c r="G8324" t="s">
        <v>32</v>
      </c>
      <c r="H8324" t="s">
        <v>33</v>
      </c>
      <c r="I8324" t="s">
        <v>43</v>
      </c>
      <c r="J8324" t="s">
        <v>44</v>
      </c>
      <c r="K8324" t="s">
        <v>113</v>
      </c>
      <c r="L8324" t="s">
        <v>45</v>
      </c>
      <c r="M8324">
        <v>0</v>
      </c>
      <c r="N8324">
        <v>0</v>
      </c>
      <c r="O8324">
        <v>1330</v>
      </c>
      <c r="P8324">
        <v>1329</v>
      </c>
      <c r="Q8324">
        <f>25-9.5</f>
        <v>15.5</v>
      </c>
      <c r="R8324" t="s">
        <v>46</v>
      </c>
      <c r="S8324" t="s">
        <v>39</v>
      </c>
      <c r="AB8324" t="s">
        <v>47</v>
      </c>
      <c r="AC8324" t="s">
        <v>41</v>
      </c>
    </row>
    <row r="8325" spans="1:30" x14ac:dyDescent="0.35">
      <c r="A8325" s="7">
        <v>43321</v>
      </c>
      <c r="B8325" t="s">
        <v>30</v>
      </c>
      <c r="C8325">
        <v>112</v>
      </c>
      <c r="D8325">
        <v>10</v>
      </c>
      <c r="E8325">
        <v>1</v>
      </c>
      <c r="F8325" t="s">
        <v>1020</v>
      </c>
      <c r="G8325" t="s">
        <v>32</v>
      </c>
      <c r="H8325" t="s">
        <v>33</v>
      </c>
      <c r="I8325" t="s">
        <v>43</v>
      </c>
      <c r="J8325" t="s">
        <v>44</v>
      </c>
      <c r="K8325" t="s">
        <v>113</v>
      </c>
      <c r="L8325" t="s">
        <v>45</v>
      </c>
      <c r="M8325">
        <v>0</v>
      </c>
      <c r="N8325">
        <v>0</v>
      </c>
      <c r="O8325">
        <v>1337</v>
      </c>
      <c r="P8325">
        <v>1336</v>
      </c>
      <c r="Q8325">
        <f>28.5-10</f>
        <v>18.5</v>
      </c>
      <c r="R8325" t="s">
        <v>46</v>
      </c>
      <c r="S8325" t="s">
        <v>39</v>
      </c>
      <c r="AB8325" t="s">
        <v>47</v>
      </c>
      <c r="AC8325" t="s">
        <v>41</v>
      </c>
    </row>
    <row r="8326" spans="1:30" x14ac:dyDescent="0.35">
      <c r="A8326" s="7">
        <v>43321</v>
      </c>
      <c r="B8326" t="s">
        <v>30</v>
      </c>
      <c r="C8326">
        <v>113</v>
      </c>
      <c r="D8326">
        <v>6</v>
      </c>
      <c r="E8326">
        <v>1</v>
      </c>
      <c r="F8326" t="s">
        <v>1020</v>
      </c>
      <c r="G8326" t="s">
        <v>32</v>
      </c>
      <c r="H8326" t="s">
        <v>33</v>
      </c>
      <c r="I8326" t="s">
        <v>43</v>
      </c>
      <c r="J8326" t="s">
        <v>139</v>
      </c>
      <c r="K8326" t="s">
        <v>88</v>
      </c>
      <c r="AB8326" t="s">
        <v>47</v>
      </c>
      <c r="AC8326" t="s">
        <v>41</v>
      </c>
      <c r="AD8326" t="s">
        <v>1275</v>
      </c>
    </row>
    <row r="8327" spans="1:30" x14ac:dyDescent="0.35">
      <c r="A8327" s="7">
        <v>43321</v>
      </c>
      <c r="B8327" t="s">
        <v>30</v>
      </c>
      <c r="C8327">
        <v>201</v>
      </c>
      <c r="D8327">
        <v>3</v>
      </c>
      <c r="E8327">
        <v>1</v>
      </c>
      <c r="F8327" t="s">
        <v>1139</v>
      </c>
      <c r="G8327" t="s">
        <v>32</v>
      </c>
      <c r="H8327" t="s">
        <v>33</v>
      </c>
      <c r="I8327" t="s">
        <v>43</v>
      </c>
      <c r="J8327" t="s">
        <v>44</v>
      </c>
      <c r="K8327" t="s">
        <v>36</v>
      </c>
      <c r="L8327" t="s">
        <v>45</v>
      </c>
      <c r="M8327">
        <v>0</v>
      </c>
      <c r="N8327">
        <v>0</v>
      </c>
      <c r="O8327">
        <v>1408</v>
      </c>
      <c r="P8327">
        <v>1407</v>
      </c>
      <c r="Q8327">
        <f>31-10.5</f>
        <v>20.5</v>
      </c>
      <c r="R8327" t="s">
        <v>46</v>
      </c>
      <c r="S8327" t="s">
        <v>39</v>
      </c>
      <c r="Z8327" t="s">
        <v>102</v>
      </c>
      <c r="AB8327" t="s">
        <v>97</v>
      </c>
      <c r="AC8327" t="s">
        <v>1140</v>
      </c>
    </row>
    <row r="8328" spans="1:30" x14ac:dyDescent="0.35">
      <c r="A8328" s="7">
        <v>43321</v>
      </c>
      <c r="B8328" t="s">
        <v>30</v>
      </c>
      <c r="C8328">
        <v>201</v>
      </c>
      <c r="D8328">
        <v>4</v>
      </c>
      <c r="E8328">
        <v>1</v>
      </c>
      <c r="F8328" t="s">
        <v>1139</v>
      </c>
      <c r="G8328" t="s">
        <v>32</v>
      </c>
      <c r="H8328" t="s">
        <v>33</v>
      </c>
      <c r="I8328" t="s">
        <v>43</v>
      </c>
      <c r="J8328" t="s">
        <v>44</v>
      </c>
      <c r="K8328" t="s">
        <v>113</v>
      </c>
      <c r="L8328" t="s">
        <v>45</v>
      </c>
      <c r="M8328">
        <v>0</v>
      </c>
      <c r="N8328">
        <v>0</v>
      </c>
      <c r="O8328">
        <v>1404</v>
      </c>
      <c r="P8328">
        <v>1403</v>
      </c>
      <c r="Q8328">
        <f>26-11.5</f>
        <v>14.5</v>
      </c>
      <c r="R8328" t="s">
        <v>1021</v>
      </c>
      <c r="S8328" t="s">
        <v>102</v>
      </c>
      <c r="AB8328" t="s">
        <v>97</v>
      </c>
      <c r="AC8328" t="s">
        <v>1140</v>
      </c>
    </row>
    <row r="8329" spans="1:30" x14ac:dyDescent="0.35">
      <c r="A8329" s="7">
        <v>43321</v>
      </c>
      <c r="B8329" t="s">
        <v>30</v>
      </c>
      <c r="C8329">
        <v>201</v>
      </c>
      <c r="D8329">
        <v>4</v>
      </c>
      <c r="E8329">
        <v>2</v>
      </c>
      <c r="F8329" t="s">
        <v>1139</v>
      </c>
      <c r="G8329" t="s">
        <v>32</v>
      </c>
      <c r="H8329" t="s">
        <v>33</v>
      </c>
      <c r="I8329" t="s">
        <v>43</v>
      </c>
      <c r="J8329" t="s">
        <v>44</v>
      </c>
      <c r="K8329" t="s">
        <v>36</v>
      </c>
      <c r="L8329" t="s">
        <v>45</v>
      </c>
      <c r="M8329">
        <v>0</v>
      </c>
      <c r="N8329">
        <v>0</v>
      </c>
      <c r="O8329">
        <v>1283</v>
      </c>
      <c r="P8329">
        <v>1282</v>
      </c>
      <c r="Q8329">
        <f>29-19</f>
        <v>10</v>
      </c>
      <c r="R8329" t="s">
        <v>46</v>
      </c>
      <c r="S8329" t="s">
        <v>39</v>
      </c>
      <c r="Z8329" t="s">
        <v>102</v>
      </c>
      <c r="AB8329" t="s">
        <v>97</v>
      </c>
      <c r="AC8329" t="s">
        <v>1140</v>
      </c>
    </row>
    <row r="8330" spans="1:30" x14ac:dyDescent="0.35">
      <c r="A8330" s="7">
        <v>43321</v>
      </c>
      <c r="B8330" t="s">
        <v>30</v>
      </c>
      <c r="C8330">
        <v>201</v>
      </c>
      <c r="D8330">
        <v>5</v>
      </c>
      <c r="E8330">
        <v>1</v>
      </c>
      <c r="F8330" t="s">
        <v>1139</v>
      </c>
      <c r="G8330" t="s">
        <v>32</v>
      </c>
      <c r="H8330" t="s">
        <v>33</v>
      </c>
      <c r="I8330" t="s">
        <v>43</v>
      </c>
      <c r="J8330" t="s">
        <v>44</v>
      </c>
      <c r="K8330" t="s">
        <v>113</v>
      </c>
      <c r="L8330" t="s">
        <v>37</v>
      </c>
      <c r="M8330">
        <v>0</v>
      </c>
      <c r="N8330">
        <v>0</v>
      </c>
      <c r="O8330">
        <v>1406</v>
      </c>
      <c r="P8330">
        <v>1405</v>
      </c>
      <c r="Q8330">
        <f>29.5-11</f>
        <v>18.5</v>
      </c>
      <c r="R8330" t="s">
        <v>64</v>
      </c>
      <c r="AB8330" t="s">
        <v>97</v>
      </c>
      <c r="AC8330" t="s">
        <v>1140</v>
      </c>
    </row>
    <row r="8331" spans="1:30" x14ac:dyDescent="0.35">
      <c r="A8331" s="7">
        <v>43321</v>
      </c>
      <c r="B8331" t="s">
        <v>30</v>
      </c>
      <c r="C8331">
        <v>201</v>
      </c>
      <c r="D8331">
        <v>6</v>
      </c>
      <c r="E8331">
        <v>1</v>
      </c>
      <c r="F8331" t="s">
        <v>1139</v>
      </c>
      <c r="G8331" t="s">
        <v>32</v>
      </c>
      <c r="H8331" t="s">
        <v>33</v>
      </c>
      <c r="I8331" t="s">
        <v>43</v>
      </c>
      <c r="J8331" t="s">
        <v>44</v>
      </c>
      <c r="K8331" t="s">
        <v>88</v>
      </c>
      <c r="L8331" t="s">
        <v>37</v>
      </c>
      <c r="M8331">
        <v>0</v>
      </c>
      <c r="N8331">
        <v>0</v>
      </c>
      <c r="O8331">
        <v>1410</v>
      </c>
      <c r="P8331">
        <v>1411</v>
      </c>
      <c r="Q8331">
        <f>31.5-18</f>
        <v>13.5</v>
      </c>
      <c r="R8331" t="s">
        <v>64</v>
      </c>
      <c r="Z8331" t="s">
        <v>102</v>
      </c>
      <c r="AB8331" t="s">
        <v>97</v>
      </c>
      <c r="AC8331" t="s">
        <v>1140</v>
      </c>
    </row>
    <row r="8332" spans="1:30" x14ac:dyDescent="0.35">
      <c r="A8332" s="7">
        <v>43321</v>
      </c>
      <c r="B8332" t="s">
        <v>30</v>
      </c>
      <c r="C8332">
        <v>201</v>
      </c>
      <c r="D8332">
        <v>7</v>
      </c>
      <c r="E8332">
        <v>1</v>
      </c>
      <c r="F8332" t="s">
        <v>1139</v>
      </c>
      <c r="G8332" t="s">
        <v>32</v>
      </c>
      <c r="H8332" t="s">
        <v>33</v>
      </c>
      <c r="I8332" t="s">
        <v>43</v>
      </c>
      <c r="J8332" t="s">
        <v>44</v>
      </c>
      <c r="K8332" t="s">
        <v>113</v>
      </c>
      <c r="L8332" t="s">
        <v>45</v>
      </c>
      <c r="M8332">
        <v>0</v>
      </c>
      <c r="N8332">
        <v>0</v>
      </c>
      <c r="O8332">
        <v>1287</v>
      </c>
      <c r="P8332">
        <v>1286</v>
      </c>
      <c r="Q8332">
        <f>26.5-12</f>
        <v>14.5</v>
      </c>
      <c r="R8332" t="s">
        <v>46</v>
      </c>
      <c r="S8332" t="s">
        <v>39</v>
      </c>
      <c r="Z8332" t="s">
        <v>102</v>
      </c>
      <c r="AB8332" t="s">
        <v>97</v>
      </c>
      <c r="AC8332" t="s">
        <v>1140</v>
      </c>
    </row>
    <row r="8333" spans="1:30" x14ac:dyDescent="0.35">
      <c r="A8333" s="7">
        <v>43321</v>
      </c>
      <c r="B8333" t="s">
        <v>30</v>
      </c>
      <c r="C8333">
        <v>201</v>
      </c>
      <c r="D8333">
        <v>7</v>
      </c>
      <c r="E8333">
        <v>2</v>
      </c>
      <c r="F8333" t="s">
        <v>1139</v>
      </c>
      <c r="G8333" t="s">
        <v>32</v>
      </c>
      <c r="H8333" t="s">
        <v>33</v>
      </c>
      <c r="I8333" t="s">
        <v>43</v>
      </c>
      <c r="J8333" t="s">
        <v>44</v>
      </c>
      <c r="K8333" t="s">
        <v>88</v>
      </c>
      <c r="L8333" t="s">
        <v>45</v>
      </c>
      <c r="M8333">
        <v>0</v>
      </c>
      <c r="N8333">
        <v>0</v>
      </c>
      <c r="O8333">
        <v>1421</v>
      </c>
      <c r="P8333">
        <v>1420</v>
      </c>
      <c r="Q8333">
        <f>26-13</f>
        <v>13</v>
      </c>
      <c r="R8333" t="s">
        <v>46</v>
      </c>
      <c r="S8333" t="s">
        <v>39</v>
      </c>
      <c r="AB8333" t="s">
        <v>97</v>
      </c>
      <c r="AC8333" t="s">
        <v>1140</v>
      </c>
    </row>
    <row r="8334" spans="1:30" x14ac:dyDescent="0.35">
      <c r="A8334" s="7">
        <v>43321</v>
      </c>
      <c r="B8334" t="s">
        <v>30</v>
      </c>
      <c r="C8334">
        <v>201</v>
      </c>
      <c r="D8334">
        <v>8</v>
      </c>
      <c r="E8334">
        <v>2</v>
      </c>
      <c r="F8334" t="s">
        <v>1139</v>
      </c>
      <c r="G8334" t="s">
        <v>32</v>
      </c>
      <c r="H8334" t="s">
        <v>33</v>
      </c>
      <c r="I8334" t="s">
        <v>43</v>
      </c>
      <c r="J8334" t="s">
        <v>44</v>
      </c>
      <c r="K8334" t="s">
        <v>36</v>
      </c>
      <c r="L8334" t="s">
        <v>45</v>
      </c>
      <c r="M8334">
        <v>0</v>
      </c>
      <c r="N8334">
        <v>0</v>
      </c>
      <c r="O8334">
        <v>1413</v>
      </c>
      <c r="P8334">
        <v>1412</v>
      </c>
      <c r="Q8334">
        <f>31-15</f>
        <v>16</v>
      </c>
      <c r="R8334" t="s">
        <v>46</v>
      </c>
      <c r="S8334" t="s">
        <v>39</v>
      </c>
      <c r="AB8334" t="s">
        <v>97</v>
      </c>
      <c r="AC8334" t="s">
        <v>1140</v>
      </c>
    </row>
    <row r="8335" spans="1:30" x14ac:dyDescent="0.35">
      <c r="A8335" s="7">
        <v>43321</v>
      </c>
      <c r="B8335" t="s">
        <v>30</v>
      </c>
      <c r="C8335">
        <v>201</v>
      </c>
      <c r="D8335">
        <v>10</v>
      </c>
      <c r="E8335">
        <v>1</v>
      </c>
      <c r="F8335" t="s">
        <v>1139</v>
      </c>
      <c r="G8335" t="s">
        <v>32</v>
      </c>
      <c r="H8335" t="s">
        <v>33</v>
      </c>
      <c r="I8335" t="s">
        <v>43</v>
      </c>
      <c r="J8335" t="s">
        <v>44</v>
      </c>
      <c r="K8335" t="s">
        <v>113</v>
      </c>
      <c r="L8335" t="s">
        <v>37</v>
      </c>
      <c r="M8335">
        <v>0</v>
      </c>
      <c r="N8335">
        <v>0</v>
      </c>
      <c r="O8335">
        <v>1196</v>
      </c>
      <c r="P8335">
        <v>1195</v>
      </c>
      <c r="Q8335">
        <f>28-15</f>
        <v>13</v>
      </c>
      <c r="R8335" t="s">
        <v>64</v>
      </c>
      <c r="Z8335" t="s">
        <v>102</v>
      </c>
      <c r="AB8335" t="s">
        <v>97</v>
      </c>
      <c r="AC8335" t="s">
        <v>1140</v>
      </c>
    </row>
    <row r="8336" spans="1:30" x14ac:dyDescent="0.35">
      <c r="A8336" s="7">
        <v>43321</v>
      </c>
      <c r="B8336" t="s">
        <v>30</v>
      </c>
      <c r="C8336">
        <v>201</v>
      </c>
      <c r="D8336">
        <v>10</v>
      </c>
      <c r="E8336">
        <v>2</v>
      </c>
      <c r="F8336" t="s">
        <v>1139</v>
      </c>
      <c r="G8336" t="s">
        <v>32</v>
      </c>
      <c r="H8336" t="s">
        <v>33</v>
      </c>
      <c r="I8336" t="s">
        <v>43</v>
      </c>
      <c r="J8336" t="s">
        <v>35</v>
      </c>
      <c r="K8336" t="s">
        <v>113</v>
      </c>
      <c r="L8336" t="s">
        <v>37</v>
      </c>
      <c r="M8336">
        <v>0</v>
      </c>
      <c r="N8336">
        <v>1</v>
      </c>
      <c r="O8336">
        <v>1514</v>
      </c>
      <c r="P8336">
        <v>1513</v>
      </c>
      <c r="Q8336">
        <f>30-17</f>
        <v>13</v>
      </c>
      <c r="R8336" t="s">
        <v>64</v>
      </c>
      <c r="AB8336" t="s">
        <v>97</v>
      </c>
      <c r="AC8336" t="s">
        <v>1140</v>
      </c>
    </row>
    <row r="8337" spans="1:30" x14ac:dyDescent="0.35">
      <c r="A8337" s="7">
        <v>43321</v>
      </c>
      <c r="B8337" t="s">
        <v>30</v>
      </c>
      <c r="C8337">
        <v>202</v>
      </c>
      <c r="D8337">
        <v>5</v>
      </c>
      <c r="E8337">
        <v>1</v>
      </c>
      <c r="F8337" t="s">
        <v>1139</v>
      </c>
      <c r="G8337" t="s">
        <v>32</v>
      </c>
      <c r="H8337" t="s">
        <v>33</v>
      </c>
      <c r="I8337" t="s">
        <v>43</v>
      </c>
      <c r="J8337" t="s">
        <v>66</v>
      </c>
      <c r="AB8337" t="s">
        <v>97</v>
      </c>
      <c r="AC8337" t="s">
        <v>1140</v>
      </c>
    </row>
    <row r="8338" spans="1:30" x14ac:dyDescent="0.35">
      <c r="A8338" s="7">
        <v>43321</v>
      </c>
      <c r="B8338" t="s">
        <v>30</v>
      </c>
      <c r="C8338">
        <v>202</v>
      </c>
      <c r="D8338">
        <v>6</v>
      </c>
      <c r="E8338">
        <v>2</v>
      </c>
      <c r="F8338" t="s">
        <v>1139</v>
      </c>
      <c r="G8338" t="s">
        <v>32</v>
      </c>
      <c r="H8338" t="s">
        <v>33</v>
      </c>
      <c r="I8338" t="s">
        <v>43</v>
      </c>
      <c r="J8338" t="s">
        <v>44</v>
      </c>
      <c r="K8338" t="s">
        <v>113</v>
      </c>
      <c r="L8338" t="s">
        <v>37</v>
      </c>
      <c r="M8338">
        <v>0</v>
      </c>
      <c r="N8338">
        <v>0</v>
      </c>
      <c r="O8338">
        <v>1258</v>
      </c>
      <c r="P8338">
        <v>1257</v>
      </c>
      <c r="Q8338">
        <f>26-11</f>
        <v>15</v>
      </c>
      <c r="R8338" t="s">
        <v>64</v>
      </c>
      <c r="Z8338" t="s">
        <v>102</v>
      </c>
      <c r="AB8338" t="s">
        <v>97</v>
      </c>
      <c r="AC8338" t="s">
        <v>1140</v>
      </c>
    </row>
    <row r="8339" spans="1:30" x14ac:dyDescent="0.35">
      <c r="A8339" s="7">
        <v>43321</v>
      </c>
      <c r="B8339" t="s">
        <v>30</v>
      </c>
      <c r="C8339">
        <v>203</v>
      </c>
      <c r="D8339">
        <v>2</v>
      </c>
      <c r="E8339">
        <v>1</v>
      </c>
      <c r="F8339" t="s">
        <v>1139</v>
      </c>
      <c r="G8339" t="s">
        <v>32</v>
      </c>
      <c r="H8339" t="s">
        <v>33</v>
      </c>
      <c r="I8339" t="s">
        <v>43</v>
      </c>
      <c r="J8339" t="s">
        <v>44</v>
      </c>
      <c r="K8339" t="s">
        <v>113</v>
      </c>
      <c r="L8339" t="s">
        <v>37</v>
      </c>
      <c r="M8339">
        <v>0</v>
      </c>
      <c r="N8339">
        <v>0</v>
      </c>
      <c r="O8339">
        <v>1502</v>
      </c>
      <c r="P8339">
        <v>1501</v>
      </c>
      <c r="Q8339">
        <f>26-12</f>
        <v>14</v>
      </c>
      <c r="R8339" t="s">
        <v>64</v>
      </c>
      <c r="AB8339" t="s">
        <v>97</v>
      </c>
      <c r="AC8339" t="s">
        <v>1140</v>
      </c>
    </row>
    <row r="8340" spans="1:30" x14ac:dyDescent="0.35">
      <c r="A8340" s="7">
        <v>43321</v>
      </c>
      <c r="B8340" t="s">
        <v>30</v>
      </c>
      <c r="C8340">
        <v>203</v>
      </c>
      <c r="D8340">
        <v>5</v>
      </c>
      <c r="E8340">
        <v>1</v>
      </c>
      <c r="F8340" t="s">
        <v>1139</v>
      </c>
      <c r="G8340" t="s">
        <v>32</v>
      </c>
      <c r="H8340" t="s">
        <v>33</v>
      </c>
      <c r="I8340" t="s">
        <v>43</v>
      </c>
      <c r="J8340" t="s">
        <v>35</v>
      </c>
      <c r="K8340" t="s">
        <v>88</v>
      </c>
      <c r="L8340" t="s">
        <v>37</v>
      </c>
      <c r="M8340">
        <v>0</v>
      </c>
      <c r="N8340">
        <v>1</v>
      </c>
      <c r="O8340">
        <v>1516</v>
      </c>
      <c r="P8340">
        <v>1515</v>
      </c>
      <c r="Q8340">
        <f>27.5-13</f>
        <v>14.5</v>
      </c>
      <c r="R8340" t="s">
        <v>64</v>
      </c>
      <c r="AB8340" t="s">
        <v>97</v>
      </c>
      <c r="AC8340" t="s">
        <v>1140</v>
      </c>
    </row>
    <row r="8341" spans="1:30" x14ac:dyDescent="0.35">
      <c r="A8341" s="7">
        <v>43321</v>
      </c>
      <c r="B8341" t="s">
        <v>30</v>
      </c>
      <c r="C8341">
        <v>203</v>
      </c>
      <c r="D8341">
        <v>6</v>
      </c>
      <c r="E8341">
        <v>1</v>
      </c>
      <c r="F8341" t="s">
        <v>1139</v>
      </c>
      <c r="G8341" t="s">
        <v>32</v>
      </c>
      <c r="H8341" t="s">
        <v>33</v>
      </c>
      <c r="I8341" t="s">
        <v>43</v>
      </c>
      <c r="J8341" t="s">
        <v>44</v>
      </c>
      <c r="K8341" t="s">
        <v>36</v>
      </c>
      <c r="L8341" t="s">
        <v>45</v>
      </c>
      <c r="M8341">
        <v>0</v>
      </c>
      <c r="N8341">
        <v>0</v>
      </c>
      <c r="O8341">
        <v>1198</v>
      </c>
      <c r="P8341">
        <v>1197</v>
      </c>
      <c r="Q8341">
        <f>31-14</f>
        <v>17</v>
      </c>
      <c r="R8341" t="s">
        <v>46</v>
      </c>
      <c r="S8341" t="s">
        <v>39</v>
      </c>
      <c r="Z8341" t="s">
        <v>102</v>
      </c>
      <c r="AB8341" t="s">
        <v>97</v>
      </c>
      <c r="AC8341" t="s">
        <v>1140</v>
      </c>
    </row>
    <row r="8342" spans="1:30" x14ac:dyDescent="0.35">
      <c r="A8342" s="7">
        <v>43321</v>
      </c>
      <c r="B8342" t="s">
        <v>30</v>
      </c>
      <c r="C8342">
        <v>203</v>
      </c>
      <c r="D8342">
        <v>10</v>
      </c>
      <c r="E8342">
        <v>1</v>
      </c>
      <c r="F8342" t="s">
        <v>1139</v>
      </c>
      <c r="G8342" t="s">
        <v>32</v>
      </c>
      <c r="H8342" t="s">
        <v>33</v>
      </c>
      <c r="I8342" t="s">
        <v>43</v>
      </c>
      <c r="J8342" t="s">
        <v>44</v>
      </c>
      <c r="K8342" t="s">
        <v>88</v>
      </c>
      <c r="L8342" t="s">
        <v>45</v>
      </c>
      <c r="M8342">
        <v>0</v>
      </c>
      <c r="N8342">
        <v>0</v>
      </c>
      <c r="O8342">
        <v>1417</v>
      </c>
      <c r="P8342">
        <v>1416</v>
      </c>
      <c r="Q8342">
        <f>30-16</f>
        <v>14</v>
      </c>
      <c r="R8342" t="s">
        <v>46</v>
      </c>
      <c r="S8342" t="s">
        <v>39</v>
      </c>
      <c r="Z8342" t="s">
        <v>102</v>
      </c>
      <c r="AB8342" t="s">
        <v>97</v>
      </c>
      <c r="AC8342" t="s">
        <v>1140</v>
      </c>
      <c r="AD8342" t="s">
        <v>1276</v>
      </c>
    </row>
    <row r="8343" spans="1:30" x14ac:dyDescent="0.35">
      <c r="A8343" s="7">
        <v>43321</v>
      </c>
      <c r="B8343" t="s">
        <v>30</v>
      </c>
      <c r="C8343">
        <v>112</v>
      </c>
      <c r="D8343">
        <v>7</v>
      </c>
      <c r="E8343">
        <v>2</v>
      </c>
      <c r="F8343" t="s">
        <v>1020</v>
      </c>
      <c r="G8343" t="s">
        <v>32</v>
      </c>
      <c r="H8343" t="s">
        <v>33</v>
      </c>
      <c r="I8343" t="s">
        <v>34</v>
      </c>
      <c r="J8343" t="s">
        <v>44</v>
      </c>
      <c r="K8343" t="s">
        <v>36</v>
      </c>
      <c r="L8343" t="s">
        <v>37</v>
      </c>
      <c r="M8343">
        <v>0</v>
      </c>
      <c r="N8343">
        <v>0</v>
      </c>
      <c r="P8343">
        <v>1384</v>
      </c>
      <c r="Q8343">
        <f>214-130</f>
        <v>84</v>
      </c>
      <c r="R8343" t="s">
        <v>64</v>
      </c>
      <c r="AB8343" t="s">
        <v>47</v>
      </c>
      <c r="AC8343" t="s">
        <v>41</v>
      </c>
      <c r="AD8343" t="s">
        <v>1024</v>
      </c>
    </row>
    <row r="8344" spans="1:30" x14ac:dyDescent="0.35">
      <c r="A8344" s="7">
        <v>43321</v>
      </c>
      <c r="B8344" t="s">
        <v>30</v>
      </c>
      <c r="C8344">
        <v>113</v>
      </c>
      <c r="D8344">
        <v>5</v>
      </c>
      <c r="E8344">
        <v>2</v>
      </c>
      <c r="F8344" t="s">
        <v>1020</v>
      </c>
      <c r="G8344" t="s">
        <v>32</v>
      </c>
      <c r="H8344" t="s">
        <v>33</v>
      </c>
      <c r="I8344" t="s">
        <v>34</v>
      </c>
      <c r="J8344" t="s">
        <v>44</v>
      </c>
      <c r="K8344" t="s">
        <v>36</v>
      </c>
      <c r="L8344" t="s">
        <v>37</v>
      </c>
      <c r="M8344">
        <v>0</v>
      </c>
      <c r="N8344">
        <v>0</v>
      </c>
      <c r="O8344">
        <v>1340</v>
      </c>
      <c r="Q8344">
        <f>214-130</f>
        <v>84</v>
      </c>
      <c r="R8344" t="s">
        <v>64</v>
      </c>
      <c r="AB8344" t="s">
        <v>47</v>
      </c>
      <c r="AC8344" t="s">
        <v>41</v>
      </c>
    </row>
    <row r="8345" spans="1:30" x14ac:dyDescent="0.35">
      <c r="A8345" s="7">
        <v>43321</v>
      </c>
      <c r="B8345" t="s">
        <v>30</v>
      </c>
      <c r="C8345">
        <v>113</v>
      </c>
      <c r="D8345">
        <v>9</v>
      </c>
      <c r="E8345">
        <v>1</v>
      </c>
      <c r="F8345" t="s">
        <v>1020</v>
      </c>
      <c r="G8345" t="s">
        <v>32</v>
      </c>
      <c r="H8345" t="s">
        <v>33</v>
      </c>
      <c r="I8345" t="s">
        <v>34</v>
      </c>
      <c r="J8345" t="s">
        <v>44</v>
      </c>
      <c r="K8345" t="s">
        <v>36</v>
      </c>
      <c r="L8345" t="s">
        <v>37</v>
      </c>
      <c r="M8345">
        <v>0</v>
      </c>
      <c r="N8345">
        <v>0</v>
      </c>
      <c r="O8345">
        <v>1058</v>
      </c>
      <c r="Q8345">
        <f>212-130</f>
        <v>82</v>
      </c>
      <c r="R8345" t="s">
        <v>64</v>
      </c>
      <c r="AB8345" t="s">
        <v>47</v>
      </c>
      <c r="AC8345" t="s">
        <v>41</v>
      </c>
    </row>
    <row r="8346" spans="1:30" x14ac:dyDescent="0.35">
      <c r="A8346" s="7">
        <v>43321</v>
      </c>
      <c r="B8346" t="s">
        <v>30</v>
      </c>
      <c r="C8346">
        <v>201</v>
      </c>
      <c r="D8346">
        <v>2</v>
      </c>
      <c r="E8346">
        <v>1</v>
      </c>
      <c r="F8346" t="s">
        <v>1139</v>
      </c>
      <c r="G8346" t="s">
        <v>32</v>
      </c>
      <c r="H8346" t="s">
        <v>33</v>
      </c>
      <c r="I8346" t="s">
        <v>34</v>
      </c>
      <c r="J8346" t="s">
        <v>44</v>
      </c>
      <c r="K8346" t="s">
        <v>36</v>
      </c>
      <c r="L8346" t="s">
        <v>37</v>
      </c>
      <c r="M8346">
        <v>0</v>
      </c>
      <c r="N8346">
        <v>0</v>
      </c>
      <c r="O8346">
        <v>1473</v>
      </c>
      <c r="Q8346">
        <f>175-85</f>
        <v>90</v>
      </c>
      <c r="R8346" t="s">
        <v>38</v>
      </c>
      <c r="AB8346" t="s">
        <v>97</v>
      </c>
      <c r="AC8346" t="s">
        <v>1140</v>
      </c>
    </row>
    <row r="8347" spans="1:30" x14ac:dyDescent="0.35">
      <c r="A8347" s="7">
        <v>43321</v>
      </c>
      <c r="B8347" t="s">
        <v>30</v>
      </c>
      <c r="C8347">
        <v>201</v>
      </c>
      <c r="D8347">
        <v>2</v>
      </c>
      <c r="E8347">
        <v>2</v>
      </c>
      <c r="F8347" t="s">
        <v>1139</v>
      </c>
      <c r="G8347" t="s">
        <v>32</v>
      </c>
      <c r="H8347" t="s">
        <v>33</v>
      </c>
      <c r="I8347" t="s">
        <v>34</v>
      </c>
      <c r="J8347" t="s">
        <v>35</v>
      </c>
      <c r="K8347" t="s">
        <v>36</v>
      </c>
      <c r="L8347" t="s">
        <v>37</v>
      </c>
      <c r="M8347">
        <v>0</v>
      </c>
      <c r="N8347">
        <v>1</v>
      </c>
      <c r="O8347">
        <v>1512</v>
      </c>
      <c r="Q8347">
        <f>175-85</f>
        <v>90</v>
      </c>
      <c r="R8347" t="s">
        <v>38</v>
      </c>
      <c r="AB8347" t="s">
        <v>97</v>
      </c>
      <c r="AC8347" t="s">
        <v>1140</v>
      </c>
    </row>
    <row r="8348" spans="1:30" x14ac:dyDescent="0.35">
      <c r="A8348" s="7">
        <v>43321</v>
      </c>
      <c r="B8348" t="s">
        <v>30</v>
      </c>
      <c r="C8348">
        <v>304</v>
      </c>
      <c r="D8348">
        <v>10</v>
      </c>
      <c r="E8348">
        <v>2</v>
      </c>
      <c r="F8348" t="s">
        <v>1139</v>
      </c>
      <c r="G8348" t="s">
        <v>32</v>
      </c>
      <c r="H8348" t="s">
        <v>33</v>
      </c>
      <c r="I8348" t="s">
        <v>34</v>
      </c>
      <c r="J8348" t="s">
        <v>44</v>
      </c>
      <c r="K8348" t="s">
        <v>36</v>
      </c>
      <c r="L8348" t="s">
        <v>45</v>
      </c>
      <c r="M8348">
        <v>0</v>
      </c>
      <c r="N8348">
        <v>0</v>
      </c>
      <c r="O8348">
        <v>1199</v>
      </c>
      <c r="Q8348">
        <f>175-90</f>
        <v>85</v>
      </c>
      <c r="R8348" t="s">
        <v>46</v>
      </c>
      <c r="S8348" t="s">
        <v>39</v>
      </c>
      <c r="AB8348" t="s">
        <v>97</v>
      </c>
      <c r="AC8348" t="s">
        <v>1140</v>
      </c>
    </row>
    <row r="8349" spans="1:30" x14ac:dyDescent="0.35">
      <c r="A8349" s="7">
        <v>43321</v>
      </c>
      <c r="B8349" t="s">
        <v>30</v>
      </c>
      <c r="C8349">
        <v>402</v>
      </c>
      <c r="D8349">
        <v>1</v>
      </c>
      <c r="E8349">
        <v>1</v>
      </c>
      <c r="F8349" t="s">
        <v>1020</v>
      </c>
      <c r="G8349" t="s">
        <v>32</v>
      </c>
      <c r="H8349" t="s">
        <v>33</v>
      </c>
      <c r="I8349" t="s">
        <v>34</v>
      </c>
      <c r="J8349" t="s">
        <v>44</v>
      </c>
      <c r="K8349" t="s">
        <v>36</v>
      </c>
      <c r="L8349" t="s">
        <v>37</v>
      </c>
      <c r="M8349">
        <v>0</v>
      </c>
      <c r="N8349">
        <v>0</v>
      </c>
      <c r="O8349">
        <v>1309</v>
      </c>
      <c r="Q8349">
        <f>218-132</f>
        <v>86</v>
      </c>
      <c r="R8349" t="s">
        <v>64</v>
      </c>
      <c r="AB8349" t="s">
        <v>47</v>
      </c>
      <c r="AC8349" t="s">
        <v>41</v>
      </c>
      <c r="AD8349" t="s">
        <v>1277</v>
      </c>
    </row>
    <row r="8350" spans="1:30" x14ac:dyDescent="0.35">
      <c r="A8350" s="7">
        <v>43321</v>
      </c>
      <c r="B8350" t="s">
        <v>30</v>
      </c>
      <c r="C8350">
        <v>402</v>
      </c>
      <c r="D8350">
        <v>3</v>
      </c>
      <c r="E8350">
        <v>1</v>
      </c>
      <c r="F8350" t="s">
        <v>1020</v>
      </c>
      <c r="G8350" t="s">
        <v>32</v>
      </c>
      <c r="H8350" t="s">
        <v>33</v>
      </c>
      <c r="I8350" t="s">
        <v>34</v>
      </c>
      <c r="J8350" t="s">
        <v>35</v>
      </c>
      <c r="K8350" t="s">
        <v>36</v>
      </c>
      <c r="L8350" t="s">
        <v>45</v>
      </c>
      <c r="M8350">
        <v>0</v>
      </c>
      <c r="N8350">
        <v>1</v>
      </c>
      <c r="O8350">
        <v>1440</v>
      </c>
      <c r="Q8350">
        <f>230-134</f>
        <v>96</v>
      </c>
      <c r="R8350" t="s">
        <v>46</v>
      </c>
      <c r="S8350" t="s">
        <v>39</v>
      </c>
      <c r="Z8350" t="s">
        <v>102</v>
      </c>
      <c r="AB8350" t="s">
        <v>47</v>
      </c>
      <c r="AC8350" t="s">
        <v>41</v>
      </c>
    </row>
    <row r="8351" spans="1:30" x14ac:dyDescent="0.35">
      <c r="A8351" s="7">
        <v>43321</v>
      </c>
      <c r="B8351" t="s">
        <v>30</v>
      </c>
      <c r="C8351">
        <v>304</v>
      </c>
      <c r="D8351">
        <v>7</v>
      </c>
      <c r="E8351">
        <v>1</v>
      </c>
      <c r="F8351" t="s">
        <v>1139</v>
      </c>
      <c r="G8351" t="s">
        <v>32</v>
      </c>
      <c r="H8351" t="s">
        <v>33</v>
      </c>
      <c r="I8351" t="s">
        <v>58</v>
      </c>
      <c r="J8351" t="s">
        <v>35</v>
      </c>
      <c r="K8351" t="s">
        <v>36</v>
      </c>
      <c r="L8351" t="s">
        <v>37</v>
      </c>
      <c r="M8351">
        <v>0</v>
      </c>
      <c r="N8351">
        <v>1</v>
      </c>
      <c r="O8351">
        <v>1517</v>
      </c>
      <c r="Q8351">
        <f>35.5-10</f>
        <v>25.5</v>
      </c>
      <c r="R8351" t="s">
        <v>38</v>
      </c>
      <c r="Z8351" t="s">
        <v>102</v>
      </c>
      <c r="AB8351" t="s">
        <v>97</v>
      </c>
      <c r="AC8351" t="s">
        <v>1140</v>
      </c>
    </row>
    <row r="8352" spans="1:30" x14ac:dyDescent="0.35">
      <c r="A8352" s="7">
        <v>43321</v>
      </c>
      <c r="B8352" t="s">
        <v>30</v>
      </c>
      <c r="C8352">
        <v>402</v>
      </c>
      <c r="D8352">
        <v>8</v>
      </c>
      <c r="E8352">
        <v>1</v>
      </c>
      <c r="F8352" t="s">
        <v>1020</v>
      </c>
      <c r="G8352" t="s">
        <v>32</v>
      </c>
      <c r="H8352" t="s">
        <v>33</v>
      </c>
      <c r="I8352" t="s">
        <v>58</v>
      </c>
      <c r="J8352" t="s">
        <v>35</v>
      </c>
      <c r="K8352" t="s">
        <v>36</v>
      </c>
      <c r="L8352" t="s">
        <v>45</v>
      </c>
      <c r="M8352">
        <v>0</v>
      </c>
      <c r="N8352">
        <v>1</v>
      </c>
      <c r="O8352">
        <v>1441</v>
      </c>
      <c r="Q8352">
        <f>32.5-10</f>
        <v>22.5</v>
      </c>
      <c r="R8352" t="s">
        <v>1021</v>
      </c>
      <c r="S8352" t="s">
        <v>102</v>
      </c>
      <c r="Z8352" t="s">
        <v>102</v>
      </c>
      <c r="AB8352" t="s">
        <v>47</v>
      </c>
      <c r="AC8352" t="s">
        <v>41</v>
      </c>
      <c r="AD8352" t="s">
        <v>1278</v>
      </c>
    </row>
    <row r="8353" spans="1:29" x14ac:dyDescent="0.35">
      <c r="A8353" s="7">
        <v>43321</v>
      </c>
      <c r="B8353" t="s">
        <v>30</v>
      </c>
      <c r="C8353">
        <v>111</v>
      </c>
      <c r="D8353">
        <v>3</v>
      </c>
      <c r="E8353">
        <v>1</v>
      </c>
      <c r="F8353" t="s">
        <v>1020</v>
      </c>
      <c r="G8353" t="s">
        <v>32</v>
      </c>
      <c r="H8353" t="s">
        <v>33</v>
      </c>
      <c r="I8353" t="s">
        <v>72</v>
      </c>
      <c r="J8353" t="s">
        <v>56</v>
      </c>
      <c r="AB8353" t="s">
        <v>47</v>
      </c>
      <c r="AC8353" t="s">
        <v>41</v>
      </c>
    </row>
    <row r="8354" spans="1:29" x14ac:dyDescent="0.35">
      <c r="A8354" s="7">
        <v>43321</v>
      </c>
      <c r="B8354" t="s">
        <v>30</v>
      </c>
      <c r="C8354">
        <v>111</v>
      </c>
      <c r="D8354">
        <v>4</v>
      </c>
      <c r="E8354">
        <v>1</v>
      </c>
      <c r="F8354" t="s">
        <v>1020</v>
      </c>
      <c r="G8354" t="s">
        <v>32</v>
      </c>
      <c r="H8354" t="s">
        <v>33</v>
      </c>
      <c r="I8354" t="s">
        <v>72</v>
      </c>
      <c r="J8354" t="s">
        <v>56</v>
      </c>
      <c r="AB8354" t="s">
        <v>47</v>
      </c>
      <c r="AC8354" t="s">
        <v>41</v>
      </c>
    </row>
    <row r="8355" spans="1:29" x14ac:dyDescent="0.35">
      <c r="A8355" s="7">
        <v>43321</v>
      </c>
      <c r="B8355" t="s">
        <v>30</v>
      </c>
      <c r="C8355">
        <v>111</v>
      </c>
      <c r="D8355">
        <v>7</v>
      </c>
      <c r="E8355">
        <v>2</v>
      </c>
      <c r="F8355" t="s">
        <v>1020</v>
      </c>
      <c r="G8355" t="s">
        <v>32</v>
      </c>
      <c r="H8355" t="s">
        <v>33</v>
      </c>
      <c r="I8355" t="s">
        <v>72</v>
      </c>
      <c r="J8355" t="s">
        <v>56</v>
      </c>
      <c r="AB8355" t="s">
        <v>47</v>
      </c>
      <c r="AC8355" t="s">
        <v>41</v>
      </c>
    </row>
    <row r="8356" spans="1:29" x14ac:dyDescent="0.35">
      <c r="A8356" s="7">
        <v>43321</v>
      </c>
      <c r="B8356" t="s">
        <v>30</v>
      </c>
      <c r="C8356">
        <v>111</v>
      </c>
      <c r="D8356">
        <v>9</v>
      </c>
      <c r="E8356">
        <v>2</v>
      </c>
      <c r="F8356" t="s">
        <v>1020</v>
      </c>
      <c r="G8356" t="s">
        <v>32</v>
      </c>
      <c r="H8356" t="s">
        <v>33</v>
      </c>
      <c r="I8356" t="s">
        <v>72</v>
      </c>
      <c r="J8356" t="s">
        <v>56</v>
      </c>
      <c r="AB8356" t="s">
        <v>47</v>
      </c>
      <c r="AC8356" t="s">
        <v>41</v>
      </c>
    </row>
    <row r="8357" spans="1:29" x14ac:dyDescent="0.35">
      <c r="A8357" s="7">
        <v>43321</v>
      </c>
      <c r="B8357" t="s">
        <v>30</v>
      </c>
      <c r="C8357">
        <v>112</v>
      </c>
      <c r="D8357">
        <v>1</v>
      </c>
      <c r="E8357">
        <v>1</v>
      </c>
      <c r="F8357" t="s">
        <v>1020</v>
      </c>
      <c r="G8357" t="s">
        <v>32</v>
      </c>
      <c r="H8357" t="s">
        <v>33</v>
      </c>
      <c r="I8357" t="s">
        <v>72</v>
      </c>
      <c r="J8357" t="s">
        <v>56</v>
      </c>
      <c r="AB8357" t="s">
        <v>47</v>
      </c>
      <c r="AC8357" t="s">
        <v>41</v>
      </c>
    </row>
    <row r="8358" spans="1:29" x14ac:dyDescent="0.35">
      <c r="A8358" s="7">
        <v>43321</v>
      </c>
      <c r="B8358" t="s">
        <v>30</v>
      </c>
      <c r="C8358">
        <v>112</v>
      </c>
      <c r="D8358">
        <v>6</v>
      </c>
      <c r="E8358">
        <v>2</v>
      </c>
      <c r="F8358" t="s">
        <v>1020</v>
      </c>
      <c r="G8358" t="s">
        <v>32</v>
      </c>
      <c r="H8358" t="s">
        <v>33</v>
      </c>
      <c r="I8358" t="s">
        <v>72</v>
      </c>
      <c r="J8358" t="s">
        <v>56</v>
      </c>
      <c r="AB8358" t="s">
        <v>47</v>
      </c>
      <c r="AC8358" t="s">
        <v>41</v>
      </c>
    </row>
    <row r="8359" spans="1:29" x14ac:dyDescent="0.35">
      <c r="A8359" s="7">
        <v>43321</v>
      </c>
      <c r="B8359" t="s">
        <v>30</v>
      </c>
      <c r="C8359">
        <v>112</v>
      </c>
      <c r="D8359">
        <v>7</v>
      </c>
      <c r="E8359">
        <v>1</v>
      </c>
      <c r="F8359" t="s">
        <v>1020</v>
      </c>
      <c r="G8359" t="s">
        <v>32</v>
      </c>
      <c r="H8359" t="s">
        <v>33</v>
      </c>
      <c r="I8359" t="s">
        <v>72</v>
      </c>
      <c r="J8359" t="s">
        <v>56</v>
      </c>
      <c r="AB8359" t="s">
        <v>47</v>
      </c>
      <c r="AC8359" t="s">
        <v>41</v>
      </c>
    </row>
    <row r="8360" spans="1:29" x14ac:dyDescent="0.35">
      <c r="A8360" s="7">
        <v>43321</v>
      </c>
      <c r="B8360" t="s">
        <v>30</v>
      </c>
      <c r="C8360">
        <v>113</v>
      </c>
      <c r="D8360">
        <v>1</v>
      </c>
      <c r="E8360">
        <v>2</v>
      </c>
      <c r="F8360" t="s">
        <v>1020</v>
      </c>
      <c r="G8360" t="s">
        <v>32</v>
      </c>
      <c r="H8360" t="s">
        <v>33</v>
      </c>
      <c r="I8360" t="s">
        <v>72</v>
      </c>
      <c r="J8360" t="s">
        <v>56</v>
      </c>
      <c r="AB8360" t="s">
        <v>47</v>
      </c>
      <c r="AC8360" t="s">
        <v>41</v>
      </c>
    </row>
    <row r="8361" spans="1:29" x14ac:dyDescent="0.35">
      <c r="A8361" s="7">
        <v>43321</v>
      </c>
      <c r="B8361" t="s">
        <v>30</v>
      </c>
      <c r="C8361">
        <v>113</v>
      </c>
      <c r="D8361">
        <v>5</v>
      </c>
      <c r="E8361">
        <v>1</v>
      </c>
      <c r="F8361" t="s">
        <v>1020</v>
      </c>
      <c r="G8361" t="s">
        <v>32</v>
      </c>
      <c r="H8361" t="s">
        <v>33</v>
      </c>
      <c r="I8361" t="s">
        <v>72</v>
      </c>
      <c r="J8361" t="s">
        <v>56</v>
      </c>
      <c r="AB8361" t="s">
        <v>47</v>
      </c>
      <c r="AC8361" t="s">
        <v>41</v>
      </c>
    </row>
    <row r="8362" spans="1:29" x14ac:dyDescent="0.35">
      <c r="A8362" s="7">
        <v>43321</v>
      </c>
      <c r="B8362" t="s">
        <v>30</v>
      </c>
      <c r="C8362">
        <v>203</v>
      </c>
      <c r="D8362">
        <v>1</v>
      </c>
      <c r="E8362">
        <v>1</v>
      </c>
      <c r="F8362" t="s">
        <v>1139</v>
      </c>
      <c r="G8362" t="s">
        <v>32</v>
      </c>
      <c r="H8362" t="s">
        <v>33</v>
      </c>
      <c r="I8362" t="s">
        <v>72</v>
      </c>
      <c r="J8362" t="s">
        <v>56</v>
      </c>
      <c r="AB8362" t="s">
        <v>97</v>
      </c>
      <c r="AC8362" t="s">
        <v>1140</v>
      </c>
    </row>
    <row r="8363" spans="1:29" x14ac:dyDescent="0.35">
      <c r="A8363" s="7">
        <v>43321</v>
      </c>
      <c r="B8363" t="s">
        <v>30</v>
      </c>
      <c r="C8363">
        <v>203</v>
      </c>
      <c r="D8363">
        <v>3</v>
      </c>
      <c r="E8363">
        <v>1</v>
      </c>
      <c r="F8363" t="s">
        <v>1139</v>
      </c>
      <c r="G8363" t="s">
        <v>32</v>
      </c>
      <c r="H8363" t="s">
        <v>33</v>
      </c>
      <c r="I8363" t="s">
        <v>72</v>
      </c>
      <c r="J8363" t="s">
        <v>56</v>
      </c>
      <c r="AB8363" t="s">
        <v>97</v>
      </c>
      <c r="AC8363" t="s">
        <v>1140</v>
      </c>
    </row>
    <row r="8364" spans="1:29" x14ac:dyDescent="0.35">
      <c r="A8364" s="7">
        <v>43321</v>
      </c>
      <c r="B8364" t="s">
        <v>30</v>
      </c>
      <c r="C8364">
        <v>203</v>
      </c>
      <c r="D8364">
        <v>8</v>
      </c>
      <c r="E8364">
        <v>1</v>
      </c>
      <c r="F8364" t="s">
        <v>1139</v>
      </c>
      <c r="G8364" t="s">
        <v>32</v>
      </c>
      <c r="H8364" t="s">
        <v>33</v>
      </c>
      <c r="I8364" t="s">
        <v>72</v>
      </c>
      <c r="J8364" t="s">
        <v>56</v>
      </c>
      <c r="AB8364" t="s">
        <v>97</v>
      </c>
      <c r="AC8364" t="s">
        <v>1140</v>
      </c>
    </row>
    <row r="8365" spans="1:29" x14ac:dyDescent="0.35">
      <c r="A8365" s="7">
        <v>43321</v>
      </c>
      <c r="B8365" t="s">
        <v>30</v>
      </c>
      <c r="C8365">
        <v>304</v>
      </c>
      <c r="D8365">
        <v>3</v>
      </c>
      <c r="E8365">
        <v>1</v>
      </c>
      <c r="F8365" t="s">
        <v>1139</v>
      </c>
      <c r="G8365" t="s">
        <v>32</v>
      </c>
      <c r="H8365" t="s">
        <v>33</v>
      </c>
      <c r="I8365" t="s">
        <v>72</v>
      </c>
      <c r="J8365" t="s">
        <v>66</v>
      </c>
      <c r="AB8365" t="s">
        <v>97</v>
      </c>
      <c r="AC8365" t="s">
        <v>1140</v>
      </c>
    </row>
    <row r="8366" spans="1:29" x14ac:dyDescent="0.35">
      <c r="A8366" s="7">
        <v>43321</v>
      </c>
      <c r="B8366" t="s">
        <v>30</v>
      </c>
      <c r="C8366">
        <v>304</v>
      </c>
      <c r="D8366">
        <v>3</v>
      </c>
      <c r="E8366">
        <v>2</v>
      </c>
      <c r="F8366" t="s">
        <v>1139</v>
      </c>
      <c r="G8366" t="s">
        <v>32</v>
      </c>
      <c r="H8366" t="s">
        <v>33</v>
      </c>
      <c r="I8366" t="s">
        <v>72</v>
      </c>
      <c r="J8366" t="s">
        <v>56</v>
      </c>
      <c r="AB8366" t="s">
        <v>97</v>
      </c>
      <c r="AC8366" t="s">
        <v>1140</v>
      </c>
    </row>
    <row r="8367" spans="1:29" x14ac:dyDescent="0.35">
      <c r="A8367" s="7">
        <v>43321</v>
      </c>
      <c r="B8367" t="s">
        <v>30</v>
      </c>
      <c r="C8367">
        <v>304</v>
      </c>
      <c r="D8367">
        <v>9</v>
      </c>
      <c r="E8367">
        <v>1</v>
      </c>
      <c r="F8367" t="s">
        <v>1139</v>
      </c>
      <c r="G8367" t="s">
        <v>32</v>
      </c>
      <c r="H8367" t="s">
        <v>33</v>
      </c>
      <c r="I8367" t="s">
        <v>72</v>
      </c>
      <c r="J8367" t="s">
        <v>56</v>
      </c>
      <c r="AB8367" t="s">
        <v>97</v>
      </c>
      <c r="AC8367" t="s">
        <v>1140</v>
      </c>
    </row>
    <row r="8368" spans="1:29" x14ac:dyDescent="0.35">
      <c r="A8368" s="7">
        <v>43321</v>
      </c>
      <c r="B8368" t="s">
        <v>30</v>
      </c>
      <c r="C8368">
        <v>304</v>
      </c>
      <c r="D8368">
        <v>10</v>
      </c>
      <c r="E8368">
        <v>1</v>
      </c>
      <c r="F8368" t="s">
        <v>1139</v>
      </c>
      <c r="G8368" t="s">
        <v>32</v>
      </c>
      <c r="H8368" t="s">
        <v>33</v>
      </c>
      <c r="I8368" t="s">
        <v>72</v>
      </c>
      <c r="J8368" t="s">
        <v>56</v>
      </c>
      <c r="AB8368" t="s">
        <v>97</v>
      </c>
      <c r="AC8368" t="s">
        <v>1140</v>
      </c>
    </row>
    <row r="8369" spans="1:29" x14ac:dyDescent="0.35">
      <c r="A8369" s="7">
        <v>43321</v>
      </c>
      <c r="B8369" t="s">
        <v>30</v>
      </c>
      <c r="C8369">
        <v>113</v>
      </c>
      <c r="D8369">
        <v>1</v>
      </c>
      <c r="E8369">
        <v>1</v>
      </c>
      <c r="F8369" t="s">
        <v>1020</v>
      </c>
      <c r="G8369" t="s">
        <v>32</v>
      </c>
      <c r="H8369" t="s">
        <v>33</v>
      </c>
      <c r="I8369" t="s">
        <v>84</v>
      </c>
      <c r="AB8369" t="s">
        <v>47</v>
      </c>
      <c r="AC8369" t="s">
        <v>41</v>
      </c>
    </row>
    <row r="8370" spans="1:29" x14ac:dyDescent="0.35">
      <c r="A8370" s="7">
        <v>43321</v>
      </c>
      <c r="B8370" t="s">
        <v>30</v>
      </c>
      <c r="C8370">
        <v>202</v>
      </c>
      <c r="D8370">
        <v>1</v>
      </c>
      <c r="E8370">
        <v>1</v>
      </c>
      <c r="F8370" t="s">
        <v>1139</v>
      </c>
      <c r="G8370" t="s">
        <v>32</v>
      </c>
      <c r="H8370" t="s">
        <v>33</v>
      </c>
      <c r="I8370" t="s">
        <v>84</v>
      </c>
      <c r="AB8370" t="s">
        <v>97</v>
      </c>
      <c r="AC8370" t="s">
        <v>1140</v>
      </c>
    </row>
    <row r="8371" spans="1:29" x14ac:dyDescent="0.35">
      <c r="A8371" s="7">
        <v>43321</v>
      </c>
      <c r="B8371" t="s">
        <v>30</v>
      </c>
      <c r="C8371">
        <v>202</v>
      </c>
      <c r="D8371">
        <v>1</v>
      </c>
      <c r="E8371">
        <v>2</v>
      </c>
      <c r="F8371" t="s">
        <v>1139</v>
      </c>
      <c r="G8371" t="s">
        <v>32</v>
      </c>
      <c r="H8371" t="s">
        <v>33</v>
      </c>
      <c r="I8371" t="s">
        <v>84</v>
      </c>
      <c r="AB8371" t="s">
        <v>97</v>
      </c>
      <c r="AC8371" t="s">
        <v>1140</v>
      </c>
    </row>
    <row r="8372" spans="1:29" x14ac:dyDescent="0.35">
      <c r="A8372" s="7">
        <v>43321</v>
      </c>
      <c r="B8372" t="s">
        <v>30</v>
      </c>
      <c r="C8372">
        <v>202</v>
      </c>
      <c r="D8372">
        <v>4</v>
      </c>
      <c r="E8372">
        <v>1</v>
      </c>
      <c r="F8372" t="s">
        <v>1139</v>
      </c>
      <c r="G8372" t="s">
        <v>32</v>
      </c>
      <c r="H8372" t="s">
        <v>33</v>
      </c>
      <c r="I8372" t="s">
        <v>84</v>
      </c>
      <c r="AB8372" t="s">
        <v>97</v>
      </c>
      <c r="AC8372" t="s">
        <v>1140</v>
      </c>
    </row>
    <row r="8373" spans="1:29" x14ac:dyDescent="0.35">
      <c r="A8373" s="7">
        <v>43321</v>
      </c>
      <c r="B8373" t="s">
        <v>30</v>
      </c>
      <c r="C8373">
        <v>202</v>
      </c>
      <c r="D8373">
        <v>6</v>
      </c>
      <c r="E8373">
        <v>1</v>
      </c>
      <c r="F8373" t="s">
        <v>1139</v>
      </c>
      <c r="G8373" t="s">
        <v>32</v>
      </c>
      <c r="H8373" t="s">
        <v>33</v>
      </c>
      <c r="I8373" t="s">
        <v>84</v>
      </c>
      <c r="AB8373" t="s">
        <v>97</v>
      </c>
      <c r="AC8373" t="s">
        <v>1140</v>
      </c>
    </row>
    <row r="8374" spans="1:29" x14ac:dyDescent="0.35">
      <c r="A8374" s="7">
        <v>43321</v>
      </c>
      <c r="B8374" t="s">
        <v>30</v>
      </c>
      <c r="C8374">
        <v>202</v>
      </c>
      <c r="D8374">
        <v>7</v>
      </c>
      <c r="E8374">
        <v>2</v>
      </c>
      <c r="F8374" t="s">
        <v>1139</v>
      </c>
      <c r="G8374" t="s">
        <v>32</v>
      </c>
      <c r="H8374" t="s">
        <v>33</v>
      </c>
      <c r="I8374" t="s">
        <v>84</v>
      </c>
      <c r="AB8374" t="s">
        <v>97</v>
      </c>
      <c r="AC8374" t="s">
        <v>1140</v>
      </c>
    </row>
    <row r="8375" spans="1:29" x14ac:dyDescent="0.35">
      <c r="A8375" s="7">
        <v>43321</v>
      </c>
      <c r="B8375" t="s">
        <v>30</v>
      </c>
      <c r="C8375">
        <v>111</v>
      </c>
      <c r="D8375">
        <v>1</v>
      </c>
      <c r="E8375">
        <v>1</v>
      </c>
      <c r="F8375" t="s">
        <v>1020</v>
      </c>
      <c r="G8375" t="s">
        <v>32</v>
      </c>
      <c r="H8375" t="s">
        <v>33</v>
      </c>
      <c r="I8375" t="s">
        <v>59</v>
      </c>
      <c r="AB8375" t="s">
        <v>47</v>
      </c>
      <c r="AC8375" t="s">
        <v>41</v>
      </c>
    </row>
    <row r="8376" spans="1:29" x14ac:dyDescent="0.35">
      <c r="A8376" s="7">
        <v>43321</v>
      </c>
      <c r="B8376" t="s">
        <v>30</v>
      </c>
      <c r="C8376">
        <v>111</v>
      </c>
      <c r="D8376">
        <v>2</v>
      </c>
      <c r="E8376">
        <v>1</v>
      </c>
      <c r="F8376" t="s">
        <v>1020</v>
      </c>
      <c r="G8376" t="s">
        <v>32</v>
      </c>
      <c r="H8376" t="s">
        <v>33</v>
      </c>
      <c r="I8376" t="s">
        <v>59</v>
      </c>
      <c r="AB8376" t="s">
        <v>47</v>
      </c>
      <c r="AC8376" t="s">
        <v>41</v>
      </c>
    </row>
    <row r="8377" spans="1:29" x14ac:dyDescent="0.35">
      <c r="A8377" s="7">
        <v>43321</v>
      </c>
      <c r="B8377" t="s">
        <v>30</v>
      </c>
      <c r="C8377">
        <v>111</v>
      </c>
      <c r="D8377">
        <v>7</v>
      </c>
      <c r="E8377">
        <v>1</v>
      </c>
      <c r="F8377" t="s">
        <v>1020</v>
      </c>
      <c r="G8377" t="s">
        <v>32</v>
      </c>
      <c r="H8377" t="s">
        <v>33</v>
      </c>
      <c r="I8377" t="s">
        <v>59</v>
      </c>
      <c r="AB8377" t="s">
        <v>47</v>
      </c>
      <c r="AC8377" t="s">
        <v>41</v>
      </c>
    </row>
    <row r="8378" spans="1:29" x14ac:dyDescent="0.35">
      <c r="A8378" s="7">
        <v>43321</v>
      </c>
      <c r="B8378" t="s">
        <v>30</v>
      </c>
      <c r="C8378">
        <v>111</v>
      </c>
      <c r="D8378">
        <v>8</v>
      </c>
      <c r="E8378">
        <v>1</v>
      </c>
      <c r="F8378" t="s">
        <v>1020</v>
      </c>
      <c r="G8378" t="s">
        <v>32</v>
      </c>
      <c r="H8378" t="s">
        <v>33</v>
      </c>
      <c r="I8378" t="s">
        <v>59</v>
      </c>
      <c r="AB8378" t="s">
        <v>47</v>
      </c>
      <c r="AC8378" t="s">
        <v>41</v>
      </c>
    </row>
    <row r="8379" spans="1:29" x14ac:dyDescent="0.35">
      <c r="A8379" s="7">
        <v>43321</v>
      </c>
      <c r="B8379" t="s">
        <v>30</v>
      </c>
      <c r="C8379">
        <v>111</v>
      </c>
      <c r="D8379">
        <v>8</v>
      </c>
      <c r="E8379">
        <v>2</v>
      </c>
      <c r="F8379" t="s">
        <v>1020</v>
      </c>
      <c r="G8379" t="s">
        <v>32</v>
      </c>
      <c r="H8379" t="s">
        <v>33</v>
      </c>
      <c r="I8379" t="s">
        <v>59</v>
      </c>
      <c r="AB8379" t="s">
        <v>47</v>
      </c>
      <c r="AC8379" t="s">
        <v>41</v>
      </c>
    </row>
    <row r="8380" spans="1:29" x14ac:dyDescent="0.35">
      <c r="A8380" s="7">
        <v>43321</v>
      </c>
      <c r="B8380" t="s">
        <v>30</v>
      </c>
      <c r="C8380">
        <v>111</v>
      </c>
      <c r="D8380">
        <v>9</v>
      </c>
      <c r="E8380">
        <v>1</v>
      </c>
      <c r="F8380" t="s">
        <v>1020</v>
      </c>
      <c r="G8380" t="s">
        <v>32</v>
      </c>
      <c r="H8380" t="s">
        <v>33</v>
      </c>
      <c r="I8380" t="s">
        <v>59</v>
      </c>
      <c r="AB8380" t="s">
        <v>47</v>
      </c>
      <c r="AC8380" t="s">
        <v>41</v>
      </c>
    </row>
    <row r="8381" spans="1:29" x14ac:dyDescent="0.35">
      <c r="A8381" s="7">
        <v>43321</v>
      </c>
      <c r="B8381" t="s">
        <v>30</v>
      </c>
      <c r="C8381">
        <v>112</v>
      </c>
      <c r="D8381">
        <v>8</v>
      </c>
      <c r="E8381">
        <v>1</v>
      </c>
      <c r="F8381" t="s">
        <v>1020</v>
      </c>
      <c r="G8381" t="s">
        <v>32</v>
      </c>
      <c r="H8381" t="s">
        <v>33</v>
      </c>
      <c r="I8381" t="s">
        <v>59</v>
      </c>
      <c r="AB8381" t="s">
        <v>47</v>
      </c>
      <c r="AC8381" t="s">
        <v>41</v>
      </c>
    </row>
    <row r="8382" spans="1:29" x14ac:dyDescent="0.35">
      <c r="A8382" s="7">
        <v>43321</v>
      </c>
      <c r="B8382" t="s">
        <v>30</v>
      </c>
      <c r="C8382">
        <v>113</v>
      </c>
      <c r="D8382">
        <v>3</v>
      </c>
      <c r="E8382">
        <v>1</v>
      </c>
      <c r="F8382" t="s">
        <v>1020</v>
      </c>
      <c r="G8382" t="s">
        <v>32</v>
      </c>
      <c r="H8382" t="s">
        <v>33</v>
      </c>
      <c r="I8382" t="s">
        <v>59</v>
      </c>
      <c r="AB8382" t="s">
        <v>47</v>
      </c>
      <c r="AC8382" t="s">
        <v>41</v>
      </c>
    </row>
    <row r="8383" spans="1:29" x14ac:dyDescent="0.35">
      <c r="A8383" s="7">
        <v>43321</v>
      </c>
      <c r="B8383" t="s">
        <v>30</v>
      </c>
      <c r="C8383">
        <v>113</v>
      </c>
      <c r="D8383">
        <v>3</v>
      </c>
      <c r="E8383">
        <v>2</v>
      </c>
      <c r="F8383" t="s">
        <v>1020</v>
      </c>
      <c r="G8383" t="s">
        <v>32</v>
      </c>
      <c r="H8383" t="s">
        <v>33</v>
      </c>
      <c r="I8383" t="s">
        <v>59</v>
      </c>
      <c r="AB8383" t="s">
        <v>47</v>
      </c>
      <c r="AC8383" t="s">
        <v>41</v>
      </c>
    </row>
    <row r="8384" spans="1:29" x14ac:dyDescent="0.35">
      <c r="A8384" s="7">
        <v>43321</v>
      </c>
      <c r="B8384" t="s">
        <v>30</v>
      </c>
      <c r="C8384">
        <v>113</v>
      </c>
      <c r="D8384">
        <v>8</v>
      </c>
      <c r="E8384">
        <v>1</v>
      </c>
      <c r="F8384" t="s">
        <v>1020</v>
      </c>
      <c r="G8384" t="s">
        <v>32</v>
      </c>
      <c r="H8384" t="s">
        <v>33</v>
      </c>
      <c r="I8384" t="s">
        <v>59</v>
      </c>
      <c r="AB8384" t="s">
        <v>47</v>
      </c>
      <c r="AC8384" t="s">
        <v>41</v>
      </c>
    </row>
    <row r="8385" spans="1:29" x14ac:dyDescent="0.35">
      <c r="A8385" s="7">
        <v>43321</v>
      </c>
      <c r="B8385" t="s">
        <v>30</v>
      </c>
      <c r="C8385">
        <v>113</v>
      </c>
      <c r="D8385">
        <v>8</v>
      </c>
      <c r="E8385">
        <v>2</v>
      </c>
      <c r="F8385" t="s">
        <v>1020</v>
      </c>
      <c r="G8385" t="s">
        <v>32</v>
      </c>
      <c r="H8385" t="s">
        <v>33</v>
      </c>
      <c r="I8385" t="s">
        <v>59</v>
      </c>
      <c r="AB8385" t="s">
        <v>47</v>
      </c>
      <c r="AC8385" t="s">
        <v>41</v>
      </c>
    </row>
    <row r="8386" spans="1:29" x14ac:dyDescent="0.35">
      <c r="A8386" s="7">
        <v>43321</v>
      </c>
      <c r="B8386" t="s">
        <v>30</v>
      </c>
      <c r="C8386">
        <v>201</v>
      </c>
      <c r="D8386">
        <v>1</v>
      </c>
      <c r="E8386">
        <v>1</v>
      </c>
      <c r="F8386" t="s">
        <v>1139</v>
      </c>
      <c r="G8386" t="s">
        <v>32</v>
      </c>
      <c r="H8386" t="s">
        <v>33</v>
      </c>
      <c r="I8386" t="s">
        <v>59</v>
      </c>
      <c r="AB8386" t="s">
        <v>97</v>
      </c>
      <c r="AC8386" t="s">
        <v>1140</v>
      </c>
    </row>
    <row r="8387" spans="1:29" x14ac:dyDescent="0.35">
      <c r="A8387" s="7">
        <v>43321</v>
      </c>
      <c r="B8387" t="s">
        <v>30</v>
      </c>
      <c r="C8387">
        <v>201</v>
      </c>
      <c r="D8387">
        <v>8</v>
      </c>
      <c r="E8387">
        <v>1</v>
      </c>
      <c r="F8387" t="s">
        <v>1139</v>
      </c>
      <c r="G8387" t="s">
        <v>32</v>
      </c>
      <c r="H8387" t="s">
        <v>33</v>
      </c>
      <c r="I8387" t="s">
        <v>59</v>
      </c>
      <c r="AB8387" t="s">
        <v>97</v>
      </c>
      <c r="AC8387" t="s">
        <v>1140</v>
      </c>
    </row>
    <row r="8388" spans="1:29" x14ac:dyDescent="0.35">
      <c r="A8388" s="7">
        <v>43321</v>
      </c>
      <c r="B8388" t="s">
        <v>30</v>
      </c>
      <c r="C8388">
        <v>201</v>
      </c>
      <c r="D8388">
        <v>9</v>
      </c>
      <c r="E8388">
        <v>1</v>
      </c>
      <c r="F8388" t="s">
        <v>1139</v>
      </c>
      <c r="G8388" t="s">
        <v>32</v>
      </c>
      <c r="H8388" t="s">
        <v>33</v>
      </c>
      <c r="I8388" t="s">
        <v>59</v>
      </c>
      <c r="AB8388" t="s">
        <v>97</v>
      </c>
      <c r="AC8388" t="s">
        <v>1140</v>
      </c>
    </row>
    <row r="8389" spans="1:29" x14ac:dyDescent="0.35">
      <c r="A8389" s="7">
        <v>43321</v>
      </c>
      <c r="B8389" t="s">
        <v>30</v>
      </c>
      <c r="C8389">
        <v>201</v>
      </c>
      <c r="D8389">
        <v>9</v>
      </c>
      <c r="E8389">
        <v>2</v>
      </c>
      <c r="F8389" t="s">
        <v>1139</v>
      </c>
      <c r="G8389" t="s">
        <v>32</v>
      </c>
      <c r="H8389" t="s">
        <v>33</v>
      </c>
      <c r="I8389" t="s">
        <v>59</v>
      </c>
      <c r="AB8389" t="s">
        <v>97</v>
      </c>
      <c r="AC8389" t="s">
        <v>1140</v>
      </c>
    </row>
    <row r="8390" spans="1:29" x14ac:dyDescent="0.35">
      <c r="A8390" s="7">
        <v>43321</v>
      </c>
      <c r="B8390" t="s">
        <v>30</v>
      </c>
      <c r="C8390">
        <v>202</v>
      </c>
      <c r="D8390">
        <v>2</v>
      </c>
      <c r="E8390">
        <v>2</v>
      </c>
      <c r="F8390" t="s">
        <v>1139</v>
      </c>
      <c r="G8390" t="s">
        <v>32</v>
      </c>
      <c r="H8390" t="s">
        <v>33</v>
      </c>
      <c r="I8390" t="s">
        <v>59</v>
      </c>
      <c r="AB8390" t="s">
        <v>97</v>
      </c>
      <c r="AC8390" t="s">
        <v>1140</v>
      </c>
    </row>
    <row r="8391" spans="1:29" x14ac:dyDescent="0.35">
      <c r="A8391" s="7">
        <v>43321</v>
      </c>
      <c r="B8391" t="s">
        <v>30</v>
      </c>
      <c r="C8391">
        <v>202</v>
      </c>
      <c r="D8391">
        <v>3</v>
      </c>
      <c r="E8391">
        <v>1</v>
      </c>
      <c r="F8391" t="s">
        <v>1139</v>
      </c>
      <c r="G8391" t="s">
        <v>32</v>
      </c>
      <c r="H8391" t="s">
        <v>33</v>
      </c>
      <c r="I8391" t="s">
        <v>59</v>
      </c>
      <c r="AB8391" t="s">
        <v>97</v>
      </c>
      <c r="AC8391" t="s">
        <v>1140</v>
      </c>
    </row>
    <row r="8392" spans="1:29" x14ac:dyDescent="0.35">
      <c r="A8392" s="7">
        <v>43321</v>
      </c>
      <c r="B8392" t="s">
        <v>30</v>
      </c>
      <c r="C8392">
        <v>202</v>
      </c>
      <c r="D8392">
        <v>3</v>
      </c>
      <c r="E8392">
        <v>2</v>
      </c>
      <c r="F8392" t="s">
        <v>1139</v>
      </c>
      <c r="G8392" t="s">
        <v>32</v>
      </c>
      <c r="H8392" t="s">
        <v>33</v>
      </c>
      <c r="I8392" t="s">
        <v>59</v>
      </c>
      <c r="AB8392" t="s">
        <v>97</v>
      </c>
      <c r="AC8392" t="s">
        <v>1140</v>
      </c>
    </row>
    <row r="8393" spans="1:29" x14ac:dyDescent="0.35">
      <c r="A8393" s="7">
        <v>43321</v>
      </c>
      <c r="B8393" t="s">
        <v>30</v>
      </c>
      <c r="C8393">
        <v>202</v>
      </c>
      <c r="D8393">
        <v>8</v>
      </c>
      <c r="E8393">
        <v>1</v>
      </c>
      <c r="F8393" t="s">
        <v>1139</v>
      </c>
      <c r="G8393" t="s">
        <v>32</v>
      </c>
      <c r="H8393" t="s">
        <v>33</v>
      </c>
      <c r="I8393" t="s">
        <v>59</v>
      </c>
      <c r="AB8393" t="s">
        <v>97</v>
      </c>
      <c r="AC8393" t="s">
        <v>1140</v>
      </c>
    </row>
    <row r="8394" spans="1:29" x14ac:dyDescent="0.35">
      <c r="A8394" s="7">
        <v>43321</v>
      </c>
      <c r="B8394" t="s">
        <v>30</v>
      </c>
      <c r="C8394">
        <v>202</v>
      </c>
      <c r="D8394">
        <v>10</v>
      </c>
      <c r="E8394">
        <v>1</v>
      </c>
      <c r="F8394" t="s">
        <v>1139</v>
      </c>
      <c r="G8394" t="s">
        <v>32</v>
      </c>
      <c r="H8394" t="s">
        <v>33</v>
      </c>
      <c r="I8394" t="s">
        <v>59</v>
      </c>
      <c r="AB8394" t="s">
        <v>97</v>
      </c>
      <c r="AC8394" t="s">
        <v>1140</v>
      </c>
    </row>
    <row r="8395" spans="1:29" x14ac:dyDescent="0.35">
      <c r="A8395" s="7">
        <v>43321</v>
      </c>
      <c r="B8395" t="s">
        <v>30</v>
      </c>
      <c r="C8395">
        <v>203</v>
      </c>
      <c r="D8395">
        <v>9</v>
      </c>
      <c r="E8395">
        <v>1</v>
      </c>
      <c r="F8395" t="s">
        <v>1139</v>
      </c>
      <c r="G8395" t="s">
        <v>32</v>
      </c>
      <c r="H8395" t="s">
        <v>33</v>
      </c>
      <c r="I8395" t="s">
        <v>59</v>
      </c>
      <c r="AB8395" t="s">
        <v>97</v>
      </c>
      <c r="AC8395" t="s">
        <v>1140</v>
      </c>
    </row>
    <row r="8396" spans="1:29" x14ac:dyDescent="0.35">
      <c r="A8396" s="7">
        <v>43321</v>
      </c>
      <c r="B8396" t="s">
        <v>30</v>
      </c>
      <c r="C8396">
        <v>203</v>
      </c>
      <c r="D8396">
        <v>9</v>
      </c>
      <c r="E8396">
        <v>2</v>
      </c>
      <c r="F8396" t="s">
        <v>1139</v>
      </c>
      <c r="G8396" t="s">
        <v>32</v>
      </c>
      <c r="H8396" t="s">
        <v>33</v>
      </c>
      <c r="I8396" t="s">
        <v>59</v>
      </c>
      <c r="AB8396" t="s">
        <v>97</v>
      </c>
      <c r="AC8396" t="s">
        <v>1140</v>
      </c>
    </row>
    <row r="8397" spans="1:29" x14ac:dyDescent="0.35">
      <c r="A8397" s="7">
        <v>43321</v>
      </c>
      <c r="B8397" t="s">
        <v>30</v>
      </c>
      <c r="C8397">
        <v>304</v>
      </c>
      <c r="D8397">
        <v>1</v>
      </c>
      <c r="E8397">
        <v>1</v>
      </c>
      <c r="F8397" t="s">
        <v>1139</v>
      </c>
      <c r="G8397" t="s">
        <v>32</v>
      </c>
      <c r="H8397" t="s">
        <v>33</v>
      </c>
      <c r="I8397" t="s">
        <v>59</v>
      </c>
      <c r="AB8397" t="s">
        <v>97</v>
      </c>
      <c r="AC8397" t="s">
        <v>1140</v>
      </c>
    </row>
    <row r="8398" spans="1:29" x14ac:dyDescent="0.35">
      <c r="A8398" s="7">
        <v>43321</v>
      </c>
      <c r="B8398" t="s">
        <v>30</v>
      </c>
      <c r="C8398">
        <v>304</v>
      </c>
      <c r="D8398">
        <v>2</v>
      </c>
      <c r="E8398">
        <v>1</v>
      </c>
      <c r="F8398" t="s">
        <v>1139</v>
      </c>
      <c r="G8398" t="s">
        <v>32</v>
      </c>
      <c r="H8398" t="s">
        <v>33</v>
      </c>
      <c r="I8398" t="s">
        <v>59</v>
      </c>
      <c r="AB8398" t="s">
        <v>97</v>
      </c>
      <c r="AC8398" t="s">
        <v>1140</v>
      </c>
    </row>
    <row r="8399" spans="1:29" x14ac:dyDescent="0.35">
      <c r="A8399" s="7">
        <v>43321</v>
      </c>
      <c r="B8399" t="s">
        <v>30</v>
      </c>
      <c r="C8399">
        <v>402</v>
      </c>
      <c r="D8399">
        <v>1</v>
      </c>
      <c r="E8399">
        <v>2</v>
      </c>
      <c r="F8399" t="s">
        <v>1020</v>
      </c>
      <c r="G8399" t="s">
        <v>32</v>
      </c>
      <c r="H8399" t="s">
        <v>33</v>
      </c>
      <c r="I8399" t="s">
        <v>59</v>
      </c>
      <c r="AB8399" t="s">
        <v>47</v>
      </c>
      <c r="AC8399" t="s">
        <v>41</v>
      </c>
    </row>
    <row r="8400" spans="1:29" x14ac:dyDescent="0.35">
      <c r="A8400" s="7">
        <v>43321</v>
      </c>
      <c r="B8400" t="s">
        <v>30</v>
      </c>
      <c r="C8400">
        <v>402</v>
      </c>
      <c r="D8400">
        <v>2</v>
      </c>
      <c r="E8400">
        <v>1</v>
      </c>
      <c r="F8400" t="s">
        <v>1020</v>
      </c>
      <c r="G8400" t="s">
        <v>32</v>
      </c>
      <c r="H8400" t="s">
        <v>33</v>
      </c>
      <c r="I8400" t="s">
        <v>59</v>
      </c>
      <c r="AB8400" t="s">
        <v>47</v>
      </c>
      <c r="AC8400" t="s">
        <v>41</v>
      </c>
    </row>
    <row r="8401" spans="1:29" x14ac:dyDescent="0.35">
      <c r="A8401" s="7">
        <v>43321</v>
      </c>
      <c r="B8401" t="s">
        <v>30</v>
      </c>
      <c r="C8401">
        <v>402</v>
      </c>
      <c r="D8401">
        <v>2</v>
      </c>
      <c r="E8401">
        <v>2</v>
      </c>
      <c r="F8401" t="s">
        <v>1020</v>
      </c>
      <c r="G8401" t="s">
        <v>32</v>
      </c>
      <c r="H8401" t="s">
        <v>33</v>
      </c>
      <c r="I8401" t="s">
        <v>59</v>
      </c>
      <c r="AB8401" t="s">
        <v>47</v>
      </c>
      <c r="AC8401" t="s">
        <v>41</v>
      </c>
    </row>
    <row r="8402" spans="1:29" x14ac:dyDescent="0.35">
      <c r="A8402" s="7">
        <v>43321</v>
      </c>
      <c r="B8402" t="s">
        <v>30</v>
      </c>
      <c r="C8402">
        <v>402</v>
      </c>
      <c r="D8402">
        <v>4</v>
      </c>
      <c r="E8402">
        <v>1</v>
      </c>
      <c r="F8402" t="s">
        <v>1020</v>
      </c>
      <c r="G8402" t="s">
        <v>32</v>
      </c>
      <c r="H8402" t="s">
        <v>33</v>
      </c>
      <c r="I8402" t="s">
        <v>59</v>
      </c>
      <c r="AB8402" t="s">
        <v>47</v>
      </c>
      <c r="AC8402" t="s">
        <v>41</v>
      </c>
    </row>
    <row r="8403" spans="1:29" x14ac:dyDescent="0.35">
      <c r="A8403" s="7">
        <v>43321</v>
      </c>
      <c r="B8403" t="s">
        <v>30</v>
      </c>
      <c r="C8403">
        <v>202</v>
      </c>
      <c r="D8403">
        <v>2</v>
      </c>
      <c r="E8403">
        <v>1</v>
      </c>
      <c r="F8403" t="s">
        <v>1139</v>
      </c>
      <c r="G8403" t="s">
        <v>32</v>
      </c>
      <c r="H8403" t="s">
        <v>33</v>
      </c>
      <c r="I8403" t="s">
        <v>1075</v>
      </c>
      <c r="AB8403" t="s">
        <v>97</v>
      </c>
      <c r="AC8403" t="s">
        <v>1140</v>
      </c>
    </row>
    <row r="8404" spans="1:29" x14ac:dyDescent="0.35">
      <c r="A8404" s="7">
        <v>43321</v>
      </c>
      <c r="B8404" t="s">
        <v>30</v>
      </c>
      <c r="C8404">
        <v>202</v>
      </c>
      <c r="D8404">
        <v>7</v>
      </c>
      <c r="E8404">
        <v>1</v>
      </c>
      <c r="F8404" t="s">
        <v>1139</v>
      </c>
      <c r="G8404" t="s">
        <v>32</v>
      </c>
      <c r="H8404" t="s">
        <v>33</v>
      </c>
      <c r="J8404" t="s">
        <v>139</v>
      </c>
      <c r="R8404" s="9"/>
      <c r="AB8404" t="s">
        <v>97</v>
      </c>
      <c r="AC8404" t="s">
        <v>1140</v>
      </c>
    </row>
    <row r="8405" spans="1:29" x14ac:dyDescent="0.35">
      <c r="A8405" s="7">
        <v>43325</v>
      </c>
      <c r="B8405" t="s">
        <v>30</v>
      </c>
      <c r="C8405">
        <v>303</v>
      </c>
      <c r="D8405">
        <v>2</v>
      </c>
      <c r="E8405">
        <v>1</v>
      </c>
      <c r="F8405" t="s">
        <v>1170</v>
      </c>
      <c r="G8405" t="s">
        <v>32</v>
      </c>
      <c r="H8405" t="s">
        <v>33</v>
      </c>
      <c r="I8405" t="s">
        <v>43</v>
      </c>
      <c r="J8405" t="s">
        <v>44</v>
      </c>
      <c r="K8405" t="s">
        <v>113</v>
      </c>
      <c r="L8405" t="s">
        <v>45</v>
      </c>
      <c r="M8405">
        <v>0</v>
      </c>
      <c r="N8405">
        <v>0</v>
      </c>
      <c r="O8405">
        <v>1116</v>
      </c>
      <c r="P8405">
        <v>1183</v>
      </c>
      <c r="Q8405">
        <f>36-23</f>
        <v>13</v>
      </c>
      <c r="R8405" t="s">
        <v>46</v>
      </c>
      <c r="S8405" t="s">
        <v>39</v>
      </c>
      <c r="AB8405" t="s">
        <v>47</v>
      </c>
      <c r="AC8405" t="s">
        <v>87</v>
      </c>
    </row>
    <row r="8406" spans="1:29" x14ac:dyDescent="0.35">
      <c r="A8406" s="7">
        <v>43325</v>
      </c>
      <c r="B8406" t="s">
        <v>30</v>
      </c>
      <c r="C8406">
        <v>303</v>
      </c>
      <c r="D8406">
        <v>3</v>
      </c>
      <c r="E8406">
        <v>1</v>
      </c>
      <c r="F8406" t="s">
        <v>1170</v>
      </c>
      <c r="G8406" t="s">
        <v>32</v>
      </c>
      <c r="H8406" t="s">
        <v>33</v>
      </c>
      <c r="I8406" t="s">
        <v>43</v>
      </c>
      <c r="J8406" t="s">
        <v>44</v>
      </c>
      <c r="K8406" t="s">
        <v>36</v>
      </c>
      <c r="L8406" t="s">
        <v>45</v>
      </c>
      <c r="M8406">
        <v>0</v>
      </c>
      <c r="N8406">
        <v>0</v>
      </c>
      <c r="O8406">
        <v>2903</v>
      </c>
      <c r="P8406">
        <v>2901</v>
      </c>
      <c r="Q8406">
        <f>35-18</f>
        <v>17</v>
      </c>
      <c r="R8406" t="s">
        <v>79</v>
      </c>
      <c r="S8406" t="s">
        <v>39</v>
      </c>
      <c r="AB8406" t="s">
        <v>47</v>
      </c>
      <c r="AC8406" t="s">
        <v>87</v>
      </c>
    </row>
    <row r="8407" spans="1:29" x14ac:dyDescent="0.35">
      <c r="A8407" s="7">
        <v>43325</v>
      </c>
      <c r="B8407" t="s">
        <v>30</v>
      </c>
      <c r="C8407">
        <v>303</v>
      </c>
      <c r="D8407">
        <v>7</v>
      </c>
      <c r="E8407">
        <v>1</v>
      </c>
      <c r="F8407" t="s">
        <v>1170</v>
      </c>
      <c r="G8407" t="s">
        <v>32</v>
      </c>
      <c r="H8407" t="s">
        <v>33</v>
      </c>
      <c r="I8407" t="s">
        <v>43</v>
      </c>
      <c r="J8407" t="s">
        <v>44</v>
      </c>
      <c r="K8407" t="s">
        <v>88</v>
      </c>
      <c r="L8407" t="s">
        <v>45</v>
      </c>
      <c r="M8407">
        <v>0</v>
      </c>
      <c r="N8407">
        <v>0</v>
      </c>
      <c r="O8407">
        <v>1006</v>
      </c>
      <c r="P8407">
        <v>1005</v>
      </c>
      <c r="Q8407">
        <f>30-13</f>
        <v>17</v>
      </c>
      <c r="R8407" t="s">
        <v>46</v>
      </c>
      <c r="S8407" t="s">
        <v>39</v>
      </c>
      <c r="AB8407" t="s">
        <v>47</v>
      </c>
      <c r="AC8407" t="s">
        <v>87</v>
      </c>
    </row>
    <row r="8408" spans="1:29" x14ac:dyDescent="0.35">
      <c r="A8408" s="7">
        <v>43325</v>
      </c>
      <c r="B8408" t="s">
        <v>30</v>
      </c>
      <c r="C8408">
        <v>303</v>
      </c>
      <c r="D8408">
        <v>8</v>
      </c>
      <c r="E8408">
        <v>1</v>
      </c>
      <c r="F8408" t="s">
        <v>1170</v>
      </c>
      <c r="G8408" t="s">
        <v>32</v>
      </c>
      <c r="H8408" t="s">
        <v>33</v>
      </c>
      <c r="I8408" t="s">
        <v>43</v>
      </c>
      <c r="J8408" t="s">
        <v>44</v>
      </c>
      <c r="K8408" t="s">
        <v>36</v>
      </c>
      <c r="L8408" t="s">
        <v>45</v>
      </c>
      <c r="M8408">
        <v>0</v>
      </c>
      <c r="N8408">
        <v>0</v>
      </c>
      <c r="O8408">
        <v>2913</v>
      </c>
      <c r="P8408">
        <v>2912</v>
      </c>
      <c r="Q8408">
        <f>34-17</f>
        <v>17</v>
      </c>
      <c r="R8408" t="s">
        <v>46</v>
      </c>
      <c r="S8408" t="s">
        <v>39</v>
      </c>
      <c r="AB8408" t="s">
        <v>47</v>
      </c>
      <c r="AC8408" t="s">
        <v>87</v>
      </c>
    </row>
    <row r="8409" spans="1:29" x14ac:dyDescent="0.35">
      <c r="A8409" s="7">
        <v>43325</v>
      </c>
      <c r="B8409" t="s">
        <v>30</v>
      </c>
      <c r="C8409">
        <v>303</v>
      </c>
      <c r="D8409">
        <v>9</v>
      </c>
      <c r="E8409">
        <v>1</v>
      </c>
      <c r="F8409" t="s">
        <v>1170</v>
      </c>
      <c r="G8409" t="s">
        <v>32</v>
      </c>
      <c r="H8409" t="s">
        <v>33</v>
      </c>
      <c r="I8409" t="s">
        <v>43</v>
      </c>
      <c r="J8409" t="s">
        <v>44</v>
      </c>
      <c r="K8409" t="s">
        <v>88</v>
      </c>
      <c r="L8409" t="s">
        <v>45</v>
      </c>
      <c r="M8409">
        <v>0</v>
      </c>
      <c r="N8409">
        <v>0</v>
      </c>
      <c r="O8409">
        <v>1458</v>
      </c>
      <c r="P8409">
        <v>1457</v>
      </c>
      <c r="Q8409">
        <f>26-13</f>
        <v>13</v>
      </c>
      <c r="R8409" t="s">
        <v>46</v>
      </c>
      <c r="S8409" t="s">
        <v>39</v>
      </c>
      <c r="AB8409" t="s">
        <v>47</v>
      </c>
      <c r="AC8409" t="s">
        <v>87</v>
      </c>
    </row>
    <row r="8410" spans="1:29" x14ac:dyDescent="0.35">
      <c r="A8410" s="7">
        <v>43325</v>
      </c>
      <c r="B8410" t="s">
        <v>30</v>
      </c>
      <c r="C8410">
        <v>303</v>
      </c>
      <c r="D8410">
        <v>10</v>
      </c>
      <c r="E8410">
        <v>1</v>
      </c>
      <c r="F8410" t="s">
        <v>1170</v>
      </c>
      <c r="G8410" t="s">
        <v>32</v>
      </c>
      <c r="H8410" t="s">
        <v>33</v>
      </c>
      <c r="I8410" t="s">
        <v>43</v>
      </c>
      <c r="J8410" t="s">
        <v>44</v>
      </c>
      <c r="K8410" t="s">
        <v>88</v>
      </c>
      <c r="L8410" t="s">
        <v>45</v>
      </c>
      <c r="M8410">
        <v>0</v>
      </c>
      <c r="N8410">
        <v>0</v>
      </c>
      <c r="O8410">
        <v>1221</v>
      </c>
      <c r="P8410">
        <v>1220</v>
      </c>
      <c r="Q8410">
        <f>25-11</f>
        <v>14</v>
      </c>
      <c r="R8410" t="s">
        <v>46</v>
      </c>
      <c r="S8410" t="s">
        <v>39</v>
      </c>
      <c r="AB8410" t="s">
        <v>47</v>
      </c>
      <c r="AC8410" t="s">
        <v>87</v>
      </c>
    </row>
    <row r="8411" spans="1:29" x14ac:dyDescent="0.35">
      <c r="A8411" s="7">
        <v>43325</v>
      </c>
      <c r="B8411" t="s">
        <v>30</v>
      </c>
      <c r="C8411">
        <v>401</v>
      </c>
      <c r="D8411">
        <v>8</v>
      </c>
      <c r="E8411">
        <v>1</v>
      </c>
      <c r="F8411" t="s">
        <v>1170</v>
      </c>
      <c r="G8411" t="s">
        <v>32</v>
      </c>
      <c r="H8411" t="s">
        <v>33</v>
      </c>
      <c r="I8411" t="s">
        <v>43</v>
      </c>
      <c r="J8411" t="s">
        <v>44</v>
      </c>
      <c r="K8411" t="s">
        <v>113</v>
      </c>
      <c r="L8411" t="s">
        <v>37</v>
      </c>
      <c r="M8411">
        <v>0</v>
      </c>
      <c r="N8411">
        <v>0</v>
      </c>
      <c r="O8411">
        <v>1146</v>
      </c>
      <c r="P8411">
        <v>1145</v>
      </c>
      <c r="Q8411">
        <f>40-25</f>
        <v>15</v>
      </c>
      <c r="R8411" t="s">
        <v>64</v>
      </c>
      <c r="Z8411" t="s">
        <v>102</v>
      </c>
      <c r="AB8411" t="s">
        <v>47</v>
      </c>
      <c r="AC8411" t="s">
        <v>87</v>
      </c>
    </row>
    <row r="8412" spans="1:29" x14ac:dyDescent="0.35">
      <c r="A8412" s="7">
        <v>43325</v>
      </c>
      <c r="B8412" t="s">
        <v>30</v>
      </c>
      <c r="C8412">
        <v>501</v>
      </c>
      <c r="D8412">
        <v>7</v>
      </c>
      <c r="E8412">
        <v>1</v>
      </c>
      <c r="F8412" t="s">
        <v>1170</v>
      </c>
      <c r="G8412" t="s">
        <v>32</v>
      </c>
      <c r="H8412" t="s">
        <v>33</v>
      </c>
      <c r="I8412" t="s">
        <v>43</v>
      </c>
      <c r="J8412" t="s">
        <v>35</v>
      </c>
      <c r="K8412" t="s">
        <v>113</v>
      </c>
      <c r="L8412" t="s">
        <v>37</v>
      </c>
      <c r="M8412">
        <v>0</v>
      </c>
      <c r="N8412">
        <v>1</v>
      </c>
      <c r="O8412">
        <v>1266</v>
      </c>
      <c r="P8412">
        <v>1265</v>
      </c>
      <c r="Q8412">
        <f>35-17</f>
        <v>18</v>
      </c>
      <c r="R8412" t="s">
        <v>64</v>
      </c>
      <c r="AB8412" t="s">
        <v>47</v>
      </c>
      <c r="AC8412" t="s">
        <v>87</v>
      </c>
    </row>
    <row r="8413" spans="1:29" x14ac:dyDescent="0.35">
      <c r="A8413" s="7">
        <v>43325</v>
      </c>
      <c r="B8413" t="s">
        <v>30</v>
      </c>
      <c r="C8413">
        <v>503</v>
      </c>
      <c r="D8413">
        <v>1</v>
      </c>
      <c r="E8413">
        <v>1</v>
      </c>
      <c r="F8413" t="s">
        <v>1170</v>
      </c>
      <c r="G8413" t="s">
        <v>32</v>
      </c>
      <c r="H8413" t="s">
        <v>33</v>
      </c>
      <c r="I8413" t="s">
        <v>43</v>
      </c>
      <c r="J8413" t="s">
        <v>44</v>
      </c>
      <c r="K8413" t="s">
        <v>113</v>
      </c>
      <c r="L8413" t="s">
        <v>45</v>
      </c>
      <c r="M8413">
        <v>0</v>
      </c>
      <c r="N8413">
        <v>0</v>
      </c>
      <c r="O8413">
        <v>1254</v>
      </c>
      <c r="P8413">
        <v>1253</v>
      </c>
      <c r="Q8413">
        <f>30-18</f>
        <v>12</v>
      </c>
      <c r="R8413" t="s">
        <v>46</v>
      </c>
      <c r="S8413" t="s">
        <v>39</v>
      </c>
      <c r="AB8413" t="s">
        <v>47</v>
      </c>
      <c r="AC8413" t="s">
        <v>87</v>
      </c>
    </row>
    <row r="8414" spans="1:29" x14ac:dyDescent="0.35">
      <c r="A8414" s="7">
        <v>43325</v>
      </c>
      <c r="B8414" t="s">
        <v>30</v>
      </c>
      <c r="C8414">
        <v>503</v>
      </c>
      <c r="D8414">
        <v>8</v>
      </c>
      <c r="E8414">
        <v>1</v>
      </c>
      <c r="F8414" t="s">
        <v>1170</v>
      </c>
      <c r="G8414" t="s">
        <v>32</v>
      </c>
      <c r="H8414" t="s">
        <v>33</v>
      </c>
      <c r="I8414" t="s">
        <v>43</v>
      </c>
      <c r="J8414" t="s">
        <v>44</v>
      </c>
      <c r="K8414" t="s">
        <v>88</v>
      </c>
      <c r="L8414" t="s">
        <v>37</v>
      </c>
      <c r="M8414">
        <v>0</v>
      </c>
      <c r="N8414">
        <v>1</v>
      </c>
      <c r="O8414">
        <v>1263</v>
      </c>
      <c r="P8414">
        <v>1262</v>
      </c>
      <c r="Q8414">
        <f>28-20</f>
        <v>8</v>
      </c>
      <c r="R8414" t="s">
        <v>64</v>
      </c>
      <c r="AB8414" t="s">
        <v>47</v>
      </c>
      <c r="AC8414" t="s">
        <v>87</v>
      </c>
    </row>
    <row r="8415" spans="1:29" x14ac:dyDescent="0.35">
      <c r="A8415" s="7">
        <v>43325</v>
      </c>
      <c r="B8415" t="s">
        <v>30</v>
      </c>
      <c r="C8415">
        <v>701</v>
      </c>
      <c r="D8415">
        <v>1</v>
      </c>
      <c r="E8415">
        <v>1</v>
      </c>
      <c r="F8415" t="s">
        <v>1139</v>
      </c>
      <c r="G8415" t="s">
        <v>32</v>
      </c>
      <c r="H8415" t="s">
        <v>33</v>
      </c>
      <c r="I8415" t="s">
        <v>43</v>
      </c>
      <c r="J8415" t="s">
        <v>44</v>
      </c>
      <c r="K8415" t="s">
        <v>36</v>
      </c>
      <c r="L8415" t="s">
        <v>45</v>
      </c>
      <c r="M8415">
        <v>0</v>
      </c>
      <c r="N8415">
        <v>0</v>
      </c>
      <c r="O8415">
        <v>2471</v>
      </c>
      <c r="P8415">
        <v>2470</v>
      </c>
      <c r="Q8415">
        <f>38-21.5</f>
        <v>16.5</v>
      </c>
      <c r="R8415" t="s">
        <v>46</v>
      </c>
      <c r="S8415" t="s">
        <v>39</v>
      </c>
      <c r="AB8415" t="s">
        <v>47</v>
      </c>
      <c r="AC8415" t="s">
        <v>41</v>
      </c>
    </row>
    <row r="8416" spans="1:29" x14ac:dyDescent="0.35">
      <c r="A8416" s="7">
        <v>43325</v>
      </c>
      <c r="B8416" t="s">
        <v>30</v>
      </c>
      <c r="C8416">
        <v>701</v>
      </c>
      <c r="D8416">
        <v>1</v>
      </c>
      <c r="E8416">
        <v>2</v>
      </c>
      <c r="F8416" t="s">
        <v>1139</v>
      </c>
      <c r="G8416" t="s">
        <v>32</v>
      </c>
      <c r="H8416" t="s">
        <v>33</v>
      </c>
      <c r="I8416" t="s">
        <v>43</v>
      </c>
      <c r="J8416" t="s">
        <v>44</v>
      </c>
      <c r="K8416" t="s">
        <v>113</v>
      </c>
      <c r="L8416" t="s">
        <v>37</v>
      </c>
      <c r="M8416">
        <v>0</v>
      </c>
      <c r="N8416">
        <v>0</v>
      </c>
      <c r="O8416">
        <v>1215</v>
      </c>
      <c r="P8416">
        <v>1214</v>
      </c>
      <c r="Q8416">
        <f>31.5-16</f>
        <v>15.5</v>
      </c>
      <c r="R8416" t="s">
        <v>64</v>
      </c>
      <c r="AB8416" t="s">
        <v>47</v>
      </c>
      <c r="AC8416" t="s">
        <v>41</v>
      </c>
    </row>
    <row r="8417" spans="1:30" x14ac:dyDescent="0.35">
      <c r="A8417" s="7">
        <v>43325</v>
      </c>
      <c r="B8417" t="s">
        <v>30</v>
      </c>
      <c r="C8417">
        <v>701</v>
      </c>
      <c r="D8417">
        <v>10</v>
      </c>
      <c r="E8417">
        <v>1</v>
      </c>
      <c r="F8417" t="s">
        <v>1139</v>
      </c>
      <c r="G8417" t="s">
        <v>32</v>
      </c>
      <c r="H8417" t="s">
        <v>33</v>
      </c>
      <c r="I8417" t="s">
        <v>43</v>
      </c>
      <c r="J8417" t="s">
        <v>35</v>
      </c>
      <c r="K8417" t="s">
        <v>113</v>
      </c>
      <c r="L8417" t="s">
        <v>37</v>
      </c>
      <c r="M8417">
        <v>0</v>
      </c>
      <c r="N8417">
        <v>1</v>
      </c>
      <c r="O8417">
        <v>1522</v>
      </c>
      <c r="P8417">
        <v>1521</v>
      </c>
      <c r="Q8417">
        <f>29-14</f>
        <v>15</v>
      </c>
      <c r="R8417" t="s">
        <v>64</v>
      </c>
      <c r="AB8417" t="s">
        <v>47</v>
      </c>
      <c r="AC8417" t="s">
        <v>41</v>
      </c>
    </row>
    <row r="8418" spans="1:30" x14ac:dyDescent="0.35">
      <c r="A8418" s="7">
        <v>43325</v>
      </c>
      <c r="B8418" t="s">
        <v>30</v>
      </c>
      <c r="C8418">
        <v>703</v>
      </c>
      <c r="D8418">
        <v>3</v>
      </c>
      <c r="E8418">
        <v>1</v>
      </c>
      <c r="F8418" t="s">
        <v>1139</v>
      </c>
      <c r="G8418" t="s">
        <v>32</v>
      </c>
      <c r="H8418" t="s">
        <v>33</v>
      </c>
      <c r="I8418" t="s">
        <v>43</v>
      </c>
      <c r="J8418" t="s">
        <v>44</v>
      </c>
      <c r="K8418" t="s">
        <v>36</v>
      </c>
      <c r="L8418" t="s">
        <v>37</v>
      </c>
      <c r="M8418">
        <v>0</v>
      </c>
      <c r="N8418">
        <v>0</v>
      </c>
      <c r="O8418">
        <v>1100</v>
      </c>
      <c r="P8418">
        <v>1099</v>
      </c>
      <c r="Q8418">
        <f>28-12</f>
        <v>16</v>
      </c>
      <c r="R8418" t="s">
        <v>64</v>
      </c>
      <c r="AB8418" t="s">
        <v>47</v>
      </c>
      <c r="AC8418" t="s">
        <v>41</v>
      </c>
    </row>
    <row r="8419" spans="1:30" x14ac:dyDescent="0.35">
      <c r="A8419" s="7">
        <v>43325</v>
      </c>
      <c r="B8419" t="s">
        <v>30</v>
      </c>
      <c r="C8419">
        <v>703</v>
      </c>
      <c r="D8419">
        <v>5</v>
      </c>
      <c r="E8419">
        <v>1</v>
      </c>
      <c r="F8419" t="s">
        <v>1139</v>
      </c>
      <c r="G8419" t="s">
        <v>32</v>
      </c>
      <c r="H8419" t="s">
        <v>33</v>
      </c>
      <c r="I8419" t="s">
        <v>43</v>
      </c>
      <c r="J8419" t="s">
        <v>44</v>
      </c>
      <c r="K8419" t="s">
        <v>36</v>
      </c>
      <c r="L8419" t="s">
        <v>37</v>
      </c>
      <c r="M8419">
        <v>0</v>
      </c>
      <c r="N8419">
        <v>0</v>
      </c>
      <c r="O8419">
        <v>1209</v>
      </c>
      <c r="P8419">
        <v>1208</v>
      </c>
      <c r="Q8419">
        <f>30-10</f>
        <v>20</v>
      </c>
      <c r="R8419" t="s">
        <v>64</v>
      </c>
      <c r="AB8419" t="s">
        <v>47</v>
      </c>
      <c r="AC8419" t="s">
        <v>41</v>
      </c>
    </row>
    <row r="8420" spans="1:30" x14ac:dyDescent="0.35">
      <c r="A8420" s="7">
        <v>43325</v>
      </c>
      <c r="B8420" t="s">
        <v>30</v>
      </c>
      <c r="C8420">
        <v>703</v>
      </c>
      <c r="D8420">
        <v>8</v>
      </c>
      <c r="E8420">
        <v>1</v>
      </c>
      <c r="F8420" t="s">
        <v>1139</v>
      </c>
      <c r="G8420" t="s">
        <v>32</v>
      </c>
      <c r="H8420" t="s">
        <v>33</v>
      </c>
      <c r="I8420" t="s">
        <v>43</v>
      </c>
      <c r="J8420" t="s">
        <v>44</v>
      </c>
      <c r="K8420" t="s">
        <v>36</v>
      </c>
      <c r="L8420" t="s">
        <v>45</v>
      </c>
      <c r="M8420">
        <v>0</v>
      </c>
      <c r="N8420">
        <v>0</v>
      </c>
      <c r="O8420">
        <v>2469</v>
      </c>
      <c r="P8420">
        <v>2468</v>
      </c>
      <c r="Q8420">
        <f>31.5-15</f>
        <v>16.5</v>
      </c>
      <c r="R8420" t="s">
        <v>46</v>
      </c>
      <c r="S8420" t="s">
        <v>39</v>
      </c>
      <c r="AB8420" t="s">
        <v>47</v>
      </c>
      <c r="AC8420" t="s">
        <v>41</v>
      </c>
    </row>
    <row r="8421" spans="1:30" x14ac:dyDescent="0.35">
      <c r="A8421" s="7">
        <v>43325</v>
      </c>
      <c r="B8421" t="s">
        <v>30</v>
      </c>
      <c r="C8421">
        <v>703</v>
      </c>
      <c r="D8421">
        <v>10</v>
      </c>
      <c r="E8421">
        <v>2</v>
      </c>
      <c r="F8421" t="s">
        <v>1139</v>
      </c>
      <c r="G8421" t="s">
        <v>32</v>
      </c>
      <c r="H8421" t="s">
        <v>33</v>
      </c>
      <c r="I8421" t="s">
        <v>43</v>
      </c>
      <c r="J8421" t="s">
        <v>44</v>
      </c>
      <c r="K8421" t="s">
        <v>36</v>
      </c>
      <c r="L8421" t="s">
        <v>45</v>
      </c>
      <c r="M8421">
        <v>0</v>
      </c>
      <c r="N8421">
        <v>0</v>
      </c>
      <c r="O8421">
        <v>39771</v>
      </c>
      <c r="P8421">
        <v>39770</v>
      </c>
      <c r="Q8421">
        <f>34-16</f>
        <v>18</v>
      </c>
      <c r="R8421" t="s">
        <v>46</v>
      </c>
      <c r="S8421" t="s">
        <v>39</v>
      </c>
      <c r="AB8421" t="s">
        <v>47</v>
      </c>
      <c r="AC8421" t="s">
        <v>41</v>
      </c>
      <c r="AD8421" t="s">
        <v>1279</v>
      </c>
    </row>
    <row r="8422" spans="1:30" x14ac:dyDescent="0.35">
      <c r="A8422" s="7">
        <v>43325</v>
      </c>
      <c r="B8422" t="s">
        <v>30</v>
      </c>
      <c r="C8422">
        <v>801</v>
      </c>
      <c r="D8422">
        <v>3</v>
      </c>
      <c r="E8422">
        <v>1</v>
      </c>
      <c r="F8422" t="s">
        <v>1139</v>
      </c>
      <c r="G8422" t="s">
        <v>32</v>
      </c>
      <c r="H8422" t="s">
        <v>33</v>
      </c>
      <c r="I8422" t="s">
        <v>43</v>
      </c>
      <c r="J8422" t="s">
        <v>35</v>
      </c>
      <c r="K8422" t="s">
        <v>113</v>
      </c>
      <c r="L8422" t="s">
        <v>37</v>
      </c>
      <c r="M8422">
        <v>0</v>
      </c>
      <c r="N8422">
        <v>1</v>
      </c>
      <c r="O8422">
        <v>1525</v>
      </c>
      <c r="P8422">
        <v>1524</v>
      </c>
      <c r="Q8422">
        <f>29-9.5</f>
        <v>19.5</v>
      </c>
      <c r="R8422" t="s">
        <v>64</v>
      </c>
      <c r="Z8422" t="s">
        <v>102</v>
      </c>
      <c r="AB8422" t="s">
        <v>47</v>
      </c>
      <c r="AC8422" t="s">
        <v>41</v>
      </c>
    </row>
    <row r="8423" spans="1:30" x14ac:dyDescent="0.35">
      <c r="A8423" s="7">
        <v>43325</v>
      </c>
      <c r="B8423" t="s">
        <v>30</v>
      </c>
      <c r="C8423">
        <v>801</v>
      </c>
      <c r="D8423">
        <v>4</v>
      </c>
      <c r="E8423">
        <v>1</v>
      </c>
      <c r="F8423" t="s">
        <v>1139</v>
      </c>
      <c r="G8423" t="s">
        <v>32</v>
      </c>
      <c r="H8423" t="s">
        <v>33</v>
      </c>
      <c r="I8423" t="s">
        <v>43</v>
      </c>
      <c r="J8423" t="s">
        <v>44</v>
      </c>
      <c r="K8423" t="s">
        <v>113</v>
      </c>
      <c r="L8423" t="s">
        <v>45</v>
      </c>
      <c r="M8423">
        <v>0</v>
      </c>
      <c r="N8423">
        <v>0</v>
      </c>
      <c r="O8423">
        <v>1364</v>
      </c>
      <c r="P8423">
        <v>1363</v>
      </c>
      <c r="Q8423">
        <f>32-14.5</f>
        <v>17.5</v>
      </c>
      <c r="R8423" t="s">
        <v>46</v>
      </c>
      <c r="S8423" t="s">
        <v>39</v>
      </c>
      <c r="AB8423" t="s">
        <v>47</v>
      </c>
      <c r="AC8423" t="s">
        <v>41</v>
      </c>
    </row>
    <row r="8424" spans="1:30" x14ac:dyDescent="0.35">
      <c r="A8424" s="7">
        <v>43325</v>
      </c>
      <c r="B8424" t="s">
        <v>30</v>
      </c>
      <c r="C8424">
        <v>801</v>
      </c>
      <c r="D8424">
        <v>6</v>
      </c>
      <c r="E8424">
        <v>1</v>
      </c>
      <c r="F8424" t="s">
        <v>1139</v>
      </c>
      <c r="G8424" t="s">
        <v>32</v>
      </c>
      <c r="H8424" t="s">
        <v>33</v>
      </c>
      <c r="I8424" t="s">
        <v>43</v>
      </c>
      <c r="J8424" t="s">
        <v>44</v>
      </c>
      <c r="K8424" t="s">
        <v>36</v>
      </c>
      <c r="L8424" t="s">
        <v>37</v>
      </c>
      <c r="M8424">
        <v>0</v>
      </c>
      <c r="N8424">
        <v>0</v>
      </c>
      <c r="O8424">
        <v>1425</v>
      </c>
      <c r="P8424">
        <v>1424</v>
      </c>
      <c r="Q8424">
        <f>34-14</f>
        <v>20</v>
      </c>
      <c r="R8424" t="s">
        <v>64</v>
      </c>
      <c r="AB8424" t="s">
        <v>47</v>
      </c>
      <c r="AC8424" t="s">
        <v>41</v>
      </c>
    </row>
    <row r="8425" spans="1:30" x14ac:dyDescent="0.35">
      <c r="A8425" s="7">
        <v>43325</v>
      </c>
      <c r="B8425" t="s">
        <v>30</v>
      </c>
      <c r="C8425">
        <v>801</v>
      </c>
      <c r="D8425">
        <v>10</v>
      </c>
      <c r="E8425">
        <v>1</v>
      </c>
      <c r="F8425" t="s">
        <v>1139</v>
      </c>
      <c r="G8425" t="s">
        <v>32</v>
      </c>
      <c r="H8425" t="s">
        <v>33</v>
      </c>
      <c r="I8425" t="s">
        <v>43</v>
      </c>
      <c r="J8425" t="s">
        <v>44</v>
      </c>
      <c r="K8425" t="s">
        <v>36</v>
      </c>
      <c r="L8425" t="s">
        <v>37</v>
      </c>
      <c r="M8425">
        <v>0</v>
      </c>
      <c r="N8425">
        <v>0</v>
      </c>
      <c r="O8425">
        <v>1168</v>
      </c>
      <c r="P8425">
        <v>1167</v>
      </c>
      <c r="Q8425">
        <f>34.5-14</f>
        <v>20.5</v>
      </c>
      <c r="R8425" t="s">
        <v>38</v>
      </c>
      <c r="AB8425" t="s">
        <v>47</v>
      </c>
      <c r="AC8425" t="s">
        <v>41</v>
      </c>
    </row>
    <row r="8426" spans="1:30" x14ac:dyDescent="0.35">
      <c r="A8426" s="7">
        <v>43325</v>
      </c>
      <c r="B8426" t="s">
        <v>30</v>
      </c>
      <c r="C8426">
        <v>803</v>
      </c>
      <c r="D8426">
        <v>6</v>
      </c>
      <c r="E8426">
        <v>1</v>
      </c>
      <c r="F8426" t="s">
        <v>1139</v>
      </c>
      <c r="G8426" t="s">
        <v>32</v>
      </c>
      <c r="H8426" t="s">
        <v>33</v>
      </c>
      <c r="I8426" t="s">
        <v>43</v>
      </c>
      <c r="J8426" t="s">
        <v>35</v>
      </c>
      <c r="K8426" t="s">
        <v>113</v>
      </c>
      <c r="L8426" t="s">
        <v>37</v>
      </c>
      <c r="M8426">
        <v>0</v>
      </c>
      <c r="N8426">
        <v>1</v>
      </c>
      <c r="O8426">
        <v>1552</v>
      </c>
      <c r="P8426">
        <v>1551</v>
      </c>
      <c r="Q8426">
        <f>32-16</f>
        <v>16</v>
      </c>
      <c r="R8426" t="s">
        <v>64</v>
      </c>
      <c r="AB8426" t="s">
        <v>47</v>
      </c>
      <c r="AC8426" t="s">
        <v>41</v>
      </c>
    </row>
    <row r="8427" spans="1:30" x14ac:dyDescent="0.35">
      <c r="A8427" s="7">
        <v>43325</v>
      </c>
      <c r="B8427" t="s">
        <v>30</v>
      </c>
      <c r="C8427">
        <v>803</v>
      </c>
      <c r="D8427">
        <v>6</v>
      </c>
      <c r="E8427">
        <v>2</v>
      </c>
      <c r="F8427" t="s">
        <v>1139</v>
      </c>
      <c r="G8427" t="s">
        <v>32</v>
      </c>
      <c r="H8427" t="s">
        <v>33</v>
      </c>
      <c r="I8427" t="s">
        <v>43</v>
      </c>
      <c r="J8427" t="s">
        <v>35</v>
      </c>
      <c r="K8427" t="s">
        <v>113</v>
      </c>
      <c r="L8427" t="s">
        <v>45</v>
      </c>
      <c r="M8427">
        <v>0</v>
      </c>
      <c r="N8427">
        <v>1</v>
      </c>
      <c r="O8427">
        <v>1554</v>
      </c>
      <c r="P8427">
        <v>1553</v>
      </c>
      <c r="Q8427">
        <f>31-16.5</f>
        <v>14.5</v>
      </c>
      <c r="R8427" t="s">
        <v>46</v>
      </c>
      <c r="S8427" t="s">
        <v>39</v>
      </c>
      <c r="AB8427" t="s">
        <v>47</v>
      </c>
      <c r="AC8427" t="s">
        <v>41</v>
      </c>
    </row>
    <row r="8428" spans="1:30" x14ac:dyDescent="0.35">
      <c r="A8428" s="7">
        <v>43325</v>
      </c>
      <c r="B8428" t="s">
        <v>30</v>
      </c>
      <c r="C8428">
        <v>401</v>
      </c>
      <c r="D8428">
        <v>1</v>
      </c>
      <c r="E8428">
        <v>1</v>
      </c>
      <c r="F8428" t="s">
        <v>1170</v>
      </c>
      <c r="G8428" t="s">
        <v>32</v>
      </c>
      <c r="H8428" t="s">
        <v>33</v>
      </c>
      <c r="I8428" t="s">
        <v>34</v>
      </c>
      <c r="J8428" t="s">
        <v>44</v>
      </c>
      <c r="K8428" t="s">
        <v>36</v>
      </c>
      <c r="L8428" t="s">
        <v>45</v>
      </c>
      <c r="M8428">
        <v>0</v>
      </c>
      <c r="N8428">
        <v>0</v>
      </c>
      <c r="O8428">
        <v>1961</v>
      </c>
      <c r="Q8428">
        <f>141-50</f>
        <v>91</v>
      </c>
      <c r="R8428" t="s">
        <v>46</v>
      </c>
      <c r="S8428" t="s">
        <v>39</v>
      </c>
      <c r="Z8428" t="s">
        <v>102</v>
      </c>
      <c r="AB8428" t="s">
        <v>47</v>
      </c>
      <c r="AC8428" t="s">
        <v>87</v>
      </c>
      <c r="AD8428" t="s">
        <v>1280</v>
      </c>
    </row>
    <row r="8429" spans="1:30" x14ac:dyDescent="0.35">
      <c r="A8429" s="7">
        <v>43325</v>
      </c>
      <c r="B8429" t="s">
        <v>30</v>
      </c>
      <c r="C8429">
        <v>501</v>
      </c>
      <c r="D8429">
        <v>10</v>
      </c>
      <c r="E8429">
        <v>1</v>
      </c>
      <c r="F8429" t="s">
        <v>1170</v>
      </c>
      <c r="G8429" t="s">
        <v>32</v>
      </c>
      <c r="H8429" t="s">
        <v>33</v>
      </c>
      <c r="I8429" t="s">
        <v>34</v>
      </c>
      <c r="J8429" t="s">
        <v>44</v>
      </c>
      <c r="K8429" t="s">
        <v>36</v>
      </c>
      <c r="L8429" t="s">
        <v>45</v>
      </c>
      <c r="M8429">
        <v>0</v>
      </c>
      <c r="N8429">
        <v>0</v>
      </c>
      <c r="P8429">
        <v>39189</v>
      </c>
      <c r="Q8429">
        <f>142-63</f>
        <v>79</v>
      </c>
      <c r="R8429" t="s">
        <v>46</v>
      </c>
      <c r="S8429" t="s">
        <v>39</v>
      </c>
      <c r="AB8429" t="s">
        <v>47</v>
      </c>
      <c r="AC8429" t="s">
        <v>87</v>
      </c>
    </row>
    <row r="8430" spans="1:30" x14ac:dyDescent="0.35">
      <c r="A8430" s="7">
        <v>43325</v>
      </c>
      <c r="B8430" t="s">
        <v>30</v>
      </c>
      <c r="C8430">
        <v>801</v>
      </c>
      <c r="D8430">
        <v>1</v>
      </c>
      <c r="E8430">
        <v>1</v>
      </c>
      <c r="F8430" t="s">
        <v>1139</v>
      </c>
      <c r="G8430" t="s">
        <v>32</v>
      </c>
      <c r="H8430" t="s">
        <v>33</v>
      </c>
      <c r="I8430" t="s">
        <v>34</v>
      </c>
      <c r="J8430" t="s">
        <v>44</v>
      </c>
      <c r="K8430" t="s">
        <v>36</v>
      </c>
      <c r="L8430" t="s">
        <v>37</v>
      </c>
      <c r="M8430">
        <v>0</v>
      </c>
      <c r="N8430">
        <v>0</v>
      </c>
      <c r="P8430">
        <v>1088</v>
      </c>
      <c r="Q8430">
        <f>180-85</f>
        <v>95</v>
      </c>
      <c r="R8430" t="s">
        <v>38</v>
      </c>
      <c r="AB8430" t="s">
        <v>47</v>
      </c>
      <c r="AC8430" t="s">
        <v>41</v>
      </c>
    </row>
    <row r="8431" spans="1:30" x14ac:dyDescent="0.35">
      <c r="A8431" s="7">
        <v>43325</v>
      </c>
      <c r="B8431" t="s">
        <v>30</v>
      </c>
      <c r="C8431">
        <v>801</v>
      </c>
      <c r="D8431">
        <v>3</v>
      </c>
      <c r="E8431">
        <v>2</v>
      </c>
      <c r="F8431" t="s">
        <v>1139</v>
      </c>
      <c r="G8431" t="s">
        <v>32</v>
      </c>
      <c r="H8431" t="s">
        <v>33</v>
      </c>
      <c r="I8431" t="s">
        <v>34</v>
      </c>
      <c r="J8431" t="s">
        <v>35</v>
      </c>
      <c r="K8431" t="s">
        <v>36</v>
      </c>
      <c r="L8431" t="s">
        <v>45</v>
      </c>
      <c r="M8431">
        <v>0</v>
      </c>
      <c r="N8431">
        <v>1</v>
      </c>
      <c r="O8431">
        <v>1523</v>
      </c>
      <c r="Q8431">
        <f>175-85</f>
        <v>90</v>
      </c>
      <c r="R8431" t="s">
        <v>46</v>
      </c>
      <c r="S8431" t="s">
        <v>39</v>
      </c>
      <c r="AB8431" t="s">
        <v>47</v>
      </c>
      <c r="AC8431" t="s">
        <v>41</v>
      </c>
    </row>
    <row r="8432" spans="1:30" x14ac:dyDescent="0.35">
      <c r="A8432" s="7">
        <v>43325</v>
      </c>
      <c r="B8432" t="s">
        <v>30</v>
      </c>
      <c r="C8432">
        <v>801</v>
      </c>
      <c r="D8432">
        <v>5</v>
      </c>
      <c r="E8432">
        <v>1</v>
      </c>
      <c r="F8432" t="s">
        <v>1139</v>
      </c>
      <c r="G8432" t="s">
        <v>32</v>
      </c>
      <c r="H8432" t="s">
        <v>33</v>
      </c>
      <c r="I8432" t="s">
        <v>34</v>
      </c>
      <c r="J8432" t="s">
        <v>44</v>
      </c>
      <c r="K8432" t="s">
        <v>36</v>
      </c>
      <c r="L8432" t="s">
        <v>45</v>
      </c>
      <c r="M8432">
        <v>0</v>
      </c>
      <c r="N8432">
        <v>0</v>
      </c>
      <c r="O8432">
        <v>1353</v>
      </c>
      <c r="Q8432">
        <f>180-85</f>
        <v>95</v>
      </c>
      <c r="R8432" t="s">
        <v>46</v>
      </c>
      <c r="S8432" t="s">
        <v>39</v>
      </c>
      <c r="AB8432" t="s">
        <v>47</v>
      </c>
      <c r="AC8432" t="s">
        <v>41</v>
      </c>
    </row>
    <row r="8433" spans="1:30" x14ac:dyDescent="0.35">
      <c r="A8433" s="7">
        <v>43325</v>
      </c>
      <c r="B8433" t="s">
        <v>30</v>
      </c>
      <c r="C8433">
        <v>803</v>
      </c>
      <c r="D8433">
        <v>2</v>
      </c>
      <c r="E8433">
        <v>1</v>
      </c>
      <c r="F8433" t="s">
        <v>1139</v>
      </c>
      <c r="G8433" t="s">
        <v>32</v>
      </c>
      <c r="H8433" t="s">
        <v>33</v>
      </c>
      <c r="I8433" t="s">
        <v>34</v>
      </c>
      <c r="J8433" t="s">
        <v>35</v>
      </c>
      <c r="K8433" t="s">
        <v>88</v>
      </c>
      <c r="L8433" t="s">
        <v>45</v>
      </c>
      <c r="M8433">
        <v>0</v>
      </c>
      <c r="N8433">
        <v>1</v>
      </c>
      <c r="O8433">
        <v>1555</v>
      </c>
      <c r="Q8433">
        <f>155-85</f>
        <v>70</v>
      </c>
      <c r="R8433" t="s">
        <v>46</v>
      </c>
      <c r="S8433" t="s">
        <v>39</v>
      </c>
      <c r="AB8433" t="s">
        <v>47</v>
      </c>
      <c r="AC8433" t="s">
        <v>41</v>
      </c>
    </row>
    <row r="8434" spans="1:30" x14ac:dyDescent="0.35">
      <c r="A8434" s="7">
        <v>43325</v>
      </c>
      <c r="B8434" t="s">
        <v>30</v>
      </c>
      <c r="C8434">
        <v>803</v>
      </c>
      <c r="D8434">
        <v>2</v>
      </c>
      <c r="E8434">
        <v>2</v>
      </c>
      <c r="F8434" t="s">
        <v>1139</v>
      </c>
      <c r="G8434" t="s">
        <v>32</v>
      </c>
      <c r="H8434" t="s">
        <v>33</v>
      </c>
      <c r="I8434" t="s">
        <v>34</v>
      </c>
      <c r="J8434" t="s">
        <v>44</v>
      </c>
      <c r="K8434" t="s">
        <v>36</v>
      </c>
      <c r="L8434" t="s">
        <v>37</v>
      </c>
      <c r="M8434">
        <v>0</v>
      </c>
      <c r="N8434">
        <v>0</v>
      </c>
      <c r="O8434">
        <v>1324</v>
      </c>
      <c r="Q8434">
        <f>175-85</f>
        <v>90</v>
      </c>
      <c r="R8434" t="s">
        <v>38</v>
      </c>
      <c r="AB8434" t="s">
        <v>47</v>
      </c>
      <c r="AC8434" t="s">
        <v>41</v>
      </c>
    </row>
    <row r="8435" spans="1:30" x14ac:dyDescent="0.35">
      <c r="A8435" s="7">
        <v>43325</v>
      </c>
      <c r="B8435" t="s">
        <v>30</v>
      </c>
      <c r="C8435">
        <v>803</v>
      </c>
      <c r="D8435">
        <v>10</v>
      </c>
      <c r="E8435">
        <v>1</v>
      </c>
      <c r="F8435" t="s">
        <v>1139</v>
      </c>
      <c r="G8435" t="s">
        <v>32</v>
      </c>
      <c r="H8435" t="s">
        <v>33</v>
      </c>
      <c r="I8435" t="s">
        <v>34</v>
      </c>
      <c r="J8435" t="s">
        <v>44</v>
      </c>
      <c r="K8435" t="s">
        <v>36</v>
      </c>
      <c r="L8435" t="s">
        <v>45</v>
      </c>
      <c r="M8435">
        <v>0</v>
      </c>
      <c r="N8435">
        <v>0</v>
      </c>
      <c r="O8435">
        <v>1035</v>
      </c>
      <c r="Q8435">
        <f>170-85</f>
        <v>85</v>
      </c>
      <c r="R8435" t="s">
        <v>46</v>
      </c>
      <c r="S8435" t="s">
        <v>39</v>
      </c>
      <c r="AB8435" t="s">
        <v>47</v>
      </c>
      <c r="AC8435" t="s">
        <v>41</v>
      </c>
    </row>
    <row r="8436" spans="1:30" x14ac:dyDescent="0.35">
      <c r="A8436" s="7">
        <v>43325</v>
      </c>
      <c r="B8436" t="s">
        <v>30</v>
      </c>
      <c r="C8436">
        <v>703</v>
      </c>
      <c r="D8436">
        <v>1</v>
      </c>
      <c r="E8436">
        <v>1</v>
      </c>
      <c r="F8436" t="s">
        <v>1139</v>
      </c>
      <c r="G8436" t="s">
        <v>32</v>
      </c>
      <c r="H8436" t="s">
        <v>33</v>
      </c>
      <c r="I8436" t="s">
        <v>128</v>
      </c>
      <c r="J8436" t="s">
        <v>35</v>
      </c>
      <c r="K8436" t="s">
        <v>36</v>
      </c>
      <c r="L8436" t="s">
        <v>45</v>
      </c>
      <c r="M8436">
        <v>0</v>
      </c>
      <c r="N8436">
        <v>1</v>
      </c>
      <c r="O8436">
        <v>1518</v>
      </c>
      <c r="Q8436">
        <f>175-85</f>
        <v>90</v>
      </c>
      <c r="R8436" t="s">
        <v>46</v>
      </c>
      <c r="S8436" t="s">
        <v>39</v>
      </c>
      <c r="AB8436" t="s">
        <v>47</v>
      </c>
      <c r="AC8436" t="s">
        <v>41</v>
      </c>
    </row>
    <row r="8437" spans="1:30" x14ac:dyDescent="0.35">
      <c r="A8437" s="7">
        <v>43325</v>
      </c>
      <c r="B8437" t="s">
        <v>30</v>
      </c>
      <c r="C8437">
        <v>501</v>
      </c>
      <c r="D8437">
        <v>3</v>
      </c>
      <c r="E8437">
        <v>1</v>
      </c>
      <c r="F8437" t="s">
        <v>1170</v>
      </c>
      <c r="G8437" t="s">
        <v>32</v>
      </c>
      <c r="H8437" t="s">
        <v>33</v>
      </c>
      <c r="I8437" t="s">
        <v>58</v>
      </c>
      <c r="J8437" t="s">
        <v>44</v>
      </c>
      <c r="K8437" t="s">
        <v>36</v>
      </c>
      <c r="L8437" t="s">
        <v>37</v>
      </c>
      <c r="M8437">
        <v>0</v>
      </c>
      <c r="N8437">
        <v>0</v>
      </c>
      <c r="O8437">
        <v>2818</v>
      </c>
      <c r="Q8437">
        <f>39.5-13</f>
        <v>26.5</v>
      </c>
      <c r="R8437" t="s">
        <v>46</v>
      </c>
      <c r="S8437" t="s">
        <v>39</v>
      </c>
      <c r="AB8437" t="s">
        <v>47</v>
      </c>
      <c r="AC8437" t="s">
        <v>87</v>
      </c>
    </row>
    <row r="8438" spans="1:30" x14ac:dyDescent="0.35">
      <c r="A8438" s="7">
        <v>43325</v>
      </c>
      <c r="B8438" t="s">
        <v>30</v>
      </c>
      <c r="C8438">
        <v>503</v>
      </c>
      <c r="D8438">
        <v>6</v>
      </c>
      <c r="E8438">
        <v>1</v>
      </c>
      <c r="F8438" t="s">
        <v>1170</v>
      </c>
      <c r="G8438" t="s">
        <v>32</v>
      </c>
      <c r="H8438" t="s">
        <v>33</v>
      </c>
      <c r="I8438" t="s">
        <v>58</v>
      </c>
      <c r="J8438" t="s">
        <v>35</v>
      </c>
      <c r="K8438" t="s">
        <v>36</v>
      </c>
      <c r="L8438" t="s">
        <v>37</v>
      </c>
      <c r="M8438">
        <v>0</v>
      </c>
      <c r="N8438">
        <v>1</v>
      </c>
      <c r="O8438">
        <v>1264</v>
      </c>
      <c r="Q8438">
        <f>41-19</f>
        <v>22</v>
      </c>
      <c r="R8438" t="s">
        <v>38</v>
      </c>
      <c r="Z8438" t="s">
        <v>102</v>
      </c>
      <c r="AB8438" t="s">
        <v>47</v>
      </c>
      <c r="AC8438" t="s">
        <v>87</v>
      </c>
      <c r="AD8438" t="s">
        <v>1281</v>
      </c>
    </row>
    <row r="8439" spans="1:30" x14ac:dyDescent="0.35">
      <c r="A8439" s="7">
        <v>43325</v>
      </c>
      <c r="B8439" t="s">
        <v>30</v>
      </c>
      <c r="C8439">
        <v>701</v>
      </c>
      <c r="D8439">
        <v>6</v>
      </c>
      <c r="E8439">
        <v>1</v>
      </c>
      <c r="F8439" t="s">
        <v>1139</v>
      </c>
      <c r="G8439" t="s">
        <v>32</v>
      </c>
      <c r="H8439" t="s">
        <v>33</v>
      </c>
      <c r="I8439" t="s">
        <v>58</v>
      </c>
      <c r="J8439" t="s">
        <v>44</v>
      </c>
      <c r="K8439" t="s">
        <v>36</v>
      </c>
      <c r="L8439" t="s">
        <v>37</v>
      </c>
      <c r="M8439">
        <v>0</v>
      </c>
      <c r="N8439">
        <v>0</v>
      </c>
      <c r="O8439">
        <v>1217</v>
      </c>
      <c r="Q8439">
        <f>48-18</f>
        <v>30</v>
      </c>
      <c r="R8439" t="s">
        <v>38</v>
      </c>
      <c r="AB8439" t="s">
        <v>47</v>
      </c>
      <c r="AC8439" t="s">
        <v>41</v>
      </c>
    </row>
    <row r="8440" spans="1:30" x14ac:dyDescent="0.35">
      <c r="A8440" s="7">
        <v>43325</v>
      </c>
      <c r="B8440" t="s">
        <v>30</v>
      </c>
      <c r="C8440">
        <v>701</v>
      </c>
      <c r="D8440">
        <v>8</v>
      </c>
      <c r="E8440">
        <v>1</v>
      </c>
      <c r="F8440" t="s">
        <v>1139</v>
      </c>
      <c r="G8440" t="s">
        <v>32</v>
      </c>
      <c r="H8440" t="s">
        <v>33</v>
      </c>
      <c r="I8440" t="s">
        <v>58</v>
      </c>
      <c r="J8440" t="s">
        <v>56</v>
      </c>
      <c r="K8440" t="s">
        <v>88</v>
      </c>
      <c r="AB8440" t="s">
        <v>47</v>
      </c>
      <c r="AC8440" t="s">
        <v>41</v>
      </c>
    </row>
    <row r="8441" spans="1:30" x14ac:dyDescent="0.35">
      <c r="A8441" s="7">
        <v>43325</v>
      </c>
      <c r="B8441" t="s">
        <v>30</v>
      </c>
      <c r="C8441">
        <v>701</v>
      </c>
      <c r="D8441">
        <v>9</v>
      </c>
      <c r="E8441">
        <v>1</v>
      </c>
      <c r="F8441" t="s">
        <v>1139</v>
      </c>
      <c r="G8441" t="s">
        <v>32</v>
      </c>
      <c r="H8441" t="s">
        <v>33</v>
      </c>
      <c r="I8441" t="s">
        <v>58</v>
      </c>
      <c r="J8441" t="s">
        <v>35</v>
      </c>
      <c r="K8441" t="s">
        <v>36</v>
      </c>
      <c r="L8441" t="s">
        <v>37</v>
      </c>
      <c r="M8441">
        <v>0</v>
      </c>
      <c r="N8441">
        <v>1</v>
      </c>
      <c r="O8441">
        <v>1520</v>
      </c>
      <c r="Q8441">
        <f>42-21</f>
        <v>21</v>
      </c>
      <c r="R8441" t="s">
        <v>38</v>
      </c>
      <c r="Z8441" t="s">
        <v>102</v>
      </c>
      <c r="AB8441" t="s">
        <v>47</v>
      </c>
      <c r="AC8441" t="s">
        <v>41</v>
      </c>
    </row>
    <row r="8442" spans="1:30" x14ac:dyDescent="0.35">
      <c r="A8442" s="7">
        <v>43325</v>
      </c>
      <c r="B8442" t="s">
        <v>30</v>
      </c>
      <c r="C8442">
        <v>901</v>
      </c>
      <c r="D8442">
        <v>3</v>
      </c>
      <c r="E8442">
        <v>1</v>
      </c>
      <c r="F8442" t="s">
        <v>1139</v>
      </c>
      <c r="G8442" t="s">
        <v>32</v>
      </c>
      <c r="H8442" t="s">
        <v>33</v>
      </c>
      <c r="I8442" t="s">
        <v>65</v>
      </c>
      <c r="J8442" t="s">
        <v>44</v>
      </c>
      <c r="K8442" t="s">
        <v>36</v>
      </c>
      <c r="L8442" t="s">
        <v>37</v>
      </c>
      <c r="M8442">
        <v>0</v>
      </c>
      <c r="N8442">
        <v>0</v>
      </c>
      <c r="O8442">
        <v>1092</v>
      </c>
      <c r="Q8442">
        <f>250-85</f>
        <v>165</v>
      </c>
      <c r="R8442" t="s">
        <v>38</v>
      </c>
      <c r="AB8442" t="s">
        <v>47</v>
      </c>
      <c r="AC8442" t="s">
        <v>41</v>
      </c>
    </row>
    <row r="8443" spans="1:30" x14ac:dyDescent="0.35">
      <c r="A8443" s="7">
        <v>43325</v>
      </c>
      <c r="B8443" t="s">
        <v>30</v>
      </c>
      <c r="C8443">
        <v>303</v>
      </c>
      <c r="D8443">
        <v>8</v>
      </c>
      <c r="E8443">
        <v>2</v>
      </c>
      <c r="F8443" t="s">
        <v>1170</v>
      </c>
      <c r="G8443" t="s">
        <v>32</v>
      </c>
      <c r="H8443" t="s">
        <v>33</v>
      </c>
      <c r="I8443" t="s">
        <v>1029</v>
      </c>
      <c r="J8443" t="s">
        <v>66</v>
      </c>
      <c r="AB8443" t="s">
        <v>47</v>
      </c>
      <c r="AC8443" t="s">
        <v>87</v>
      </c>
    </row>
    <row r="8444" spans="1:30" x14ac:dyDescent="0.35">
      <c r="A8444" s="7">
        <v>43325</v>
      </c>
      <c r="B8444" t="s">
        <v>30</v>
      </c>
      <c r="C8444">
        <v>503</v>
      </c>
      <c r="D8444">
        <v>10</v>
      </c>
      <c r="E8444">
        <v>2</v>
      </c>
      <c r="F8444" t="s">
        <v>1170</v>
      </c>
      <c r="G8444" t="s">
        <v>32</v>
      </c>
      <c r="H8444" t="s">
        <v>33</v>
      </c>
      <c r="I8444" t="s">
        <v>1029</v>
      </c>
      <c r="J8444" t="s">
        <v>56</v>
      </c>
      <c r="AB8444" t="s">
        <v>47</v>
      </c>
      <c r="AC8444" t="s">
        <v>87</v>
      </c>
    </row>
    <row r="8445" spans="1:30" x14ac:dyDescent="0.35">
      <c r="A8445" s="7">
        <v>43325</v>
      </c>
      <c r="B8445" t="s">
        <v>30</v>
      </c>
      <c r="C8445">
        <v>303</v>
      </c>
      <c r="D8445">
        <v>1</v>
      </c>
      <c r="E8445">
        <v>1</v>
      </c>
      <c r="F8445" t="s">
        <v>1170</v>
      </c>
      <c r="G8445" t="s">
        <v>32</v>
      </c>
      <c r="H8445" t="s">
        <v>33</v>
      </c>
      <c r="I8445" t="s">
        <v>72</v>
      </c>
      <c r="J8445" t="s">
        <v>56</v>
      </c>
      <c r="AB8445" t="s">
        <v>47</v>
      </c>
      <c r="AC8445" t="s">
        <v>87</v>
      </c>
    </row>
    <row r="8446" spans="1:30" x14ac:dyDescent="0.35">
      <c r="A8446" s="7">
        <v>43325</v>
      </c>
      <c r="B8446" t="s">
        <v>30</v>
      </c>
      <c r="C8446">
        <v>501</v>
      </c>
      <c r="D8446">
        <v>1</v>
      </c>
      <c r="E8446">
        <v>2</v>
      </c>
      <c r="F8446" t="s">
        <v>1170</v>
      </c>
      <c r="G8446" t="s">
        <v>32</v>
      </c>
      <c r="H8446" t="s">
        <v>33</v>
      </c>
      <c r="I8446" t="s">
        <v>72</v>
      </c>
      <c r="J8446" t="s">
        <v>56</v>
      </c>
      <c r="AB8446" t="s">
        <v>47</v>
      </c>
      <c r="AC8446" t="s">
        <v>87</v>
      </c>
    </row>
    <row r="8447" spans="1:30" x14ac:dyDescent="0.35">
      <c r="A8447" s="7">
        <v>43325</v>
      </c>
      <c r="B8447" t="s">
        <v>30</v>
      </c>
      <c r="C8447">
        <v>501</v>
      </c>
      <c r="D8447">
        <v>9</v>
      </c>
      <c r="E8447">
        <v>1</v>
      </c>
      <c r="F8447" t="s">
        <v>1170</v>
      </c>
      <c r="G8447" t="s">
        <v>32</v>
      </c>
      <c r="H8447" t="s">
        <v>33</v>
      </c>
      <c r="I8447" t="s">
        <v>72</v>
      </c>
      <c r="J8447" t="s">
        <v>56</v>
      </c>
      <c r="AB8447" t="s">
        <v>47</v>
      </c>
      <c r="AC8447" t="s">
        <v>87</v>
      </c>
    </row>
    <row r="8448" spans="1:30" x14ac:dyDescent="0.35">
      <c r="A8448" s="7">
        <v>43325</v>
      </c>
      <c r="B8448" t="s">
        <v>30</v>
      </c>
      <c r="C8448">
        <v>501</v>
      </c>
      <c r="D8448">
        <v>10</v>
      </c>
      <c r="E8448">
        <v>2</v>
      </c>
      <c r="F8448" t="s">
        <v>1170</v>
      </c>
      <c r="G8448" t="s">
        <v>32</v>
      </c>
      <c r="H8448" t="s">
        <v>33</v>
      </c>
      <c r="I8448" t="s">
        <v>72</v>
      </c>
      <c r="J8448" t="s">
        <v>56</v>
      </c>
      <c r="AB8448" t="s">
        <v>47</v>
      </c>
      <c r="AC8448" t="s">
        <v>87</v>
      </c>
    </row>
    <row r="8449" spans="1:29" x14ac:dyDescent="0.35">
      <c r="A8449" s="7">
        <v>43325</v>
      </c>
      <c r="B8449" t="s">
        <v>30</v>
      </c>
      <c r="C8449">
        <v>503</v>
      </c>
      <c r="D8449">
        <v>5</v>
      </c>
      <c r="E8449">
        <v>1</v>
      </c>
      <c r="F8449" t="s">
        <v>1170</v>
      </c>
      <c r="G8449" t="s">
        <v>32</v>
      </c>
      <c r="H8449" t="s">
        <v>33</v>
      </c>
      <c r="I8449" t="s">
        <v>72</v>
      </c>
      <c r="J8449" t="s">
        <v>56</v>
      </c>
      <c r="AB8449" t="s">
        <v>47</v>
      </c>
      <c r="AC8449" t="s">
        <v>87</v>
      </c>
    </row>
    <row r="8450" spans="1:29" x14ac:dyDescent="0.35">
      <c r="A8450" s="7">
        <v>43325</v>
      </c>
      <c r="B8450" t="s">
        <v>30</v>
      </c>
      <c r="C8450">
        <v>503</v>
      </c>
      <c r="D8450">
        <v>7</v>
      </c>
      <c r="E8450">
        <v>1</v>
      </c>
      <c r="F8450" t="s">
        <v>1170</v>
      </c>
      <c r="G8450" t="s">
        <v>32</v>
      </c>
      <c r="H8450" t="s">
        <v>33</v>
      </c>
      <c r="I8450" t="s">
        <v>72</v>
      </c>
      <c r="J8450" t="s">
        <v>56</v>
      </c>
      <c r="AB8450" t="s">
        <v>47</v>
      </c>
      <c r="AC8450" t="s">
        <v>87</v>
      </c>
    </row>
    <row r="8451" spans="1:29" x14ac:dyDescent="0.35">
      <c r="A8451" s="7">
        <v>43325</v>
      </c>
      <c r="B8451" t="s">
        <v>30</v>
      </c>
      <c r="C8451">
        <v>701</v>
      </c>
      <c r="D8451">
        <v>7</v>
      </c>
      <c r="E8451">
        <v>2</v>
      </c>
      <c r="F8451" t="s">
        <v>1139</v>
      </c>
      <c r="G8451" t="s">
        <v>32</v>
      </c>
      <c r="H8451" t="s">
        <v>33</v>
      </c>
      <c r="I8451" t="s">
        <v>72</v>
      </c>
      <c r="J8451" t="s">
        <v>56</v>
      </c>
      <c r="AB8451" t="s">
        <v>47</v>
      </c>
      <c r="AC8451" t="s">
        <v>41</v>
      </c>
    </row>
    <row r="8452" spans="1:29" x14ac:dyDescent="0.35">
      <c r="A8452" s="7">
        <v>43325</v>
      </c>
      <c r="B8452" t="s">
        <v>30</v>
      </c>
      <c r="C8452">
        <v>703</v>
      </c>
      <c r="D8452">
        <v>4</v>
      </c>
      <c r="E8452">
        <v>1</v>
      </c>
      <c r="F8452" t="s">
        <v>1139</v>
      </c>
      <c r="G8452" t="s">
        <v>32</v>
      </c>
      <c r="H8452" t="s">
        <v>33</v>
      </c>
      <c r="I8452" t="s">
        <v>72</v>
      </c>
      <c r="J8452" t="s">
        <v>56</v>
      </c>
      <c r="AB8452" t="s">
        <v>47</v>
      </c>
      <c r="AC8452" t="s">
        <v>41</v>
      </c>
    </row>
    <row r="8453" spans="1:29" x14ac:dyDescent="0.35">
      <c r="A8453" s="7">
        <v>43325</v>
      </c>
      <c r="B8453" t="s">
        <v>30</v>
      </c>
      <c r="C8453">
        <v>801</v>
      </c>
      <c r="D8453">
        <v>7</v>
      </c>
      <c r="E8453">
        <v>1</v>
      </c>
      <c r="F8453" t="s">
        <v>1139</v>
      </c>
      <c r="G8453" t="s">
        <v>32</v>
      </c>
      <c r="H8453" t="s">
        <v>33</v>
      </c>
      <c r="I8453" t="s">
        <v>72</v>
      </c>
      <c r="J8453" t="s">
        <v>56</v>
      </c>
      <c r="AB8453" t="s">
        <v>47</v>
      </c>
      <c r="AC8453" t="s">
        <v>41</v>
      </c>
    </row>
    <row r="8454" spans="1:29" x14ac:dyDescent="0.35">
      <c r="A8454" s="7">
        <v>43325</v>
      </c>
      <c r="B8454" t="s">
        <v>30</v>
      </c>
      <c r="C8454">
        <v>803</v>
      </c>
      <c r="D8454">
        <v>4</v>
      </c>
      <c r="E8454">
        <v>1</v>
      </c>
      <c r="F8454" t="s">
        <v>1139</v>
      </c>
      <c r="G8454" t="s">
        <v>32</v>
      </c>
      <c r="H8454" t="s">
        <v>33</v>
      </c>
      <c r="I8454" t="s">
        <v>72</v>
      </c>
      <c r="J8454" t="s">
        <v>56</v>
      </c>
      <c r="AB8454" t="s">
        <v>47</v>
      </c>
      <c r="AC8454" t="s">
        <v>41</v>
      </c>
    </row>
    <row r="8455" spans="1:29" x14ac:dyDescent="0.35">
      <c r="A8455" s="7">
        <v>43325</v>
      </c>
      <c r="B8455" t="s">
        <v>30</v>
      </c>
      <c r="C8455">
        <v>401</v>
      </c>
      <c r="D8455">
        <v>3</v>
      </c>
      <c r="E8455">
        <v>1</v>
      </c>
      <c r="F8455" t="s">
        <v>1170</v>
      </c>
      <c r="G8455" t="s">
        <v>32</v>
      </c>
      <c r="H8455" t="s">
        <v>33</v>
      </c>
      <c r="I8455" t="s">
        <v>59</v>
      </c>
      <c r="AB8455" t="s">
        <v>47</v>
      </c>
      <c r="AC8455" t="s">
        <v>87</v>
      </c>
    </row>
    <row r="8456" spans="1:29" x14ac:dyDescent="0.35">
      <c r="A8456" s="7">
        <v>43325</v>
      </c>
      <c r="B8456" t="s">
        <v>30</v>
      </c>
      <c r="C8456">
        <v>401</v>
      </c>
      <c r="D8456">
        <v>10</v>
      </c>
      <c r="E8456">
        <v>1</v>
      </c>
      <c r="F8456" t="s">
        <v>1170</v>
      </c>
      <c r="G8456" t="s">
        <v>32</v>
      </c>
      <c r="H8456" t="s">
        <v>33</v>
      </c>
      <c r="I8456" t="s">
        <v>59</v>
      </c>
      <c r="AB8456" t="s">
        <v>47</v>
      </c>
      <c r="AC8456" t="s">
        <v>87</v>
      </c>
    </row>
    <row r="8457" spans="1:29" x14ac:dyDescent="0.35">
      <c r="A8457" s="7">
        <v>43325</v>
      </c>
      <c r="B8457" t="s">
        <v>30</v>
      </c>
      <c r="C8457">
        <v>501</v>
      </c>
      <c r="D8457">
        <v>1</v>
      </c>
      <c r="E8457">
        <v>1</v>
      </c>
      <c r="F8457" t="s">
        <v>1170</v>
      </c>
      <c r="G8457" t="s">
        <v>32</v>
      </c>
      <c r="H8457" t="s">
        <v>33</v>
      </c>
      <c r="I8457" t="s">
        <v>59</v>
      </c>
      <c r="AB8457" t="s">
        <v>47</v>
      </c>
      <c r="AC8457" t="s">
        <v>87</v>
      </c>
    </row>
    <row r="8458" spans="1:29" x14ac:dyDescent="0.35">
      <c r="A8458" s="7">
        <v>43325</v>
      </c>
      <c r="B8458" t="s">
        <v>30</v>
      </c>
      <c r="C8458">
        <v>501</v>
      </c>
      <c r="D8458">
        <v>4</v>
      </c>
      <c r="E8458">
        <v>1</v>
      </c>
      <c r="F8458" t="s">
        <v>1170</v>
      </c>
      <c r="G8458" t="s">
        <v>32</v>
      </c>
      <c r="H8458" t="s">
        <v>33</v>
      </c>
      <c r="I8458" t="s">
        <v>59</v>
      </c>
      <c r="AB8458" t="s">
        <v>47</v>
      </c>
      <c r="AC8458" t="s">
        <v>87</v>
      </c>
    </row>
    <row r="8459" spans="1:29" x14ac:dyDescent="0.35">
      <c r="A8459" s="7">
        <v>43325</v>
      </c>
      <c r="B8459" t="s">
        <v>30</v>
      </c>
      <c r="C8459">
        <v>501</v>
      </c>
      <c r="D8459">
        <v>6</v>
      </c>
      <c r="E8459">
        <v>1</v>
      </c>
      <c r="F8459" t="s">
        <v>1170</v>
      </c>
      <c r="G8459" t="s">
        <v>32</v>
      </c>
      <c r="H8459" t="s">
        <v>33</v>
      </c>
      <c r="I8459" t="s">
        <v>59</v>
      </c>
      <c r="AB8459" t="s">
        <v>47</v>
      </c>
      <c r="AC8459" t="s">
        <v>87</v>
      </c>
    </row>
    <row r="8460" spans="1:29" x14ac:dyDescent="0.35">
      <c r="A8460" s="7">
        <v>43325</v>
      </c>
      <c r="B8460" t="s">
        <v>30</v>
      </c>
      <c r="C8460">
        <v>503</v>
      </c>
      <c r="D8460">
        <v>10</v>
      </c>
      <c r="E8460">
        <v>1</v>
      </c>
      <c r="F8460" t="s">
        <v>1170</v>
      </c>
      <c r="G8460" t="s">
        <v>32</v>
      </c>
      <c r="H8460" t="s">
        <v>33</v>
      </c>
      <c r="I8460" t="s">
        <v>59</v>
      </c>
      <c r="AB8460" t="s">
        <v>47</v>
      </c>
      <c r="AC8460" t="s">
        <v>87</v>
      </c>
    </row>
    <row r="8461" spans="1:29" x14ac:dyDescent="0.35">
      <c r="A8461" s="7">
        <v>43325</v>
      </c>
      <c r="B8461" t="s">
        <v>30</v>
      </c>
      <c r="C8461">
        <v>701</v>
      </c>
      <c r="D8461">
        <v>2</v>
      </c>
      <c r="E8461">
        <v>1</v>
      </c>
      <c r="F8461" t="s">
        <v>1139</v>
      </c>
      <c r="G8461" t="s">
        <v>32</v>
      </c>
      <c r="H8461" t="s">
        <v>33</v>
      </c>
      <c r="I8461" t="s">
        <v>59</v>
      </c>
      <c r="AB8461" t="s">
        <v>47</v>
      </c>
      <c r="AC8461" t="s">
        <v>41</v>
      </c>
    </row>
    <row r="8462" spans="1:29" x14ac:dyDescent="0.35">
      <c r="A8462" s="7">
        <v>43325</v>
      </c>
      <c r="B8462" t="s">
        <v>30</v>
      </c>
      <c r="C8462">
        <v>701</v>
      </c>
      <c r="D8462">
        <v>2</v>
      </c>
      <c r="E8462">
        <v>2</v>
      </c>
      <c r="F8462" t="s">
        <v>1139</v>
      </c>
      <c r="G8462" t="s">
        <v>32</v>
      </c>
      <c r="H8462" t="s">
        <v>33</v>
      </c>
      <c r="I8462" t="s">
        <v>59</v>
      </c>
      <c r="AB8462" t="s">
        <v>47</v>
      </c>
      <c r="AC8462" t="s">
        <v>41</v>
      </c>
    </row>
    <row r="8463" spans="1:29" x14ac:dyDescent="0.35">
      <c r="A8463" s="7">
        <v>43325</v>
      </c>
      <c r="B8463" t="s">
        <v>30</v>
      </c>
      <c r="C8463">
        <v>701</v>
      </c>
      <c r="D8463">
        <v>6</v>
      </c>
      <c r="E8463">
        <v>2</v>
      </c>
      <c r="F8463" t="s">
        <v>1139</v>
      </c>
      <c r="G8463" t="s">
        <v>32</v>
      </c>
      <c r="H8463" t="s">
        <v>33</v>
      </c>
      <c r="I8463" t="s">
        <v>59</v>
      </c>
      <c r="AB8463" t="s">
        <v>47</v>
      </c>
      <c r="AC8463" t="s">
        <v>41</v>
      </c>
    </row>
    <row r="8464" spans="1:29" x14ac:dyDescent="0.35">
      <c r="A8464" s="7">
        <v>43325</v>
      </c>
      <c r="B8464" t="s">
        <v>30</v>
      </c>
      <c r="C8464">
        <v>701</v>
      </c>
      <c r="D8464">
        <v>7</v>
      </c>
      <c r="E8464">
        <v>1</v>
      </c>
      <c r="F8464" t="s">
        <v>1139</v>
      </c>
      <c r="G8464" t="s">
        <v>32</v>
      </c>
      <c r="H8464" t="s">
        <v>33</v>
      </c>
      <c r="I8464" t="s">
        <v>59</v>
      </c>
      <c r="AB8464" t="s">
        <v>47</v>
      </c>
      <c r="AC8464" t="s">
        <v>41</v>
      </c>
    </row>
    <row r="8465" spans="1:30" x14ac:dyDescent="0.35">
      <c r="A8465" s="7">
        <v>43325</v>
      </c>
      <c r="B8465" t="s">
        <v>30</v>
      </c>
      <c r="C8465">
        <v>703</v>
      </c>
      <c r="D8465">
        <v>4</v>
      </c>
      <c r="E8465">
        <v>2</v>
      </c>
      <c r="F8465" t="s">
        <v>1139</v>
      </c>
      <c r="G8465" t="s">
        <v>32</v>
      </c>
      <c r="H8465" t="s">
        <v>33</v>
      </c>
      <c r="I8465" t="s">
        <v>59</v>
      </c>
      <c r="AB8465" t="s">
        <v>47</v>
      </c>
      <c r="AC8465" t="s">
        <v>41</v>
      </c>
    </row>
    <row r="8466" spans="1:30" x14ac:dyDescent="0.35">
      <c r="A8466" s="7">
        <v>43325</v>
      </c>
      <c r="B8466" t="s">
        <v>30</v>
      </c>
      <c r="C8466">
        <v>703</v>
      </c>
      <c r="D8466">
        <v>5</v>
      </c>
      <c r="E8466">
        <v>2</v>
      </c>
      <c r="F8466" t="s">
        <v>1139</v>
      </c>
      <c r="G8466" t="s">
        <v>32</v>
      </c>
      <c r="H8466" t="s">
        <v>33</v>
      </c>
      <c r="I8466" t="s">
        <v>59</v>
      </c>
      <c r="AB8466" t="s">
        <v>47</v>
      </c>
      <c r="AC8466" t="s">
        <v>41</v>
      </c>
    </row>
    <row r="8467" spans="1:30" x14ac:dyDescent="0.35">
      <c r="A8467" s="7">
        <v>43325</v>
      </c>
      <c r="B8467" t="s">
        <v>30</v>
      </c>
      <c r="C8467">
        <v>703</v>
      </c>
      <c r="D8467">
        <v>9</v>
      </c>
      <c r="E8467">
        <v>1</v>
      </c>
      <c r="F8467" t="s">
        <v>1139</v>
      </c>
      <c r="G8467" t="s">
        <v>32</v>
      </c>
      <c r="H8467" t="s">
        <v>33</v>
      </c>
      <c r="I8467" t="s">
        <v>59</v>
      </c>
      <c r="AB8467" t="s">
        <v>47</v>
      </c>
      <c r="AC8467" t="s">
        <v>41</v>
      </c>
    </row>
    <row r="8468" spans="1:30" x14ac:dyDescent="0.35">
      <c r="A8468" s="7">
        <v>43325</v>
      </c>
      <c r="B8468" t="s">
        <v>30</v>
      </c>
      <c r="C8468">
        <v>703</v>
      </c>
      <c r="D8468">
        <v>9</v>
      </c>
      <c r="E8468">
        <v>2</v>
      </c>
      <c r="F8468" t="s">
        <v>1139</v>
      </c>
      <c r="G8468" t="s">
        <v>32</v>
      </c>
      <c r="H8468" t="s">
        <v>33</v>
      </c>
      <c r="I8468" t="s">
        <v>59</v>
      </c>
      <c r="AB8468" t="s">
        <v>47</v>
      </c>
      <c r="AC8468" t="s">
        <v>41</v>
      </c>
    </row>
    <row r="8469" spans="1:30" x14ac:dyDescent="0.35">
      <c r="A8469" s="7">
        <v>43325</v>
      </c>
      <c r="B8469" t="s">
        <v>30</v>
      </c>
      <c r="C8469">
        <v>703</v>
      </c>
      <c r="D8469">
        <v>10</v>
      </c>
      <c r="E8469">
        <v>1</v>
      </c>
      <c r="F8469" t="s">
        <v>1139</v>
      </c>
      <c r="G8469" t="s">
        <v>32</v>
      </c>
      <c r="H8469" t="s">
        <v>33</v>
      </c>
      <c r="I8469" t="s">
        <v>59</v>
      </c>
      <c r="AB8469" t="s">
        <v>47</v>
      </c>
      <c r="AC8469" t="s">
        <v>41</v>
      </c>
    </row>
    <row r="8470" spans="1:30" x14ac:dyDescent="0.35">
      <c r="A8470" s="7">
        <v>43325</v>
      </c>
      <c r="B8470" t="s">
        <v>30</v>
      </c>
      <c r="C8470">
        <v>801</v>
      </c>
      <c r="D8470">
        <v>1</v>
      </c>
      <c r="E8470">
        <v>2</v>
      </c>
      <c r="F8470" t="s">
        <v>1139</v>
      </c>
      <c r="G8470" t="s">
        <v>32</v>
      </c>
      <c r="H8470" t="s">
        <v>33</v>
      </c>
      <c r="I8470" t="s">
        <v>59</v>
      </c>
      <c r="AB8470" t="s">
        <v>47</v>
      </c>
      <c r="AC8470" t="s">
        <v>41</v>
      </c>
    </row>
    <row r="8471" spans="1:30" x14ac:dyDescent="0.35">
      <c r="A8471" s="7">
        <v>43325</v>
      </c>
      <c r="B8471" t="s">
        <v>30</v>
      </c>
      <c r="C8471">
        <v>801</v>
      </c>
      <c r="D8471">
        <v>8</v>
      </c>
      <c r="E8471">
        <v>1</v>
      </c>
      <c r="F8471" t="s">
        <v>1139</v>
      </c>
      <c r="G8471" t="s">
        <v>32</v>
      </c>
      <c r="H8471" t="s">
        <v>33</v>
      </c>
      <c r="I8471" t="s">
        <v>59</v>
      </c>
      <c r="AB8471" t="s">
        <v>47</v>
      </c>
      <c r="AC8471" t="s">
        <v>41</v>
      </c>
    </row>
    <row r="8472" spans="1:30" x14ac:dyDescent="0.35">
      <c r="A8472" s="7">
        <v>43325</v>
      </c>
      <c r="B8472" t="s">
        <v>30</v>
      </c>
      <c r="C8472">
        <v>801</v>
      </c>
      <c r="D8472">
        <v>8</v>
      </c>
      <c r="E8472">
        <v>2</v>
      </c>
      <c r="F8472" t="s">
        <v>1139</v>
      </c>
      <c r="G8472" t="s">
        <v>32</v>
      </c>
      <c r="H8472" t="s">
        <v>33</v>
      </c>
      <c r="I8472" t="s">
        <v>59</v>
      </c>
      <c r="AB8472" t="s">
        <v>47</v>
      </c>
      <c r="AC8472" t="s">
        <v>41</v>
      </c>
    </row>
    <row r="8473" spans="1:30" x14ac:dyDescent="0.35">
      <c r="A8473" s="7">
        <v>43325</v>
      </c>
      <c r="B8473" t="s">
        <v>30</v>
      </c>
      <c r="C8473">
        <v>803</v>
      </c>
      <c r="D8473">
        <v>9</v>
      </c>
      <c r="E8473">
        <v>1</v>
      </c>
      <c r="F8473" t="s">
        <v>1139</v>
      </c>
      <c r="G8473" t="s">
        <v>32</v>
      </c>
      <c r="H8473" t="s">
        <v>33</v>
      </c>
      <c r="I8473" t="s">
        <v>59</v>
      </c>
      <c r="AB8473" t="s">
        <v>47</v>
      </c>
      <c r="AC8473" t="s">
        <v>41</v>
      </c>
    </row>
    <row r="8474" spans="1:30" x14ac:dyDescent="0.35">
      <c r="A8474" s="7">
        <v>43325</v>
      </c>
      <c r="B8474" t="s">
        <v>30</v>
      </c>
      <c r="C8474">
        <v>803</v>
      </c>
      <c r="D8474">
        <v>4</v>
      </c>
      <c r="E8474">
        <v>2</v>
      </c>
      <c r="F8474" t="s">
        <v>1139</v>
      </c>
      <c r="G8474" t="s">
        <v>32</v>
      </c>
      <c r="H8474" t="s">
        <v>33</v>
      </c>
      <c r="I8474" t="s">
        <v>1075</v>
      </c>
      <c r="AB8474" t="s">
        <v>47</v>
      </c>
      <c r="AC8474" t="s">
        <v>41</v>
      </c>
    </row>
    <row r="8475" spans="1:30" x14ac:dyDescent="0.35">
      <c r="A8475" s="7">
        <v>43325</v>
      </c>
      <c r="B8475" t="s">
        <v>30</v>
      </c>
      <c r="C8475">
        <v>701</v>
      </c>
      <c r="D8475">
        <v>3</v>
      </c>
      <c r="E8475">
        <v>1</v>
      </c>
      <c r="F8475" t="s">
        <v>1139</v>
      </c>
      <c r="G8475" t="s">
        <v>32</v>
      </c>
      <c r="H8475" t="s">
        <v>33</v>
      </c>
      <c r="I8475" t="s">
        <v>94</v>
      </c>
      <c r="J8475" t="s">
        <v>35</v>
      </c>
      <c r="K8475" t="s">
        <v>36</v>
      </c>
      <c r="L8475" t="s">
        <v>45</v>
      </c>
      <c r="M8475">
        <v>0</v>
      </c>
      <c r="N8475">
        <v>1</v>
      </c>
      <c r="O8475">
        <v>1519</v>
      </c>
      <c r="Q8475">
        <f>34-16</f>
        <v>18</v>
      </c>
      <c r="R8475" t="s">
        <v>46</v>
      </c>
      <c r="S8475" t="s">
        <v>39</v>
      </c>
      <c r="AB8475" t="s">
        <v>47</v>
      </c>
      <c r="AC8475" t="s">
        <v>41</v>
      </c>
    </row>
    <row r="8476" spans="1:30" x14ac:dyDescent="0.35">
      <c r="A8476" s="7">
        <v>43325</v>
      </c>
      <c r="B8476" t="s">
        <v>30</v>
      </c>
      <c r="C8476">
        <v>803</v>
      </c>
      <c r="D8476">
        <v>1</v>
      </c>
      <c r="E8476">
        <v>1</v>
      </c>
      <c r="F8476" t="s">
        <v>1139</v>
      </c>
      <c r="G8476" t="s">
        <v>32</v>
      </c>
      <c r="H8476" t="s">
        <v>33</v>
      </c>
      <c r="I8476" t="s">
        <v>94</v>
      </c>
      <c r="J8476" t="s">
        <v>44</v>
      </c>
      <c r="K8476" t="s">
        <v>36</v>
      </c>
      <c r="L8476" t="s">
        <v>45</v>
      </c>
      <c r="M8476">
        <v>0</v>
      </c>
      <c r="N8476">
        <v>0</v>
      </c>
      <c r="O8476">
        <v>1371</v>
      </c>
      <c r="Q8476">
        <f>40-11</f>
        <v>29</v>
      </c>
      <c r="R8476" t="s">
        <v>1021</v>
      </c>
      <c r="S8476" t="s">
        <v>102</v>
      </c>
      <c r="AB8476" t="s">
        <v>47</v>
      </c>
      <c r="AC8476" t="s">
        <v>41</v>
      </c>
    </row>
    <row r="8477" spans="1:30" x14ac:dyDescent="0.35">
      <c r="A8477" s="7">
        <v>43326</v>
      </c>
      <c r="B8477" t="s">
        <v>30</v>
      </c>
      <c r="C8477">
        <v>303</v>
      </c>
      <c r="D8477">
        <v>1</v>
      </c>
      <c r="E8477">
        <v>1</v>
      </c>
      <c r="F8477" t="s">
        <v>1170</v>
      </c>
      <c r="G8477" t="s">
        <v>32</v>
      </c>
      <c r="H8477" t="s">
        <v>33</v>
      </c>
      <c r="I8477" t="s">
        <v>43</v>
      </c>
      <c r="J8477" t="s">
        <v>44</v>
      </c>
      <c r="K8477" t="s">
        <v>113</v>
      </c>
      <c r="L8477" t="s">
        <v>45</v>
      </c>
      <c r="M8477">
        <v>0</v>
      </c>
      <c r="N8477">
        <v>0</v>
      </c>
      <c r="O8477">
        <v>1116</v>
      </c>
      <c r="P8477">
        <v>1183</v>
      </c>
      <c r="Q8477">
        <f>31-16</f>
        <v>15</v>
      </c>
      <c r="R8477" t="s">
        <v>46</v>
      </c>
      <c r="S8477" t="s">
        <v>39</v>
      </c>
      <c r="AB8477" t="s">
        <v>47</v>
      </c>
      <c r="AC8477" t="s">
        <v>87</v>
      </c>
      <c r="AD8477" t="s">
        <v>1282</v>
      </c>
    </row>
    <row r="8478" spans="1:30" x14ac:dyDescent="0.35">
      <c r="A8478" s="7">
        <v>43326</v>
      </c>
      <c r="B8478" t="s">
        <v>30</v>
      </c>
      <c r="C8478">
        <v>303</v>
      </c>
      <c r="D8478">
        <v>1</v>
      </c>
      <c r="E8478">
        <v>2</v>
      </c>
      <c r="F8478" t="s">
        <v>1170</v>
      </c>
      <c r="G8478" t="s">
        <v>32</v>
      </c>
      <c r="H8478" t="s">
        <v>33</v>
      </c>
      <c r="I8478" t="s">
        <v>43</v>
      </c>
      <c r="J8478" t="s">
        <v>44</v>
      </c>
      <c r="K8478" t="s">
        <v>113</v>
      </c>
      <c r="L8478" t="s">
        <v>45</v>
      </c>
      <c r="M8478">
        <v>0</v>
      </c>
      <c r="N8478">
        <v>0</v>
      </c>
      <c r="O8478">
        <v>1460</v>
      </c>
      <c r="P8478">
        <v>1459</v>
      </c>
      <c r="Q8478">
        <f>36.5-19</f>
        <v>17.5</v>
      </c>
      <c r="R8478" t="s">
        <v>46</v>
      </c>
      <c r="S8478" t="s">
        <v>39</v>
      </c>
      <c r="AB8478" t="s">
        <v>47</v>
      </c>
      <c r="AC8478" t="s">
        <v>87</v>
      </c>
    </row>
    <row r="8479" spans="1:30" x14ac:dyDescent="0.35">
      <c r="A8479" s="7">
        <v>43326</v>
      </c>
      <c r="B8479" t="s">
        <v>30</v>
      </c>
      <c r="C8479">
        <v>303</v>
      </c>
      <c r="D8479">
        <v>3</v>
      </c>
      <c r="E8479">
        <v>1</v>
      </c>
      <c r="F8479" t="s">
        <v>1170</v>
      </c>
      <c r="G8479" t="s">
        <v>32</v>
      </c>
      <c r="H8479" t="s">
        <v>33</v>
      </c>
      <c r="I8479" t="s">
        <v>43</v>
      </c>
      <c r="J8479" t="s">
        <v>44</v>
      </c>
      <c r="K8479" t="s">
        <v>36</v>
      </c>
      <c r="L8479" t="s">
        <v>45</v>
      </c>
      <c r="M8479">
        <v>0</v>
      </c>
      <c r="N8479">
        <v>0</v>
      </c>
      <c r="O8479">
        <v>2903</v>
      </c>
      <c r="P8479">
        <v>2901</v>
      </c>
      <c r="Q8479">
        <f>33-14</f>
        <v>19</v>
      </c>
      <c r="R8479" t="s">
        <v>46</v>
      </c>
      <c r="S8479" t="s">
        <v>39</v>
      </c>
      <c r="AB8479" t="s">
        <v>47</v>
      </c>
      <c r="AC8479" t="s">
        <v>87</v>
      </c>
    </row>
    <row r="8480" spans="1:30" x14ac:dyDescent="0.35">
      <c r="A8480" s="7">
        <v>43326</v>
      </c>
      <c r="B8480" t="s">
        <v>30</v>
      </c>
      <c r="C8480">
        <v>303</v>
      </c>
      <c r="D8480">
        <v>4</v>
      </c>
      <c r="E8480">
        <v>1</v>
      </c>
      <c r="F8480" t="s">
        <v>1170</v>
      </c>
      <c r="G8480" t="s">
        <v>32</v>
      </c>
      <c r="H8480" t="s">
        <v>33</v>
      </c>
      <c r="I8480" t="s">
        <v>43</v>
      </c>
      <c r="J8480" t="s">
        <v>44</v>
      </c>
      <c r="K8480" t="s">
        <v>88</v>
      </c>
      <c r="L8480" t="s">
        <v>45</v>
      </c>
      <c r="M8480">
        <v>0</v>
      </c>
      <c r="N8480">
        <v>0</v>
      </c>
      <c r="O8480">
        <v>1006</v>
      </c>
      <c r="P8480">
        <v>1005</v>
      </c>
      <c r="Q8480">
        <f>28.25-14</f>
        <v>14.25</v>
      </c>
      <c r="R8480" t="s">
        <v>46</v>
      </c>
      <c r="S8480" t="s">
        <v>39</v>
      </c>
      <c r="AB8480" t="s">
        <v>47</v>
      </c>
      <c r="AC8480" t="s">
        <v>87</v>
      </c>
    </row>
    <row r="8481" spans="1:30" x14ac:dyDescent="0.35">
      <c r="A8481" s="7">
        <v>43326</v>
      </c>
      <c r="B8481" t="s">
        <v>30</v>
      </c>
      <c r="C8481">
        <v>303</v>
      </c>
      <c r="D8481">
        <v>6</v>
      </c>
      <c r="E8481">
        <v>2</v>
      </c>
      <c r="F8481" t="s">
        <v>1170</v>
      </c>
      <c r="G8481" t="s">
        <v>32</v>
      </c>
      <c r="H8481" t="s">
        <v>33</v>
      </c>
      <c r="I8481" t="s">
        <v>43</v>
      </c>
      <c r="J8481" t="s">
        <v>92</v>
      </c>
      <c r="K8481" t="s">
        <v>113</v>
      </c>
      <c r="M8481">
        <v>0</v>
      </c>
      <c r="N8481">
        <v>0</v>
      </c>
      <c r="O8481">
        <v>1458</v>
      </c>
      <c r="P8481">
        <v>1457</v>
      </c>
      <c r="AB8481" t="s">
        <v>47</v>
      </c>
      <c r="AC8481" t="s">
        <v>87</v>
      </c>
    </row>
    <row r="8482" spans="1:30" x14ac:dyDescent="0.35">
      <c r="A8482" s="7">
        <v>43326</v>
      </c>
      <c r="B8482" t="s">
        <v>30</v>
      </c>
      <c r="C8482">
        <v>303</v>
      </c>
      <c r="D8482">
        <v>8</v>
      </c>
      <c r="E8482">
        <v>1</v>
      </c>
      <c r="F8482" t="s">
        <v>1170</v>
      </c>
      <c r="G8482" t="s">
        <v>32</v>
      </c>
      <c r="H8482" t="s">
        <v>33</v>
      </c>
      <c r="I8482" t="s">
        <v>43</v>
      </c>
      <c r="J8482" t="s">
        <v>35</v>
      </c>
      <c r="K8482" t="s">
        <v>113</v>
      </c>
      <c r="L8482" t="s">
        <v>45</v>
      </c>
      <c r="M8482">
        <v>0</v>
      </c>
      <c r="N8482">
        <v>1</v>
      </c>
      <c r="O8482">
        <v>1456</v>
      </c>
      <c r="P8482">
        <v>1455</v>
      </c>
      <c r="Q8482">
        <f>26-14</f>
        <v>12</v>
      </c>
      <c r="R8482" t="s">
        <v>46</v>
      </c>
      <c r="S8482" t="s">
        <v>39</v>
      </c>
      <c r="AB8482" t="s">
        <v>47</v>
      </c>
      <c r="AC8482" t="s">
        <v>87</v>
      </c>
    </row>
    <row r="8483" spans="1:30" x14ac:dyDescent="0.35">
      <c r="A8483" s="7">
        <v>43326</v>
      </c>
      <c r="B8483" t="s">
        <v>30</v>
      </c>
      <c r="C8483">
        <v>303</v>
      </c>
      <c r="D8483">
        <v>9</v>
      </c>
      <c r="E8483">
        <v>1</v>
      </c>
      <c r="F8483" t="s">
        <v>1170</v>
      </c>
      <c r="G8483" t="s">
        <v>32</v>
      </c>
      <c r="H8483" t="s">
        <v>33</v>
      </c>
      <c r="I8483" t="s">
        <v>43</v>
      </c>
      <c r="J8483" t="s">
        <v>44</v>
      </c>
      <c r="K8483" t="s">
        <v>36</v>
      </c>
      <c r="L8483" t="s">
        <v>45</v>
      </c>
      <c r="M8483">
        <v>0</v>
      </c>
      <c r="N8483">
        <v>0</v>
      </c>
      <c r="O8483">
        <v>2913</v>
      </c>
      <c r="P8483">
        <v>2912</v>
      </c>
      <c r="Q8483">
        <f>30-13</f>
        <v>17</v>
      </c>
      <c r="R8483" t="s">
        <v>46</v>
      </c>
      <c r="S8483" t="s">
        <v>39</v>
      </c>
      <c r="AB8483" t="s">
        <v>47</v>
      </c>
      <c r="AC8483" t="s">
        <v>87</v>
      </c>
    </row>
    <row r="8484" spans="1:30" x14ac:dyDescent="0.35">
      <c r="A8484" s="7">
        <v>43326</v>
      </c>
      <c r="B8484" t="s">
        <v>30</v>
      </c>
      <c r="C8484">
        <v>303</v>
      </c>
      <c r="D8484">
        <v>10</v>
      </c>
      <c r="E8484">
        <v>2</v>
      </c>
      <c r="F8484" t="s">
        <v>1170</v>
      </c>
      <c r="G8484" t="s">
        <v>32</v>
      </c>
      <c r="H8484" t="s">
        <v>33</v>
      </c>
      <c r="I8484" t="s">
        <v>43</v>
      </c>
      <c r="J8484" t="s">
        <v>44</v>
      </c>
      <c r="K8484" t="s">
        <v>88</v>
      </c>
      <c r="L8484" t="s">
        <v>45</v>
      </c>
      <c r="M8484">
        <v>0</v>
      </c>
      <c r="N8484">
        <v>0</v>
      </c>
      <c r="O8484">
        <v>1221</v>
      </c>
      <c r="P8484">
        <v>1220</v>
      </c>
      <c r="Q8484">
        <f>28-18</f>
        <v>10</v>
      </c>
      <c r="R8484" t="s">
        <v>46</v>
      </c>
      <c r="S8484" t="s">
        <v>39</v>
      </c>
      <c r="AB8484" t="s">
        <v>47</v>
      </c>
      <c r="AC8484" t="s">
        <v>87</v>
      </c>
    </row>
    <row r="8485" spans="1:30" x14ac:dyDescent="0.35">
      <c r="A8485" s="7">
        <v>43326</v>
      </c>
      <c r="B8485" t="s">
        <v>30</v>
      </c>
      <c r="C8485">
        <v>401</v>
      </c>
      <c r="D8485">
        <v>7</v>
      </c>
      <c r="E8485">
        <v>1</v>
      </c>
      <c r="F8485" t="s">
        <v>1170</v>
      </c>
      <c r="G8485" t="s">
        <v>32</v>
      </c>
      <c r="H8485" t="s">
        <v>33</v>
      </c>
      <c r="I8485" t="s">
        <v>43</v>
      </c>
      <c r="J8485" t="s">
        <v>44</v>
      </c>
      <c r="K8485" t="s">
        <v>113</v>
      </c>
      <c r="L8485" t="s">
        <v>37</v>
      </c>
      <c r="M8485">
        <v>0</v>
      </c>
      <c r="N8485">
        <v>0</v>
      </c>
      <c r="O8485">
        <v>1146</v>
      </c>
      <c r="P8485">
        <v>1145</v>
      </c>
      <c r="Q8485">
        <f>40-25</f>
        <v>15</v>
      </c>
      <c r="R8485" t="s">
        <v>64</v>
      </c>
      <c r="Z8485" t="s">
        <v>102</v>
      </c>
      <c r="AB8485" t="s">
        <v>47</v>
      </c>
      <c r="AC8485" t="s">
        <v>87</v>
      </c>
    </row>
    <row r="8486" spans="1:30" x14ac:dyDescent="0.35">
      <c r="A8486" s="7">
        <v>43326</v>
      </c>
      <c r="B8486" t="s">
        <v>30</v>
      </c>
      <c r="C8486">
        <v>501</v>
      </c>
      <c r="D8486">
        <v>1</v>
      </c>
      <c r="E8486">
        <v>1</v>
      </c>
      <c r="F8486" t="s">
        <v>1170</v>
      </c>
      <c r="G8486" t="s">
        <v>32</v>
      </c>
      <c r="H8486" t="s">
        <v>33</v>
      </c>
      <c r="I8486" t="s">
        <v>43</v>
      </c>
      <c r="J8486" t="s">
        <v>44</v>
      </c>
      <c r="K8486" t="s">
        <v>113</v>
      </c>
      <c r="L8486" t="s">
        <v>37</v>
      </c>
      <c r="M8486">
        <v>0</v>
      </c>
      <c r="N8486">
        <v>0</v>
      </c>
      <c r="O8486">
        <v>1453</v>
      </c>
      <c r="P8486">
        <v>1454</v>
      </c>
      <c r="R8486" t="s">
        <v>38</v>
      </c>
      <c r="AB8486" t="s">
        <v>47</v>
      </c>
      <c r="AC8486" t="s">
        <v>87</v>
      </c>
    </row>
    <row r="8487" spans="1:30" x14ac:dyDescent="0.35">
      <c r="A8487" s="7">
        <v>43326</v>
      </c>
      <c r="B8487" t="s">
        <v>30</v>
      </c>
      <c r="C8487">
        <v>501</v>
      </c>
      <c r="D8487">
        <v>6</v>
      </c>
      <c r="E8487">
        <v>1</v>
      </c>
      <c r="F8487" t="s">
        <v>1170</v>
      </c>
      <c r="G8487" t="s">
        <v>32</v>
      </c>
      <c r="H8487" t="s">
        <v>33</v>
      </c>
      <c r="I8487" t="s">
        <v>43</v>
      </c>
      <c r="J8487" t="s">
        <v>44</v>
      </c>
      <c r="K8487" t="s">
        <v>88</v>
      </c>
      <c r="L8487" t="s">
        <v>37</v>
      </c>
      <c r="M8487">
        <v>0</v>
      </c>
      <c r="N8487">
        <v>1</v>
      </c>
      <c r="O8487">
        <v>1260</v>
      </c>
      <c r="P8487">
        <v>1261</v>
      </c>
      <c r="Q8487">
        <f>26-13</f>
        <v>13</v>
      </c>
      <c r="R8487" t="s">
        <v>64</v>
      </c>
      <c r="AB8487" t="s">
        <v>47</v>
      </c>
      <c r="AC8487" t="s">
        <v>87</v>
      </c>
      <c r="AD8487" t="s">
        <v>1283</v>
      </c>
    </row>
    <row r="8488" spans="1:30" x14ac:dyDescent="0.35">
      <c r="A8488" s="7">
        <v>43326</v>
      </c>
      <c r="B8488" t="s">
        <v>30</v>
      </c>
      <c r="C8488">
        <v>501</v>
      </c>
      <c r="D8488">
        <v>9</v>
      </c>
      <c r="E8488">
        <v>1</v>
      </c>
      <c r="F8488" t="s">
        <v>1170</v>
      </c>
      <c r="G8488" t="s">
        <v>32</v>
      </c>
      <c r="H8488" t="s">
        <v>33</v>
      </c>
      <c r="I8488" t="s">
        <v>43</v>
      </c>
      <c r="J8488" t="s">
        <v>44</v>
      </c>
      <c r="K8488" t="s">
        <v>113</v>
      </c>
      <c r="L8488" t="s">
        <v>37</v>
      </c>
      <c r="M8488">
        <v>0</v>
      </c>
      <c r="N8488">
        <v>0</v>
      </c>
      <c r="O8488">
        <v>1266</v>
      </c>
      <c r="P8488">
        <v>1265</v>
      </c>
      <c r="Q8488">
        <f>33-17</f>
        <v>16</v>
      </c>
      <c r="R8488" t="s">
        <v>64</v>
      </c>
      <c r="AB8488" t="s">
        <v>47</v>
      </c>
      <c r="AC8488" t="s">
        <v>87</v>
      </c>
    </row>
    <row r="8489" spans="1:30" x14ac:dyDescent="0.35">
      <c r="A8489" s="7">
        <v>43326</v>
      </c>
      <c r="B8489" t="s">
        <v>30</v>
      </c>
      <c r="C8489">
        <v>503</v>
      </c>
      <c r="D8489">
        <v>3</v>
      </c>
      <c r="E8489">
        <v>1</v>
      </c>
      <c r="F8489" t="s">
        <v>1170</v>
      </c>
      <c r="G8489" t="s">
        <v>32</v>
      </c>
      <c r="H8489" t="s">
        <v>33</v>
      </c>
      <c r="I8489" t="s">
        <v>43</v>
      </c>
      <c r="J8489" t="s">
        <v>44</v>
      </c>
      <c r="K8489" t="s">
        <v>113</v>
      </c>
      <c r="L8489" t="s">
        <v>45</v>
      </c>
      <c r="M8489">
        <v>0</v>
      </c>
      <c r="N8489">
        <v>0</v>
      </c>
      <c r="O8489">
        <v>1254</v>
      </c>
      <c r="P8489">
        <v>1253</v>
      </c>
      <c r="Q8489">
        <f>32-18</f>
        <v>14</v>
      </c>
      <c r="R8489" t="s">
        <v>46</v>
      </c>
      <c r="S8489" t="s">
        <v>39</v>
      </c>
      <c r="AB8489" t="s">
        <v>47</v>
      </c>
      <c r="AC8489" t="s">
        <v>87</v>
      </c>
    </row>
    <row r="8490" spans="1:30" x14ac:dyDescent="0.35">
      <c r="A8490" s="7">
        <v>43326</v>
      </c>
      <c r="B8490" t="s">
        <v>30</v>
      </c>
      <c r="C8490">
        <v>503</v>
      </c>
      <c r="D8490">
        <v>4</v>
      </c>
      <c r="E8490">
        <v>2</v>
      </c>
      <c r="F8490" t="s">
        <v>1170</v>
      </c>
      <c r="G8490" t="s">
        <v>32</v>
      </c>
      <c r="H8490" t="s">
        <v>33</v>
      </c>
      <c r="I8490" t="s">
        <v>43</v>
      </c>
      <c r="J8490" t="s">
        <v>44</v>
      </c>
      <c r="K8490" t="s">
        <v>113</v>
      </c>
      <c r="L8490" t="s">
        <v>45</v>
      </c>
      <c r="M8490">
        <v>0</v>
      </c>
      <c r="N8490">
        <v>0</v>
      </c>
      <c r="O8490">
        <v>1248</v>
      </c>
      <c r="P8490">
        <v>1247</v>
      </c>
      <c r="Q8490">
        <f>32-18</f>
        <v>14</v>
      </c>
      <c r="R8490" t="s">
        <v>77</v>
      </c>
      <c r="S8490" t="s">
        <v>39</v>
      </c>
      <c r="AB8490" t="s">
        <v>47</v>
      </c>
      <c r="AC8490" t="s">
        <v>87</v>
      </c>
    </row>
    <row r="8491" spans="1:30" x14ac:dyDescent="0.35">
      <c r="A8491" s="7">
        <v>43326</v>
      </c>
      <c r="B8491" t="s">
        <v>30</v>
      </c>
      <c r="C8491">
        <v>503</v>
      </c>
      <c r="D8491">
        <v>6</v>
      </c>
      <c r="E8491">
        <v>1</v>
      </c>
      <c r="F8491" t="s">
        <v>1170</v>
      </c>
      <c r="G8491" t="s">
        <v>32</v>
      </c>
      <c r="H8491" t="s">
        <v>33</v>
      </c>
      <c r="I8491" t="s">
        <v>43</v>
      </c>
      <c r="J8491" t="s">
        <v>44</v>
      </c>
      <c r="K8491" t="s">
        <v>88</v>
      </c>
      <c r="L8491" t="s">
        <v>37</v>
      </c>
      <c r="M8491">
        <v>0</v>
      </c>
      <c r="N8491">
        <v>0</v>
      </c>
      <c r="O8491">
        <v>1263</v>
      </c>
      <c r="P8491">
        <v>1262</v>
      </c>
      <c r="Q8491">
        <f>37-26</f>
        <v>11</v>
      </c>
      <c r="R8491" t="s">
        <v>64</v>
      </c>
      <c r="AB8491" t="s">
        <v>47</v>
      </c>
      <c r="AC8491" t="s">
        <v>87</v>
      </c>
    </row>
    <row r="8492" spans="1:30" x14ac:dyDescent="0.35">
      <c r="A8492" s="7">
        <v>43326</v>
      </c>
      <c r="B8492" t="s">
        <v>30</v>
      </c>
      <c r="C8492">
        <v>503</v>
      </c>
      <c r="D8492">
        <v>10</v>
      </c>
      <c r="E8492">
        <v>1</v>
      </c>
      <c r="F8492" t="s">
        <v>1170</v>
      </c>
      <c r="G8492" t="s">
        <v>32</v>
      </c>
      <c r="H8492" t="s">
        <v>33</v>
      </c>
      <c r="I8492" t="s">
        <v>43</v>
      </c>
      <c r="J8492" t="s">
        <v>35</v>
      </c>
      <c r="K8492" t="s">
        <v>88</v>
      </c>
      <c r="L8492" t="s">
        <v>37</v>
      </c>
      <c r="M8492">
        <v>0</v>
      </c>
      <c r="N8492">
        <v>1</v>
      </c>
      <c r="O8492">
        <v>1244</v>
      </c>
      <c r="P8492">
        <v>1243</v>
      </c>
      <c r="Q8492">
        <f>28-16</f>
        <v>12</v>
      </c>
      <c r="R8492" t="s">
        <v>46</v>
      </c>
      <c r="AB8492" t="s">
        <v>47</v>
      </c>
      <c r="AC8492" t="s">
        <v>87</v>
      </c>
    </row>
    <row r="8493" spans="1:30" x14ac:dyDescent="0.35">
      <c r="A8493" s="7">
        <v>43326</v>
      </c>
      <c r="B8493" t="s">
        <v>30</v>
      </c>
      <c r="C8493">
        <v>503</v>
      </c>
      <c r="D8493">
        <v>10</v>
      </c>
      <c r="E8493">
        <v>2</v>
      </c>
      <c r="F8493" t="s">
        <v>1170</v>
      </c>
      <c r="G8493" t="s">
        <v>32</v>
      </c>
      <c r="H8493" t="s">
        <v>33</v>
      </c>
      <c r="I8493" t="s">
        <v>43</v>
      </c>
      <c r="J8493" t="s">
        <v>35</v>
      </c>
      <c r="K8493" t="s">
        <v>36</v>
      </c>
      <c r="L8493" t="s">
        <v>45</v>
      </c>
      <c r="M8493">
        <v>0</v>
      </c>
      <c r="N8493">
        <v>1</v>
      </c>
      <c r="O8493">
        <v>1242</v>
      </c>
      <c r="P8493">
        <v>1241</v>
      </c>
      <c r="Q8493">
        <f>30.25-17</f>
        <v>13.25</v>
      </c>
      <c r="R8493" t="s">
        <v>77</v>
      </c>
      <c r="S8493" t="s">
        <v>39</v>
      </c>
      <c r="AB8493" t="s">
        <v>47</v>
      </c>
      <c r="AC8493" t="s">
        <v>87</v>
      </c>
    </row>
    <row r="8494" spans="1:30" x14ac:dyDescent="0.35">
      <c r="A8494" s="7">
        <v>43326</v>
      </c>
      <c r="B8494" t="s">
        <v>30</v>
      </c>
      <c r="C8494">
        <v>701</v>
      </c>
      <c r="D8494">
        <v>1</v>
      </c>
      <c r="E8494">
        <v>1</v>
      </c>
      <c r="F8494" t="s">
        <v>1139</v>
      </c>
      <c r="G8494" t="s">
        <v>32</v>
      </c>
      <c r="H8494" t="s">
        <v>33</v>
      </c>
      <c r="I8494" t="s">
        <v>43</v>
      </c>
      <c r="J8494" t="s">
        <v>44</v>
      </c>
      <c r="K8494" t="s">
        <v>113</v>
      </c>
      <c r="L8494" t="s">
        <v>37</v>
      </c>
      <c r="M8494">
        <v>0</v>
      </c>
      <c r="N8494">
        <v>0</v>
      </c>
      <c r="O8494">
        <v>1215</v>
      </c>
      <c r="P8494">
        <v>1214</v>
      </c>
      <c r="Q8494">
        <f>29.5-14</f>
        <v>15.5</v>
      </c>
      <c r="R8494" t="s">
        <v>64</v>
      </c>
      <c r="AB8494" t="s">
        <v>47</v>
      </c>
      <c r="AC8494" t="s">
        <v>41</v>
      </c>
    </row>
    <row r="8495" spans="1:30" x14ac:dyDescent="0.35">
      <c r="A8495" s="7">
        <v>43326</v>
      </c>
      <c r="B8495" t="s">
        <v>30</v>
      </c>
      <c r="C8495">
        <v>701</v>
      </c>
      <c r="D8495">
        <v>1</v>
      </c>
      <c r="E8495">
        <v>2</v>
      </c>
      <c r="F8495" t="s">
        <v>1139</v>
      </c>
      <c r="G8495" t="s">
        <v>32</v>
      </c>
      <c r="H8495" t="s">
        <v>33</v>
      </c>
      <c r="I8495" t="s">
        <v>43</v>
      </c>
      <c r="J8495" t="s">
        <v>44</v>
      </c>
      <c r="K8495" t="s">
        <v>36</v>
      </c>
      <c r="L8495" t="s">
        <v>45</v>
      </c>
      <c r="M8495">
        <v>0</v>
      </c>
      <c r="N8495">
        <v>0</v>
      </c>
      <c r="O8495">
        <v>2471</v>
      </c>
      <c r="P8495">
        <v>2470</v>
      </c>
      <c r="Q8495">
        <f>37-15</f>
        <v>22</v>
      </c>
      <c r="R8495" t="s">
        <v>46</v>
      </c>
      <c r="S8495" t="s">
        <v>39</v>
      </c>
      <c r="AB8495" t="s">
        <v>47</v>
      </c>
      <c r="AC8495" t="s">
        <v>41</v>
      </c>
    </row>
    <row r="8496" spans="1:30" x14ac:dyDescent="0.35">
      <c r="A8496" s="7">
        <v>43326</v>
      </c>
      <c r="B8496" t="s">
        <v>30</v>
      </c>
      <c r="C8496">
        <v>701</v>
      </c>
      <c r="D8496">
        <v>2</v>
      </c>
      <c r="E8496">
        <v>2</v>
      </c>
      <c r="F8496" t="s">
        <v>1139</v>
      </c>
      <c r="G8496" t="s">
        <v>32</v>
      </c>
      <c r="H8496" t="s">
        <v>33</v>
      </c>
      <c r="I8496" t="s">
        <v>43</v>
      </c>
      <c r="J8496" t="s">
        <v>44</v>
      </c>
      <c r="K8496" t="s">
        <v>113</v>
      </c>
      <c r="L8496" t="s">
        <v>45</v>
      </c>
      <c r="M8496">
        <v>0</v>
      </c>
      <c r="N8496">
        <v>0</v>
      </c>
      <c r="O8496">
        <v>1043</v>
      </c>
      <c r="P8496">
        <v>1042</v>
      </c>
      <c r="Q8496">
        <f>30-12</f>
        <v>18</v>
      </c>
      <c r="R8496" t="s">
        <v>46</v>
      </c>
      <c r="AB8496" t="s">
        <v>47</v>
      </c>
      <c r="AC8496" t="s">
        <v>41</v>
      </c>
    </row>
    <row r="8497" spans="1:30" x14ac:dyDescent="0.35">
      <c r="A8497" s="7">
        <v>43326</v>
      </c>
      <c r="B8497" t="s">
        <v>30</v>
      </c>
      <c r="C8497">
        <v>701</v>
      </c>
      <c r="D8497">
        <v>9</v>
      </c>
      <c r="E8497">
        <v>1</v>
      </c>
      <c r="F8497" t="s">
        <v>1139</v>
      </c>
      <c r="G8497" t="s">
        <v>32</v>
      </c>
      <c r="H8497" t="s">
        <v>33</v>
      </c>
      <c r="I8497" t="s">
        <v>43</v>
      </c>
      <c r="J8497" t="s">
        <v>44</v>
      </c>
      <c r="K8497" t="s">
        <v>113</v>
      </c>
      <c r="L8497" t="s">
        <v>37</v>
      </c>
      <c r="M8497">
        <v>0</v>
      </c>
      <c r="N8497">
        <v>0</v>
      </c>
      <c r="O8497">
        <v>1522</v>
      </c>
      <c r="P8497">
        <v>1521</v>
      </c>
      <c r="Q8497">
        <f>33.5-19.5</f>
        <v>14</v>
      </c>
      <c r="R8497" t="s">
        <v>64</v>
      </c>
      <c r="AB8497" t="s">
        <v>47</v>
      </c>
      <c r="AC8497" t="s">
        <v>41</v>
      </c>
      <c r="AD8497" t="s">
        <v>1284</v>
      </c>
    </row>
    <row r="8498" spans="1:30" x14ac:dyDescent="0.35">
      <c r="A8498" s="7">
        <v>43326</v>
      </c>
      <c r="B8498" t="s">
        <v>30</v>
      </c>
      <c r="C8498">
        <v>703</v>
      </c>
      <c r="D8498">
        <v>1</v>
      </c>
      <c r="E8498">
        <v>1</v>
      </c>
      <c r="F8498" t="s">
        <v>1139</v>
      </c>
      <c r="G8498" t="s">
        <v>32</v>
      </c>
      <c r="H8498" t="s">
        <v>33</v>
      </c>
      <c r="I8498" t="s">
        <v>43</v>
      </c>
      <c r="J8498" t="s">
        <v>35</v>
      </c>
      <c r="K8498" t="s">
        <v>88</v>
      </c>
      <c r="L8498" t="s">
        <v>45</v>
      </c>
      <c r="M8498">
        <v>0</v>
      </c>
      <c r="N8498">
        <v>1</v>
      </c>
      <c r="O8498">
        <v>1557</v>
      </c>
      <c r="P8498">
        <v>1556</v>
      </c>
      <c r="Q8498">
        <f>26-12</f>
        <v>14</v>
      </c>
      <c r="R8498" t="s">
        <v>46</v>
      </c>
      <c r="S8498" t="s">
        <v>39</v>
      </c>
      <c r="AB8498" t="s">
        <v>47</v>
      </c>
      <c r="AC8498" t="s">
        <v>41</v>
      </c>
    </row>
    <row r="8499" spans="1:30" x14ac:dyDescent="0.35">
      <c r="A8499" s="7">
        <v>43326</v>
      </c>
      <c r="B8499" t="s">
        <v>30</v>
      </c>
      <c r="C8499">
        <v>703</v>
      </c>
      <c r="D8499">
        <v>5</v>
      </c>
      <c r="E8499">
        <v>1</v>
      </c>
      <c r="F8499" t="s">
        <v>1139</v>
      </c>
      <c r="G8499" t="s">
        <v>32</v>
      </c>
      <c r="H8499" t="s">
        <v>33</v>
      </c>
      <c r="I8499" t="s">
        <v>43</v>
      </c>
      <c r="J8499" t="s">
        <v>44</v>
      </c>
      <c r="K8499" t="s">
        <v>113</v>
      </c>
      <c r="L8499" t="s">
        <v>45</v>
      </c>
      <c r="M8499">
        <v>0</v>
      </c>
      <c r="N8499">
        <v>0</v>
      </c>
      <c r="O8499">
        <v>1464</v>
      </c>
      <c r="P8499">
        <v>1463</v>
      </c>
      <c r="Q8499">
        <f>31-17</f>
        <v>14</v>
      </c>
      <c r="R8499" t="s">
        <v>46</v>
      </c>
      <c r="S8499" t="s">
        <v>39</v>
      </c>
      <c r="Z8499" t="s">
        <v>102</v>
      </c>
      <c r="AB8499" t="s">
        <v>47</v>
      </c>
      <c r="AC8499" t="s">
        <v>41</v>
      </c>
    </row>
    <row r="8500" spans="1:30" x14ac:dyDescent="0.35">
      <c r="A8500" s="7">
        <v>43326</v>
      </c>
      <c r="B8500" t="s">
        <v>30</v>
      </c>
      <c r="C8500">
        <v>703</v>
      </c>
      <c r="D8500">
        <v>5</v>
      </c>
      <c r="E8500">
        <v>2</v>
      </c>
      <c r="F8500" t="s">
        <v>1139</v>
      </c>
      <c r="G8500" t="s">
        <v>32</v>
      </c>
      <c r="H8500" t="s">
        <v>33</v>
      </c>
      <c r="I8500" t="s">
        <v>43</v>
      </c>
      <c r="J8500" t="s">
        <v>44</v>
      </c>
      <c r="K8500" t="s">
        <v>36</v>
      </c>
      <c r="L8500" t="s">
        <v>37</v>
      </c>
      <c r="M8500">
        <v>0</v>
      </c>
      <c r="N8500">
        <v>0</v>
      </c>
      <c r="O8500">
        <v>2456</v>
      </c>
      <c r="P8500">
        <v>2455</v>
      </c>
      <c r="Q8500">
        <f>39-17</f>
        <v>22</v>
      </c>
      <c r="R8500" t="s">
        <v>38</v>
      </c>
      <c r="AB8500" t="s">
        <v>47</v>
      </c>
      <c r="AC8500" t="s">
        <v>41</v>
      </c>
    </row>
    <row r="8501" spans="1:30" x14ac:dyDescent="0.35">
      <c r="A8501" s="7">
        <v>43326</v>
      </c>
      <c r="B8501" t="s">
        <v>30</v>
      </c>
      <c r="C8501">
        <v>703</v>
      </c>
      <c r="D8501">
        <v>7</v>
      </c>
      <c r="E8501">
        <v>1</v>
      </c>
      <c r="F8501" t="s">
        <v>1139</v>
      </c>
      <c r="G8501" t="s">
        <v>32</v>
      </c>
      <c r="H8501" t="s">
        <v>33</v>
      </c>
      <c r="I8501" t="s">
        <v>43</v>
      </c>
      <c r="J8501" t="s">
        <v>44</v>
      </c>
      <c r="K8501" t="s">
        <v>113</v>
      </c>
      <c r="L8501" t="s">
        <v>37</v>
      </c>
      <c r="M8501">
        <v>0</v>
      </c>
      <c r="N8501">
        <v>0</v>
      </c>
      <c r="O8501">
        <v>1029</v>
      </c>
      <c r="P8501">
        <v>1028</v>
      </c>
      <c r="Q8501">
        <f>34-20</f>
        <v>14</v>
      </c>
      <c r="R8501" t="s">
        <v>64</v>
      </c>
      <c r="Z8501" t="s">
        <v>102</v>
      </c>
      <c r="AB8501" t="s">
        <v>47</v>
      </c>
      <c r="AC8501" t="s">
        <v>41</v>
      </c>
    </row>
    <row r="8502" spans="1:30" x14ac:dyDescent="0.35">
      <c r="A8502" s="7">
        <v>43326</v>
      </c>
      <c r="B8502" t="s">
        <v>30</v>
      </c>
      <c r="C8502">
        <v>703</v>
      </c>
      <c r="D8502">
        <v>9</v>
      </c>
      <c r="E8502">
        <v>2</v>
      </c>
      <c r="F8502" t="s">
        <v>1139</v>
      </c>
      <c r="G8502" t="s">
        <v>32</v>
      </c>
      <c r="H8502" t="s">
        <v>33</v>
      </c>
      <c r="I8502" t="s">
        <v>43</v>
      </c>
      <c r="J8502" t="s">
        <v>44</v>
      </c>
      <c r="K8502" t="s">
        <v>36</v>
      </c>
      <c r="L8502" t="s">
        <v>45</v>
      </c>
      <c r="M8502">
        <v>0</v>
      </c>
      <c r="N8502">
        <v>0</v>
      </c>
      <c r="O8502">
        <v>2469</v>
      </c>
      <c r="P8502">
        <v>2468</v>
      </c>
      <c r="Q8502">
        <f>37.5-21</f>
        <v>16.5</v>
      </c>
      <c r="R8502" t="s">
        <v>46</v>
      </c>
      <c r="S8502" t="s">
        <v>39</v>
      </c>
      <c r="AB8502" t="s">
        <v>47</v>
      </c>
      <c r="AC8502" t="s">
        <v>41</v>
      </c>
    </row>
    <row r="8503" spans="1:30" x14ac:dyDescent="0.35">
      <c r="A8503" s="7">
        <v>43326</v>
      </c>
      <c r="B8503" t="s">
        <v>30</v>
      </c>
      <c r="C8503">
        <v>703</v>
      </c>
      <c r="D8503">
        <v>10</v>
      </c>
      <c r="E8503">
        <v>2</v>
      </c>
      <c r="F8503" t="s">
        <v>1139</v>
      </c>
      <c r="G8503" t="s">
        <v>32</v>
      </c>
      <c r="H8503" t="s">
        <v>33</v>
      </c>
      <c r="I8503" t="s">
        <v>43</v>
      </c>
      <c r="J8503" t="s">
        <v>44</v>
      </c>
      <c r="K8503" t="s">
        <v>36</v>
      </c>
      <c r="L8503" t="s">
        <v>45</v>
      </c>
      <c r="M8503">
        <v>0</v>
      </c>
      <c r="N8503">
        <v>0</v>
      </c>
      <c r="O8503">
        <v>39771</v>
      </c>
      <c r="P8503">
        <v>39770</v>
      </c>
      <c r="Q8503">
        <f>41-22</f>
        <v>19</v>
      </c>
      <c r="R8503" t="s">
        <v>46</v>
      </c>
      <c r="S8503" t="s">
        <v>39</v>
      </c>
      <c r="AB8503" t="s">
        <v>47</v>
      </c>
      <c r="AC8503" t="s">
        <v>41</v>
      </c>
    </row>
    <row r="8504" spans="1:30" x14ac:dyDescent="0.35">
      <c r="A8504" s="7">
        <v>43326</v>
      </c>
      <c r="B8504" t="s">
        <v>30</v>
      </c>
      <c r="C8504">
        <v>801</v>
      </c>
      <c r="D8504">
        <v>2</v>
      </c>
      <c r="E8504">
        <v>1</v>
      </c>
      <c r="F8504" t="s">
        <v>1139</v>
      </c>
      <c r="G8504" t="s">
        <v>32</v>
      </c>
      <c r="H8504" t="s">
        <v>33</v>
      </c>
      <c r="I8504" t="s">
        <v>43</v>
      </c>
      <c r="J8504" t="s">
        <v>44</v>
      </c>
      <c r="K8504" t="s">
        <v>88</v>
      </c>
      <c r="L8504" t="s">
        <v>45</v>
      </c>
      <c r="M8504">
        <v>0</v>
      </c>
      <c r="N8504">
        <v>0</v>
      </c>
      <c r="O8504">
        <v>1370</v>
      </c>
      <c r="P8504">
        <v>1369</v>
      </c>
      <c r="Q8504">
        <f>26-12</f>
        <v>14</v>
      </c>
      <c r="R8504" t="s">
        <v>46</v>
      </c>
      <c r="S8504" t="s">
        <v>39</v>
      </c>
      <c r="AB8504" t="s">
        <v>47</v>
      </c>
      <c r="AC8504" t="s">
        <v>41</v>
      </c>
    </row>
    <row r="8505" spans="1:30" x14ac:dyDescent="0.35">
      <c r="A8505" s="7">
        <v>43326</v>
      </c>
      <c r="B8505" t="s">
        <v>30</v>
      </c>
      <c r="C8505">
        <v>801</v>
      </c>
      <c r="D8505">
        <v>3</v>
      </c>
      <c r="E8505">
        <v>1</v>
      </c>
      <c r="F8505" t="s">
        <v>1139</v>
      </c>
      <c r="G8505" t="s">
        <v>32</v>
      </c>
      <c r="H8505" t="s">
        <v>33</v>
      </c>
      <c r="I8505" t="s">
        <v>43</v>
      </c>
      <c r="J8505" t="s">
        <v>35</v>
      </c>
      <c r="K8505" t="s">
        <v>88</v>
      </c>
      <c r="L8505" t="s">
        <v>45</v>
      </c>
      <c r="M8505">
        <v>0</v>
      </c>
      <c r="N8505">
        <v>1</v>
      </c>
      <c r="O8505">
        <v>1560</v>
      </c>
      <c r="P8505">
        <v>1559</v>
      </c>
      <c r="Q8505">
        <f>27.5-13</f>
        <v>14.5</v>
      </c>
      <c r="R8505" t="s">
        <v>46</v>
      </c>
      <c r="S8505" t="s">
        <v>39</v>
      </c>
      <c r="AB8505" t="s">
        <v>47</v>
      </c>
      <c r="AC8505" t="s">
        <v>41</v>
      </c>
    </row>
    <row r="8506" spans="1:30" x14ac:dyDescent="0.35">
      <c r="A8506" s="7">
        <v>43326</v>
      </c>
      <c r="B8506" t="s">
        <v>30</v>
      </c>
      <c r="C8506">
        <v>801</v>
      </c>
      <c r="D8506">
        <v>3</v>
      </c>
      <c r="E8506">
        <v>2</v>
      </c>
      <c r="F8506" t="s">
        <v>1139</v>
      </c>
      <c r="G8506" t="s">
        <v>32</v>
      </c>
      <c r="H8506" t="s">
        <v>33</v>
      </c>
      <c r="I8506" t="s">
        <v>43</v>
      </c>
      <c r="J8506" t="s">
        <v>44</v>
      </c>
      <c r="K8506" t="s">
        <v>113</v>
      </c>
      <c r="L8506" t="s">
        <v>45</v>
      </c>
      <c r="M8506">
        <v>0</v>
      </c>
      <c r="N8506">
        <v>0</v>
      </c>
      <c r="O8506">
        <v>1364</v>
      </c>
      <c r="P8506">
        <v>1363</v>
      </c>
      <c r="Q8506">
        <f>29-13</f>
        <v>16</v>
      </c>
      <c r="R8506" t="s">
        <v>46</v>
      </c>
      <c r="S8506" t="s">
        <v>39</v>
      </c>
      <c r="AB8506" t="s">
        <v>47</v>
      </c>
      <c r="AC8506" t="s">
        <v>41</v>
      </c>
    </row>
    <row r="8507" spans="1:30" x14ac:dyDescent="0.35">
      <c r="A8507" s="7">
        <v>43326</v>
      </c>
      <c r="B8507" t="s">
        <v>30</v>
      </c>
      <c r="C8507">
        <v>801</v>
      </c>
      <c r="D8507">
        <v>4</v>
      </c>
      <c r="E8507">
        <v>1</v>
      </c>
      <c r="F8507" t="s">
        <v>1139</v>
      </c>
      <c r="G8507" t="s">
        <v>32</v>
      </c>
      <c r="H8507" t="s">
        <v>33</v>
      </c>
      <c r="I8507" t="s">
        <v>43</v>
      </c>
      <c r="J8507" t="s">
        <v>44</v>
      </c>
      <c r="K8507" t="s">
        <v>88</v>
      </c>
      <c r="L8507" t="s">
        <v>37</v>
      </c>
      <c r="M8507">
        <v>0</v>
      </c>
      <c r="N8507">
        <v>0</v>
      </c>
      <c r="O8507">
        <v>1525</v>
      </c>
      <c r="P8507">
        <v>1524</v>
      </c>
      <c r="Q8507">
        <f>27.5-13</f>
        <v>14.5</v>
      </c>
      <c r="R8507" t="s">
        <v>64</v>
      </c>
      <c r="AB8507" t="s">
        <v>47</v>
      </c>
      <c r="AC8507" t="s">
        <v>41</v>
      </c>
    </row>
    <row r="8508" spans="1:30" x14ac:dyDescent="0.35">
      <c r="A8508" s="7">
        <v>43326</v>
      </c>
      <c r="B8508" t="s">
        <v>30</v>
      </c>
      <c r="C8508">
        <v>801</v>
      </c>
      <c r="D8508">
        <v>5</v>
      </c>
      <c r="E8508">
        <v>1</v>
      </c>
      <c r="F8508" t="s">
        <v>1139</v>
      </c>
      <c r="G8508" t="s">
        <v>32</v>
      </c>
      <c r="H8508" t="s">
        <v>33</v>
      </c>
      <c r="I8508" t="s">
        <v>43</v>
      </c>
      <c r="J8508" t="s">
        <v>44</v>
      </c>
      <c r="K8508" t="s">
        <v>88</v>
      </c>
      <c r="L8508" t="s">
        <v>37</v>
      </c>
      <c r="M8508">
        <v>0</v>
      </c>
      <c r="N8508">
        <v>0</v>
      </c>
      <c r="O8508">
        <v>1356</v>
      </c>
      <c r="P8508">
        <v>1355</v>
      </c>
      <c r="Q8508">
        <f>28-15</f>
        <v>13</v>
      </c>
      <c r="R8508" t="s">
        <v>64</v>
      </c>
      <c r="AB8508" t="s">
        <v>47</v>
      </c>
      <c r="AC8508" t="s">
        <v>41</v>
      </c>
    </row>
    <row r="8509" spans="1:30" x14ac:dyDescent="0.35">
      <c r="A8509" s="7">
        <v>43326</v>
      </c>
      <c r="B8509" t="s">
        <v>30</v>
      </c>
      <c r="C8509">
        <v>801</v>
      </c>
      <c r="D8509">
        <v>5</v>
      </c>
      <c r="E8509">
        <v>2</v>
      </c>
      <c r="F8509" t="s">
        <v>1139</v>
      </c>
      <c r="G8509" t="s">
        <v>32</v>
      </c>
      <c r="H8509" t="s">
        <v>33</v>
      </c>
      <c r="I8509" t="s">
        <v>43</v>
      </c>
      <c r="J8509" t="s">
        <v>35</v>
      </c>
      <c r="K8509" t="s">
        <v>88</v>
      </c>
      <c r="L8509" t="s">
        <v>45</v>
      </c>
      <c r="M8509">
        <v>0</v>
      </c>
      <c r="N8509">
        <v>1</v>
      </c>
      <c r="O8509">
        <v>1562</v>
      </c>
      <c r="P8509">
        <v>1561</v>
      </c>
      <c r="Q8509">
        <f>28-14</f>
        <v>14</v>
      </c>
      <c r="R8509" t="s">
        <v>46</v>
      </c>
      <c r="S8509" t="s">
        <v>39</v>
      </c>
      <c r="AB8509" t="s">
        <v>47</v>
      </c>
      <c r="AC8509" t="s">
        <v>41</v>
      </c>
    </row>
    <row r="8510" spans="1:30" x14ac:dyDescent="0.35">
      <c r="A8510" s="7">
        <v>43326</v>
      </c>
      <c r="B8510" t="s">
        <v>30</v>
      </c>
      <c r="C8510">
        <v>801</v>
      </c>
      <c r="D8510">
        <v>5</v>
      </c>
      <c r="E8510">
        <v>2</v>
      </c>
      <c r="F8510" t="s">
        <v>1139</v>
      </c>
      <c r="G8510" t="s">
        <v>32</v>
      </c>
      <c r="H8510" t="s">
        <v>33</v>
      </c>
      <c r="I8510" t="s">
        <v>43</v>
      </c>
      <c r="J8510" t="s">
        <v>35</v>
      </c>
      <c r="K8510" t="s">
        <v>88</v>
      </c>
      <c r="L8510" t="s">
        <v>37</v>
      </c>
      <c r="M8510">
        <v>0</v>
      </c>
      <c r="N8510">
        <v>1</v>
      </c>
      <c r="O8510">
        <v>1564</v>
      </c>
      <c r="P8510">
        <v>1563</v>
      </c>
      <c r="Q8510">
        <f>23-10.5</f>
        <v>12.5</v>
      </c>
      <c r="R8510" t="s">
        <v>64</v>
      </c>
      <c r="AB8510" t="s">
        <v>47</v>
      </c>
      <c r="AC8510" t="s">
        <v>41</v>
      </c>
    </row>
    <row r="8511" spans="1:30" x14ac:dyDescent="0.35">
      <c r="A8511" s="7">
        <v>43326</v>
      </c>
      <c r="B8511" t="s">
        <v>30</v>
      </c>
      <c r="C8511">
        <v>801</v>
      </c>
      <c r="D8511">
        <v>6</v>
      </c>
      <c r="E8511">
        <v>1</v>
      </c>
      <c r="F8511" t="s">
        <v>1139</v>
      </c>
      <c r="G8511" t="s">
        <v>32</v>
      </c>
      <c r="H8511" t="s">
        <v>33</v>
      </c>
      <c r="I8511" t="s">
        <v>43</v>
      </c>
      <c r="J8511" t="s">
        <v>44</v>
      </c>
      <c r="K8511" t="s">
        <v>36</v>
      </c>
      <c r="L8511" t="s">
        <v>45</v>
      </c>
      <c r="M8511">
        <v>0</v>
      </c>
      <c r="N8511">
        <v>0</v>
      </c>
      <c r="O8511">
        <v>2425</v>
      </c>
      <c r="P8511">
        <v>2424</v>
      </c>
      <c r="Q8511">
        <f>30-11</f>
        <v>19</v>
      </c>
      <c r="R8511" t="s">
        <v>46</v>
      </c>
      <c r="S8511" t="s">
        <v>39</v>
      </c>
      <c r="AB8511" t="s">
        <v>47</v>
      </c>
      <c r="AC8511" t="s">
        <v>41</v>
      </c>
      <c r="AD8511" t="s">
        <v>1285</v>
      </c>
    </row>
    <row r="8512" spans="1:30" x14ac:dyDescent="0.35">
      <c r="A8512" s="7">
        <v>43326</v>
      </c>
      <c r="B8512" t="s">
        <v>30</v>
      </c>
      <c r="C8512">
        <v>801</v>
      </c>
      <c r="D8512">
        <v>9</v>
      </c>
      <c r="E8512">
        <v>1</v>
      </c>
      <c r="F8512" t="s">
        <v>1139</v>
      </c>
      <c r="G8512" t="s">
        <v>32</v>
      </c>
      <c r="H8512" t="s">
        <v>33</v>
      </c>
      <c r="I8512" t="s">
        <v>43</v>
      </c>
      <c r="J8512" t="s">
        <v>35</v>
      </c>
      <c r="K8512" t="s">
        <v>88</v>
      </c>
      <c r="L8512" t="s">
        <v>37</v>
      </c>
      <c r="M8512">
        <v>0</v>
      </c>
      <c r="N8512">
        <v>1</v>
      </c>
      <c r="O8512">
        <v>1566</v>
      </c>
      <c r="P8512">
        <v>1565</v>
      </c>
      <c r="Q8512">
        <f>28-11.5</f>
        <v>16.5</v>
      </c>
      <c r="R8512" t="s">
        <v>64</v>
      </c>
      <c r="AB8512" t="s">
        <v>47</v>
      </c>
      <c r="AC8512" t="s">
        <v>41</v>
      </c>
    </row>
    <row r="8513" spans="1:30" x14ac:dyDescent="0.35">
      <c r="A8513" s="7">
        <v>43326</v>
      </c>
      <c r="B8513" t="s">
        <v>30</v>
      </c>
      <c r="C8513">
        <v>801</v>
      </c>
      <c r="D8513">
        <v>9</v>
      </c>
      <c r="E8513">
        <v>2</v>
      </c>
      <c r="F8513" t="s">
        <v>1139</v>
      </c>
      <c r="G8513" t="s">
        <v>32</v>
      </c>
      <c r="H8513" t="s">
        <v>33</v>
      </c>
      <c r="I8513" t="s">
        <v>43</v>
      </c>
      <c r="J8513" t="s">
        <v>35</v>
      </c>
      <c r="K8513" t="s">
        <v>88</v>
      </c>
      <c r="L8513" t="s">
        <v>37</v>
      </c>
      <c r="M8513">
        <v>0</v>
      </c>
      <c r="N8513">
        <v>1</v>
      </c>
      <c r="O8513">
        <v>1568</v>
      </c>
      <c r="P8513">
        <v>1567</v>
      </c>
      <c r="Q8513">
        <f>27-12</f>
        <v>15</v>
      </c>
      <c r="R8513" t="s">
        <v>64</v>
      </c>
      <c r="AB8513" t="s">
        <v>47</v>
      </c>
      <c r="AC8513" t="s">
        <v>41</v>
      </c>
    </row>
    <row r="8514" spans="1:30" x14ac:dyDescent="0.35">
      <c r="A8514" s="7">
        <v>43326</v>
      </c>
      <c r="B8514" t="s">
        <v>30</v>
      </c>
      <c r="C8514">
        <v>801</v>
      </c>
      <c r="D8514">
        <v>10</v>
      </c>
      <c r="E8514">
        <v>1</v>
      </c>
      <c r="F8514" t="s">
        <v>1139</v>
      </c>
      <c r="G8514" t="s">
        <v>32</v>
      </c>
      <c r="H8514" t="s">
        <v>33</v>
      </c>
      <c r="I8514" t="s">
        <v>43</v>
      </c>
      <c r="J8514" t="s">
        <v>44</v>
      </c>
      <c r="K8514" t="s">
        <v>36</v>
      </c>
      <c r="L8514" t="s">
        <v>37</v>
      </c>
      <c r="M8514">
        <v>0</v>
      </c>
      <c r="N8514">
        <v>0</v>
      </c>
      <c r="O8514">
        <v>1168</v>
      </c>
      <c r="P8514">
        <v>1167</v>
      </c>
      <c r="Q8514">
        <f>31-13</f>
        <v>18</v>
      </c>
      <c r="R8514" t="s">
        <v>38</v>
      </c>
      <c r="AB8514" t="s">
        <v>47</v>
      </c>
      <c r="AC8514" t="s">
        <v>41</v>
      </c>
    </row>
    <row r="8515" spans="1:30" x14ac:dyDescent="0.35">
      <c r="A8515" s="7">
        <v>43326</v>
      </c>
      <c r="B8515" t="s">
        <v>30</v>
      </c>
      <c r="C8515">
        <v>803</v>
      </c>
      <c r="D8515">
        <v>6</v>
      </c>
      <c r="E8515">
        <v>2</v>
      </c>
      <c r="F8515" t="s">
        <v>1139</v>
      </c>
      <c r="G8515" t="s">
        <v>32</v>
      </c>
      <c r="H8515" t="s">
        <v>33</v>
      </c>
      <c r="I8515" t="s">
        <v>43</v>
      </c>
      <c r="J8515" t="s">
        <v>44</v>
      </c>
      <c r="K8515" t="s">
        <v>36</v>
      </c>
      <c r="L8515" t="s">
        <v>37</v>
      </c>
      <c r="M8515">
        <v>0</v>
      </c>
      <c r="N8515">
        <v>0</v>
      </c>
      <c r="O8515">
        <v>1358</v>
      </c>
      <c r="P8515">
        <v>1357</v>
      </c>
      <c r="Q8515">
        <f>34-15</f>
        <v>19</v>
      </c>
      <c r="R8515" t="s">
        <v>38</v>
      </c>
      <c r="AB8515" t="s">
        <v>47</v>
      </c>
      <c r="AC8515" t="s">
        <v>41</v>
      </c>
    </row>
    <row r="8516" spans="1:30" x14ac:dyDescent="0.35">
      <c r="A8516" s="7">
        <v>43326</v>
      </c>
      <c r="B8516" t="s">
        <v>30</v>
      </c>
      <c r="C8516">
        <v>803</v>
      </c>
      <c r="D8516">
        <v>7</v>
      </c>
      <c r="E8516">
        <v>1</v>
      </c>
      <c r="F8516" t="s">
        <v>1139</v>
      </c>
      <c r="G8516" t="s">
        <v>32</v>
      </c>
      <c r="H8516" t="s">
        <v>33</v>
      </c>
      <c r="I8516" t="s">
        <v>43</v>
      </c>
      <c r="J8516" t="s">
        <v>44</v>
      </c>
      <c r="K8516" t="s">
        <v>113</v>
      </c>
      <c r="L8516" t="s">
        <v>37</v>
      </c>
      <c r="M8516">
        <v>0</v>
      </c>
      <c r="N8516">
        <v>0</v>
      </c>
      <c r="O8516">
        <v>1552</v>
      </c>
      <c r="P8516">
        <v>1551</v>
      </c>
      <c r="Q8516">
        <f>30-14</f>
        <v>16</v>
      </c>
      <c r="R8516" t="s">
        <v>64</v>
      </c>
      <c r="AB8516" t="s">
        <v>47</v>
      </c>
      <c r="AC8516" t="s">
        <v>41</v>
      </c>
    </row>
    <row r="8517" spans="1:30" x14ac:dyDescent="0.35">
      <c r="A8517" s="7">
        <v>43326</v>
      </c>
      <c r="B8517" t="s">
        <v>30</v>
      </c>
      <c r="C8517">
        <v>901</v>
      </c>
      <c r="D8517">
        <v>1</v>
      </c>
      <c r="E8517">
        <v>1</v>
      </c>
      <c r="F8517" t="s">
        <v>1139</v>
      </c>
      <c r="G8517" t="s">
        <v>32</v>
      </c>
      <c r="H8517" t="s">
        <v>33</v>
      </c>
      <c r="I8517" t="s">
        <v>43</v>
      </c>
      <c r="J8517" t="s">
        <v>44</v>
      </c>
      <c r="K8517" t="s">
        <v>36</v>
      </c>
      <c r="L8517" t="s">
        <v>37</v>
      </c>
      <c r="M8517">
        <v>0</v>
      </c>
      <c r="N8517">
        <v>0</v>
      </c>
      <c r="O8517">
        <v>1394</v>
      </c>
      <c r="P8517">
        <v>1393</v>
      </c>
      <c r="Q8517">
        <f>34-15</f>
        <v>19</v>
      </c>
      <c r="R8517" t="s">
        <v>38</v>
      </c>
      <c r="AB8517" t="s">
        <v>47</v>
      </c>
      <c r="AC8517" t="s">
        <v>41</v>
      </c>
    </row>
    <row r="8518" spans="1:30" x14ac:dyDescent="0.35">
      <c r="A8518" s="7">
        <v>43326</v>
      </c>
      <c r="B8518" t="s">
        <v>30</v>
      </c>
      <c r="C8518">
        <v>901</v>
      </c>
      <c r="D8518">
        <v>2</v>
      </c>
      <c r="E8518">
        <v>1</v>
      </c>
      <c r="F8518" t="s">
        <v>1139</v>
      </c>
      <c r="G8518" t="s">
        <v>32</v>
      </c>
      <c r="H8518" t="s">
        <v>33</v>
      </c>
      <c r="I8518" t="s">
        <v>43</v>
      </c>
      <c r="J8518" t="s">
        <v>44</v>
      </c>
      <c r="K8518" t="s">
        <v>36</v>
      </c>
      <c r="L8518" t="s">
        <v>37</v>
      </c>
      <c r="M8518">
        <v>0</v>
      </c>
      <c r="N8518">
        <v>0</v>
      </c>
      <c r="O8518">
        <v>1075</v>
      </c>
      <c r="P8518">
        <v>1074</v>
      </c>
      <c r="Q8518">
        <f>37-17</f>
        <v>20</v>
      </c>
      <c r="R8518" t="s">
        <v>38</v>
      </c>
      <c r="AB8518" t="s">
        <v>47</v>
      </c>
      <c r="AC8518" t="s">
        <v>41</v>
      </c>
      <c r="AD8518" t="s">
        <v>885</v>
      </c>
    </row>
    <row r="8519" spans="1:30" x14ac:dyDescent="0.35">
      <c r="A8519" s="7">
        <v>43326</v>
      </c>
      <c r="B8519" t="s">
        <v>30</v>
      </c>
      <c r="C8519">
        <v>401</v>
      </c>
      <c r="D8519">
        <v>1</v>
      </c>
      <c r="E8519">
        <v>1</v>
      </c>
      <c r="F8519" t="s">
        <v>1170</v>
      </c>
      <c r="G8519" t="s">
        <v>32</v>
      </c>
      <c r="H8519" t="s">
        <v>33</v>
      </c>
      <c r="I8519" t="s">
        <v>34</v>
      </c>
      <c r="J8519" t="s">
        <v>44</v>
      </c>
      <c r="K8519" t="s">
        <v>36</v>
      </c>
      <c r="L8519" t="s">
        <v>45</v>
      </c>
      <c r="M8519">
        <v>0</v>
      </c>
      <c r="N8519">
        <v>0</v>
      </c>
      <c r="O8519">
        <v>1961</v>
      </c>
      <c r="Q8519">
        <f>138-49</f>
        <v>89</v>
      </c>
      <c r="R8519" t="s">
        <v>46</v>
      </c>
      <c r="S8519" t="s">
        <v>39</v>
      </c>
      <c r="AB8519" t="s">
        <v>47</v>
      </c>
      <c r="AC8519" t="s">
        <v>87</v>
      </c>
    </row>
    <row r="8520" spans="1:30" x14ac:dyDescent="0.35">
      <c r="A8520" s="7">
        <v>43326</v>
      </c>
      <c r="B8520" t="s">
        <v>30</v>
      </c>
      <c r="C8520">
        <v>503</v>
      </c>
      <c r="D8520">
        <v>5</v>
      </c>
      <c r="E8520">
        <v>2</v>
      </c>
      <c r="F8520" t="s">
        <v>1170</v>
      </c>
      <c r="G8520" t="s">
        <v>32</v>
      </c>
      <c r="H8520" t="s">
        <v>33</v>
      </c>
      <c r="I8520" t="s">
        <v>34</v>
      </c>
      <c r="J8520" t="s">
        <v>35</v>
      </c>
      <c r="K8520" t="s">
        <v>36</v>
      </c>
      <c r="L8520" t="s">
        <v>45</v>
      </c>
      <c r="M8520">
        <v>0</v>
      </c>
      <c r="N8520">
        <v>1</v>
      </c>
      <c r="O8520">
        <v>1209</v>
      </c>
      <c r="Q8520">
        <f>150-62</f>
        <v>88</v>
      </c>
      <c r="R8520" t="s">
        <v>46</v>
      </c>
      <c r="AB8520" t="s">
        <v>47</v>
      </c>
      <c r="AC8520" t="s">
        <v>87</v>
      </c>
    </row>
    <row r="8521" spans="1:30" x14ac:dyDescent="0.35">
      <c r="A8521" s="7">
        <v>43326</v>
      </c>
      <c r="B8521" t="s">
        <v>30</v>
      </c>
      <c r="C8521">
        <v>801</v>
      </c>
      <c r="D8521">
        <v>1</v>
      </c>
      <c r="E8521">
        <v>1</v>
      </c>
      <c r="F8521" t="s">
        <v>1139</v>
      </c>
      <c r="G8521" t="s">
        <v>32</v>
      </c>
      <c r="H8521" t="s">
        <v>33</v>
      </c>
      <c r="I8521" t="s">
        <v>34</v>
      </c>
      <c r="J8521" t="s">
        <v>44</v>
      </c>
      <c r="K8521" t="s">
        <v>36</v>
      </c>
      <c r="L8521" t="s">
        <v>45</v>
      </c>
      <c r="M8521">
        <v>0</v>
      </c>
      <c r="N8521">
        <v>0</v>
      </c>
      <c r="O8521">
        <v>1523</v>
      </c>
      <c r="Q8521">
        <f>175-85</f>
        <v>90</v>
      </c>
      <c r="R8521" t="s">
        <v>46</v>
      </c>
      <c r="S8521" t="s">
        <v>39</v>
      </c>
      <c r="AB8521" t="s">
        <v>47</v>
      </c>
      <c r="AC8521" t="s">
        <v>41</v>
      </c>
    </row>
    <row r="8522" spans="1:30" x14ac:dyDescent="0.35">
      <c r="A8522" s="7">
        <v>43326</v>
      </c>
      <c r="B8522" t="s">
        <v>30</v>
      </c>
      <c r="C8522">
        <v>801</v>
      </c>
      <c r="D8522">
        <v>7</v>
      </c>
      <c r="E8522">
        <v>2</v>
      </c>
      <c r="F8522" t="s">
        <v>1139</v>
      </c>
      <c r="G8522" t="s">
        <v>32</v>
      </c>
      <c r="H8522" t="s">
        <v>33</v>
      </c>
      <c r="I8522" t="s">
        <v>34</v>
      </c>
      <c r="J8522" t="s">
        <v>44</v>
      </c>
      <c r="K8522" t="s">
        <v>36</v>
      </c>
      <c r="L8522" t="s">
        <v>45</v>
      </c>
      <c r="M8522">
        <v>0</v>
      </c>
      <c r="N8522">
        <v>0</v>
      </c>
      <c r="O8522">
        <v>1097</v>
      </c>
      <c r="Q8522">
        <f>180-85</f>
        <v>95</v>
      </c>
      <c r="R8522" t="s">
        <v>46</v>
      </c>
      <c r="S8522" t="s">
        <v>39</v>
      </c>
      <c r="AB8522" t="s">
        <v>47</v>
      </c>
      <c r="AC8522" t="s">
        <v>41</v>
      </c>
    </row>
    <row r="8523" spans="1:30" x14ac:dyDescent="0.35">
      <c r="A8523" s="7">
        <v>43326</v>
      </c>
      <c r="B8523" t="s">
        <v>30</v>
      </c>
      <c r="C8523">
        <v>803</v>
      </c>
      <c r="D8523">
        <v>3</v>
      </c>
      <c r="E8523">
        <v>1</v>
      </c>
      <c r="F8523" t="s">
        <v>1139</v>
      </c>
      <c r="G8523" t="s">
        <v>32</v>
      </c>
      <c r="H8523" t="s">
        <v>33</v>
      </c>
      <c r="I8523" t="s">
        <v>34</v>
      </c>
      <c r="J8523" t="s">
        <v>44</v>
      </c>
      <c r="K8523" t="s">
        <v>36</v>
      </c>
      <c r="L8523" t="s">
        <v>37</v>
      </c>
      <c r="M8523">
        <v>0</v>
      </c>
      <c r="N8523">
        <v>0</v>
      </c>
      <c r="O8523">
        <v>1324</v>
      </c>
      <c r="Q8523">
        <f>165-85</f>
        <v>80</v>
      </c>
      <c r="R8523" t="s">
        <v>38</v>
      </c>
      <c r="AB8523" t="s">
        <v>47</v>
      </c>
      <c r="AC8523" t="s">
        <v>41</v>
      </c>
    </row>
    <row r="8524" spans="1:30" x14ac:dyDescent="0.35">
      <c r="A8524" s="7">
        <v>43326</v>
      </c>
      <c r="B8524" t="s">
        <v>30</v>
      </c>
      <c r="C8524">
        <v>803</v>
      </c>
      <c r="D8524">
        <v>6</v>
      </c>
      <c r="E8524">
        <v>1</v>
      </c>
      <c r="F8524" t="s">
        <v>1139</v>
      </c>
      <c r="G8524" t="s">
        <v>32</v>
      </c>
      <c r="H8524" t="s">
        <v>33</v>
      </c>
      <c r="I8524" t="s">
        <v>34</v>
      </c>
      <c r="J8524" t="s">
        <v>44</v>
      </c>
      <c r="K8524" t="s">
        <v>36</v>
      </c>
      <c r="L8524" t="s">
        <v>45</v>
      </c>
      <c r="M8524">
        <v>0</v>
      </c>
      <c r="N8524">
        <v>0</v>
      </c>
      <c r="O8524">
        <v>1091</v>
      </c>
      <c r="Q8524">
        <f>175-85</f>
        <v>90</v>
      </c>
      <c r="R8524" t="s">
        <v>46</v>
      </c>
      <c r="S8524" t="s">
        <v>39</v>
      </c>
      <c r="AB8524" t="s">
        <v>47</v>
      </c>
      <c r="AC8524" t="s">
        <v>41</v>
      </c>
    </row>
    <row r="8525" spans="1:30" x14ac:dyDescent="0.35">
      <c r="A8525" s="7">
        <v>43326</v>
      </c>
      <c r="B8525" t="s">
        <v>30</v>
      </c>
      <c r="C8525">
        <v>803</v>
      </c>
      <c r="D8525">
        <v>9</v>
      </c>
      <c r="E8525">
        <v>1</v>
      </c>
      <c r="F8525" t="s">
        <v>1139</v>
      </c>
      <c r="G8525" t="s">
        <v>32</v>
      </c>
      <c r="H8525" t="s">
        <v>33</v>
      </c>
      <c r="I8525" t="s">
        <v>34</v>
      </c>
      <c r="J8525" t="s">
        <v>44</v>
      </c>
      <c r="K8525" t="s">
        <v>36</v>
      </c>
      <c r="L8525" t="s">
        <v>45</v>
      </c>
      <c r="M8525">
        <v>0</v>
      </c>
      <c r="N8525">
        <v>0</v>
      </c>
      <c r="O8525">
        <v>1035</v>
      </c>
      <c r="Q8525">
        <f>175-85</f>
        <v>90</v>
      </c>
      <c r="R8525" t="s">
        <v>46</v>
      </c>
      <c r="S8525" t="s">
        <v>39</v>
      </c>
      <c r="AB8525" t="s">
        <v>47</v>
      </c>
      <c r="AC8525" t="s">
        <v>41</v>
      </c>
    </row>
    <row r="8526" spans="1:30" x14ac:dyDescent="0.35">
      <c r="A8526" s="7">
        <v>43326</v>
      </c>
      <c r="B8526" t="s">
        <v>30</v>
      </c>
      <c r="C8526">
        <v>501</v>
      </c>
      <c r="D8526">
        <v>5</v>
      </c>
      <c r="E8526">
        <v>1</v>
      </c>
      <c r="F8526" t="s">
        <v>1170</v>
      </c>
      <c r="G8526" t="s">
        <v>32</v>
      </c>
      <c r="H8526" t="s">
        <v>33</v>
      </c>
      <c r="I8526" t="s">
        <v>58</v>
      </c>
      <c r="J8526" t="s">
        <v>44</v>
      </c>
      <c r="K8526" t="s">
        <v>36</v>
      </c>
      <c r="L8526" t="s">
        <v>45</v>
      </c>
      <c r="M8526">
        <v>0</v>
      </c>
      <c r="N8526">
        <v>0</v>
      </c>
      <c r="O8526">
        <v>2818</v>
      </c>
      <c r="Q8526">
        <f>43-20</f>
        <v>23</v>
      </c>
      <c r="R8526" t="s">
        <v>79</v>
      </c>
      <c r="S8526" t="s">
        <v>39</v>
      </c>
      <c r="AB8526" t="s">
        <v>47</v>
      </c>
      <c r="AC8526" t="s">
        <v>87</v>
      </c>
    </row>
    <row r="8527" spans="1:30" x14ac:dyDescent="0.35">
      <c r="A8527" s="7">
        <v>43326</v>
      </c>
      <c r="B8527" t="s">
        <v>30</v>
      </c>
      <c r="C8527">
        <v>503</v>
      </c>
      <c r="D8527">
        <v>2</v>
      </c>
      <c r="E8527">
        <v>2</v>
      </c>
      <c r="F8527" t="s">
        <v>1170</v>
      </c>
      <c r="G8527" t="s">
        <v>32</v>
      </c>
      <c r="H8527" t="s">
        <v>33</v>
      </c>
      <c r="I8527" t="s">
        <v>58</v>
      </c>
      <c r="J8527" t="s">
        <v>92</v>
      </c>
      <c r="K8527" t="s">
        <v>36</v>
      </c>
      <c r="M8527">
        <v>0</v>
      </c>
      <c r="N8527">
        <v>0</v>
      </c>
      <c r="O8527">
        <v>1264</v>
      </c>
      <c r="Q8527">
        <f>38.5-17.5</f>
        <v>21</v>
      </c>
      <c r="Z8527" t="s">
        <v>102</v>
      </c>
      <c r="AB8527" t="s">
        <v>47</v>
      </c>
      <c r="AC8527" t="s">
        <v>87</v>
      </c>
    </row>
    <row r="8528" spans="1:30" x14ac:dyDescent="0.35">
      <c r="A8528" s="7">
        <v>43326</v>
      </c>
      <c r="B8528" t="s">
        <v>30</v>
      </c>
      <c r="C8528">
        <v>701</v>
      </c>
      <c r="D8528">
        <v>4</v>
      </c>
      <c r="E8528">
        <v>2</v>
      </c>
      <c r="F8528" t="s">
        <v>1139</v>
      </c>
      <c r="G8528" t="s">
        <v>32</v>
      </c>
      <c r="H8528" t="s">
        <v>33</v>
      </c>
      <c r="I8528" t="s">
        <v>58</v>
      </c>
      <c r="J8528" t="s">
        <v>35</v>
      </c>
      <c r="K8528" t="s">
        <v>36</v>
      </c>
      <c r="L8528" t="s">
        <v>37</v>
      </c>
      <c r="M8528">
        <v>0</v>
      </c>
      <c r="N8528">
        <v>1</v>
      </c>
      <c r="O8528">
        <v>1558</v>
      </c>
      <c r="Q8528">
        <f>41-16.5</f>
        <v>24.5</v>
      </c>
      <c r="R8528" t="s">
        <v>38</v>
      </c>
      <c r="Z8528" t="s">
        <v>102</v>
      </c>
      <c r="AB8528" t="s">
        <v>47</v>
      </c>
      <c r="AC8528" t="s">
        <v>41</v>
      </c>
    </row>
    <row r="8529" spans="1:29" x14ac:dyDescent="0.35">
      <c r="A8529" s="7">
        <v>43326</v>
      </c>
      <c r="B8529" t="s">
        <v>30</v>
      </c>
      <c r="C8529">
        <v>701</v>
      </c>
      <c r="D8529">
        <v>5</v>
      </c>
      <c r="E8529">
        <v>1</v>
      </c>
      <c r="F8529" t="s">
        <v>1139</v>
      </c>
      <c r="G8529" t="s">
        <v>32</v>
      </c>
      <c r="H8529" t="s">
        <v>33</v>
      </c>
      <c r="I8529" t="s">
        <v>58</v>
      </c>
      <c r="J8529" t="s">
        <v>44</v>
      </c>
      <c r="K8529" t="s">
        <v>36</v>
      </c>
      <c r="L8529" t="s">
        <v>37</v>
      </c>
      <c r="M8529">
        <v>0</v>
      </c>
      <c r="N8529">
        <v>0</v>
      </c>
      <c r="O8529">
        <v>1520</v>
      </c>
      <c r="Q8529">
        <f>40-19</f>
        <v>21</v>
      </c>
      <c r="R8529" t="s">
        <v>38</v>
      </c>
      <c r="AB8529" t="s">
        <v>47</v>
      </c>
      <c r="AC8529" t="s">
        <v>41</v>
      </c>
    </row>
    <row r="8530" spans="1:29" x14ac:dyDescent="0.35">
      <c r="A8530" s="7">
        <v>43326</v>
      </c>
      <c r="B8530" t="s">
        <v>30</v>
      </c>
      <c r="C8530">
        <v>701</v>
      </c>
      <c r="D8530">
        <v>8</v>
      </c>
      <c r="E8530">
        <v>1</v>
      </c>
      <c r="F8530" t="s">
        <v>1139</v>
      </c>
      <c r="G8530" t="s">
        <v>32</v>
      </c>
      <c r="H8530" t="s">
        <v>33</v>
      </c>
      <c r="I8530" t="s">
        <v>58</v>
      </c>
      <c r="J8530" t="s">
        <v>44</v>
      </c>
      <c r="K8530" t="s">
        <v>36</v>
      </c>
      <c r="L8530" t="s">
        <v>45</v>
      </c>
      <c r="M8530">
        <v>0</v>
      </c>
      <c r="N8530">
        <v>0</v>
      </c>
      <c r="O8530">
        <v>1271</v>
      </c>
      <c r="Q8530">
        <f>48-19</f>
        <v>29</v>
      </c>
      <c r="R8530" t="s">
        <v>46</v>
      </c>
      <c r="S8530" t="s">
        <v>39</v>
      </c>
      <c r="Z8530" t="s">
        <v>102</v>
      </c>
      <c r="AB8530" t="s">
        <v>47</v>
      </c>
      <c r="AC8530" t="s">
        <v>41</v>
      </c>
    </row>
    <row r="8531" spans="1:29" x14ac:dyDescent="0.35">
      <c r="A8531" s="7">
        <v>43326</v>
      </c>
      <c r="B8531" t="s">
        <v>30</v>
      </c>
      <c r="C8531">
        <v>401</v>
      </c>
      <c r="D8531">
        <v>4</v>
      </c>
      <c r="E8531">
        <v>1</v>
      </c>
      <c r="F8531" t="s">
        <v>1170</v>
      </c>
      <c r="G8531" t="s">
        <v>32</v>
      </c>
      <c r="H8531" t="s">
        <v>33</v>
      </c>
      <c r="I8531" t="s">
        <v>1029</v>
      </c>
      <c r="J8531" t="s">
        <v>66</v>
      </c>
      <c r="AB8531" t="s">
        <v>47</v>
      </c>
      <c r="AC8531" t="s">
        <v>87</v>
      </c>
    </row>
    <row r="8532" spans="1:29" x14ac:dyDescent="0.35">
      <c r="A8532" s="7">
        <v>43326</v>
      </c>
      <c r="B8532" t="s">
        <v>30</v>
      </c>
      <c r="C8532">
        <v>703</v>
      </c>
      <c r="D8532">
        <v>4</v>
      </c>
      <c r="E8532">
        <v>1</v>
      </c>
      <c r="F8532" t="s">
        <v>1139</v>
      </c>
      <c r="G8532" t="s">
        <v>32</v>
      </c>
      <c r="H8532" t="s">
        <v>33</v>
      </c>
      <c r="I8532" t="s">
        <v>1029</v>
      </c>
      <c r="J8532" t="s">
        <v>66</v>
      </c>
      <c r="AB8532" t="s">
        <v>47</v>
      </c>
      <c r="AC8532" t="s">
        <v>41</v>
      </c>
    </row>
    <row r="8533" spans="1:29" x14ac:dyDescent="0.35">
      <c r="A8533" s="7">
        <v>43326</v>
      </c>
      <c r="B8533" t="s">
        <v>30</v>
      </c>
      <c r="C8533">
        <v>303</v>
      </c>
      <c r="D8533">
        <v>2</v>
      </c>
      <c r="E8533">
        <v>1</v>
      </c>
      <c r="F8533" t="s">
        <v>1170</v>
      </c>
      <c r="G8533" t="s">
        <v>32</v>
      </c>
      <c r="H8533" t="s">
        <v>33</v>
      </c>
      <c r="I8533" t="s">
        <v>72</v>
      </c>
      <c r="J8533" t="s">
        <v>66</v>
      </c>
      <c r="AB8533" t="s">
        <v>47</v>
      </c>
      <c r="AC8533" t="s">
        <v>87</v>
      </c>
    </row>
    <row r="8534" spans="1:29" x14ac:dyDescent="0.35">
      <c r="A8534" s="7">
        <v>43326</v>
      </c>
      <c r="B8534" t="s">
        <v>30</v>
      </c>
      <c r="C8534">
        <v>501</v>
      </c>
      <c r="D8534">
        <v>7</v>
      </c>
      <c r="E8534">
        <v>2</v>
      </c>
      <c r="F8534" t="s">
        <v>1170</v>
      </c>
      <c r="G8534" t="s">
        <v>32</v>
      </c>
      <c r="H8534" t="s">
        <v>33</v>
      </c>
      <c r="I8534" t="s">
        <v>72</v>
      </c>
      <c r="J8534" t="s">
        <v>56</v>
      </c>
      <c r="AB8534" t="s">
        <v>47</v>
      </c>
      <c r="AC8534" t="s">
        <v>87</v>
      </c>
    </row>
    <row r="8535" spans="1:29" x14ac:dyDescent="0.35">
      <c r="A8535" s="7">
        <v>43326</v>
      </c>
      <c r="B8535" t="s">
        <v>30</v>
      </c>
      <c r="C8535">
        <v>501</v>
      </c>
      <c r="D8535">
        <v>10</v>
      </c>
      <c r="E8535">
        <v>1</v>
      </c>
      <c r="F8535" t="s">
        <v>1170</v>
      </c>
      <c r="G8535" t="s">
        <v>32</v>
      </c>
      <c r="H8535" t="s">
        <v>33</v>
      </c>
      <c r="I8535" t="s">
        <v>72</v>
      </c>
      <c r="J8535" t="s">
        <v>56</v>
      </c>
      <c r="AB8535" t="s">
        <v>47</v>
      </c>
      <c r="AC8535" t="s">
        <v>87</v>
      </c>
    </row>
    <row r="8536" spans="1:29" x14ac:dyDescent="0.35">
      <c r="A8536" s="7">
        <v>43326</v>
      </c>
      <c r="B8536" t="s">
        <v>30</v>
      </c>
      <c r="C8536">
        <v>503</v>
      </c>
      <c r="D8536">
        <v>7</v>
      </c>
      <c r="E8536">
        <v>1</v>
      </c>
      <c r="F8536" t="s">
        <v>1170</v>
      </c>
      <c r="G8536" t="s">
        <v>32</v>
      </c>
      <c r="H8536" t="s">
        <v>33</v>
      </c>
      <c r="I8536" t="s">
        <v>72</v>
      </c>
      <c r="J8536" t="s">
        <v>56</v>
      </c>
      <c r="AB8536" t="s">
        <v>47</v>
      </c>
      <c r="AC8536" t="s">
        <v>87</v>
      </c>
    </row>
    <row r="8537" spans="1:29" x14ac:dyDescent="0.35">
      <c r="A8537" s="7">
        <v>43326</v>
      </c>
      <c r="B8537" t="s">
        <v>30</v>
      </c>
      <c r="C8537">
        <v>503</v>
      </c>
      <c r="D8537">
        <v>8</v>
      </c>
      <c r="E8537">
        <v>1</v>
      </c>
      <c r="F8537" t="s">
        <v>1170</v>
      </c>
      <c r="G8537" t="s">
        <v>32</v>
      </c>
      <c r="H8537" t="s">
        <v>33</v>
      </c>
      <c r="I8537" t="s">
        <v>72</v>
      </c>
      <c r="J8537" t="s">
        <v>56</v>
      </c>
      <c r="AB8537" t="s">
        <v>47</v>
      </c>
      <c r="AC8537" t="s">
        <v>87</v>
      </c>
    </row>
    <row r="8538" spans="1:29" x14ac:dyDescent="0.35">
      <c r="A8538" s="7">
        <v>43326</v>
      </c>
      <c r="B8538" t="s">
        <v>30</v>
      </c>
      <c r="C8538">
        <v>801</v>
      </c>
      <c r="D8538">
        <v>7</v>
      </c>
      <c r="E8538">
        <v>1</v>
      </c>
      <c r="F8538" t="s">
        <v>1139</v>
      </c>
      <c r="G8538" t="s">
        <v>32</v>
      </c>
      <c r="H8538" t="s">
        <v>33</v>
      </c>
      <c r="I8538" t="s">
        <v>72</v>
      </c>
      <c r="J8538" t="s">
        <v>56</v>
      </c>
      <c r="AB8538" t="s">
        <v>47</v>
      </c>
      <c r="AC8538" t="s">
        <v>41</v>
      </c>
    </row>
    <row r="8539" spans="1:29" x14ac:dyDescent="0.35">
      <c r="A8539" s="7">
        <v>43326</v>
      </c>
      <c r="B8539" t="s">
        <v>30</v>
      </c>
      <c r="C8539">
        <v>803</v>
      </c>
      <c r="D8539">
        <v>4</v>
      </c>
      <c r="E8539">
        <v>1</v>
      </c>
      <c r="F8539" t="s">
        <v>1139</v>
      </c>
      <c r="G8539" t="s">
        <v>32</v>
      </c>
      <c r="H8539" t="s">
        <v>33</v>
      </c>
      <c r="I8539" t="s">
        <v>72</v>
      </c>
      <c r="J8539" t="s">
        <v>56</v>
      </c>
      <c r="AB8539" t="s">
        <v>47</v>
      </c>
      <c r="AC8539" t="s">
        <v>41</v>
      </c>
    </row>
    <row r="8540" spans="1:29" x14ac:dyDescent="0.35">
      <c r="A8540" s="7">
        <v>43326</v>
      </c>
      <c r="B8540" t="s">
        <v>30</v>
      </c>
      <c r="C8540">
        <v>803</v>
      </c>
      <c r="D8540">
        <v>8</v>
      </c>
      <c r="E8540">
        <v>1</v>
      </c>
      <c r="F8540" t="s">
        <v>1139</v>
      </c>
      <c r="G8540" t="s">
        <v>32</v>
      </c>
      <c r="H8540" t="s">
        <v>33</v>
      </c>
      <c r="I8540" t="s">
        <v>72</v>
      </c>
      <c r="J8540" t="s">
        <v>56</v>
      </c>
      <c r="AB8540" t="s">
        <v>47</v>
      </c>
      <c r="AC8540" t="s">
        <v>41</v>
      </c>
    </row>
    <row r="8541" spans="1:29" x14ac:dyDescent="0.35">
      <c r="A8541" s="7">
        <v>43326</v>
      </c>
      <c r="B8541" t="s">
        <v>30</v>
      </c>
      <c r="C8541">
        <v>803</v>
      </c>
      <c r="D8541">
        <v>10</v>
      </c>
      <c r="E8541">
        <v>1</v>
      </c>
      <c r="F8541" t="s">
        <v>1139</v>
      </c>
      <c r="G8541" t="s">
        <v>32</v>
      </c>
      <c r="H8541" t="s">
        <v>33</v>
      </c>
      <c r="I8541" t="s">
        <v>72</v>
      </c>
      <c r="J8541" t="s">
        <v>66</v>
      </c>
      <c r="AB8541" t="s">
        <v>47</v>
      </c>
      <c r="AC8541" t="s">
        <v>41</v>
      </c>
    </row>
    <row r="8542" spans="1:29" x14ac:dyDescent="0.35">
      <c r="A8542" s="7">
        <v>43326</v>
      </c>
      <c r="B8542" t="s">
        <v>30</v>
      </c>
      <c r="C8542">
        <v>703</v>
      </c>
      <c r="D8542">
        <v>3</v>
      </c>
      <c r="E8542">
        <v>2</v>
      </c>
      <c r="F8542" t="s">
        <v>1139</v>
      </c>
      <c r="G8542" t="s">
        <v>32</v>
      </c>
      <c r="H8542" t="s">
        <v>33</v>
      </c>
      <c r="I8542" t="s">
        <v>84</v>
      </c>
      <c r="AB8542" t="s">
        <v>47</v>
      </c>
      <c r="AC8542" t="s">
        <v>41</v>
      </c>
    </row>
    <row r="8543" spans="1:29" x14ac:dyDescent="0.35">
      <c r="A8543" s="7">
        <v>43326</v>
      </c>
      <c r="B8543" t="s">
        <v>30</v>
      </c>
      <c r="C8543">
        <v>303</v>
      </c>
      <c r="D8543">
        <v>6</v>
      </c>
      <c r="E8543">
        <v>1</v>
      </c>
      <c r="F8543" t="s">
        <v>1170</v>
      </c>
      <c r="G8543" t="s">
        <v>32</v>
      </c>
      <c r="H8543" t="s">
        <v>33</v>
      </c>
      <c r="I8543" t="s">
        <v>59</v>
      </c>
      <c r="AB8543" t="s">
        <v>47</v>
      </c>
      <c r="AC8543" t="s">
        <v>87</v>
      </c>
    </row>
    <row r="8544" spans="1:29" x14ac:dyDescent="0.35">
      <c r="A8544" s="7">
        <v>43326</v>
      </c>
      <c r="B8544" t="s">
        <v>30</v>
      </c>
      <c r="C8544">
        <v>303</v>
      </c>
      <c r="D8544">
        <v>7</v>
      </c>
      <c r="E8544">
        <v>1</v>
      </c>
      <c r="F8544" t="s">
        <v>1170</v>
      </c>
      <c r="G8544" t="s">
        <v>32</v>
      </c>
      <c r="H8544" t="s">
        <v>33</v>
      </c>
      <c r="I8544" t="s">
        <v>59</v>
      </c>
      <c r="AB8544" t="s">
        <v>47</v>
      </c>
      <c r="AC8544" t="s">
        <v>87</v>
      </c>
    </row>
    <row r="8545" spans="1:29" x14ac:dyDescent="0.35">
      <c r="A8545" s="7">
        <v>43326</v>
      </c>
      <c r="B8545" t="s">
        <v>30</v>
      </c>
      <c r="C8545">
        <v>303</v>
      </c>
      <c r="D8545">
        <v>7</v>
      </c>
      <c r="E8545">
        <v>2</v>
      </c>
      <c r="F8545" t="s">
        <v>1170</v>
      </c>
      <c r="G8545" t="s">
        <v>32</v>
      </c>
      <c r="H8545" t="s">
        <v>33</v>
      </c>
      <c r="I8545" t="s">
        <v>59</v>
      </c>
      <c r="AB8545" t="s">
        <v>47</v>
      </c>
      <c r="AC8545" t="s">
        <v>87</v>
      </c>
    </row>
    <row r="8546" spans="1:29" x14ac:dyDescent="0.35">
      <c r="A8546" s="7">
        <v>43326</v>
      </c>
      <c r="B8546" t="s">
        <v>30</v>
      </c>
      <c r="C8546">
        <v>303</v>
      </c>
      <c r="D8546">
        <v>8</v>
      </c>
      <c r="E8546">
        <v>2</v>
      </c>
      <c r="F8546" t="s">
        <v>1170</v>
      </c>
      <c r="G8546" t="s">
        <v>32</v>
      </c>
      <c r="H8546" t="s">
        <v>33</v>
      </c>
      <c r="I8546" t="s">
        <v>59</v>
      </c>
      <c r="AB8546" t="s">
        <v>47</v>
      </c>
      <c r="AC8546" t="s">
        <v>87</v>
      </c>
    </row>
    <row r="8547" spans="1:29" x14ac:dyDescent="0.35">
      <c r="A8547" s="7">
        <v>43326</v>
      </c>
      <c r="B8547" t="s">
        <v>30</v>
      </c>
      <c r="C8547">
        <v>303</v>
      </c>
      <c r="D8547">
        <v>10</v>
      </c>
      <c r="E8547">
        <v>1</v>
      </c>
      <c r="F8547" t="s">
        <v>1170</v>
      </c>
      <c r="G8547" t="s">
        <v>32</v>
      </c>
      <c r="H8547" t="s">
        <v>33</v>
      </c>
      <c r="I8547" t="s">
        <v>59</v>
      </c>
      <c r="AB8547" t="s">
        <v>47</v>
      </c>
      <c r="AC8547" t="s">
        <v>87</v>
      </c>
    </row>
    <row r="8548" spans="1:29" x14ac:dyDescent="0.35">
      <c r="A8548" s="7">
        <v>43326</v>
      </c>
      <c r="B8548" t="s">
        <v>30</v>
      </c>
      <c r="C8548">
        <v>401</v>
      </c>
      <c r="D8548">
        <v>10</v>
      </c>
      <c r="E8548">
        <v>1</v>
      </c>
      <c r="F8548" t="s">
        <v>1170</v>
      </c>
      <c r="G8548" t="s">
        <v>32</v>
      </c>
      <c r="H8548" t="s">
        <v>33</v>
      </c>
      <c r="I8548" t="s">
        <v>59</v>
      </c>
      <c r="AB8548" t="s">
        <v>47</v>
      </c>
      <c r="AC8548" t="s">
        <v>87</v>
      </c>
    </row>
    <row r="8549" spans="1:29" x14ac:dyDescent="0.35">
      <c r="A8549" s="7">
        <v>43326</v>
      </c>
      <c r="B8549" t="s">
        <v>30</v>
      </c>
      <c r="C8549">
        <v>501</v>
      </c>
      <c r="D8549">
        <v>7</v>
      </c>
      <c r="E8549">
        <v>1</v>
      </c>
      <c r="F8549" t="s">
        <v>1170</v>
      </c>
      <c r="G8549" t="s">
        <v>32</v>
      </c>
      <c r="H8549" t="s">
        <v>33</v>
      </c>
      <c r="I8549" t="s">
        <v>59</v>
      </c>
      <c r="AB8549" t="s">
        <v>47</v>
      </c>
      <c r="AC8549" t="s">
        <v>87</v>
      </c>
    </row>
    <row r="8550" spans="1:29" x14ac:dyDescent="0.35">
      <c r="A8550" s="7">
        <v>43326</v>
      </c>
      <c r="B8550" t="s">
        <v>30</v>
      </c>
      <c r="C8550">
        <v>503</v>
      </c>
      <c r="D8550">
        <v>1</v>
      </c>
      <c r="E8550">
        <v>1</v>
      </c>
      <c r="F8550" t="s">
        <v>1170</v>
      </c>
      <c r="G8550" t="s">
        <v>32</v>
      </c>
      <c r="H8550" t="s">
        <v>33</v>
      </c>
      <c r="I8550" t="s">
        <v>59</v>
      </c>
      <c r="AB8550" t="s">
        <v>47</v>
      </c>
      <c r="AC8550" t="s">
        <v>87</v>
      </c>
    </row>
    <row r="8551" spans="1:29" x14ac:dyDescent="0.35">
      <c r="A8551" s="7">
        <v>43326</v>
      </c>
      <c r="B8551" t="s">
        <v>30</v>
      </c>
      <c r="C8551">
        <v>503</v>
      </c>
      <c r="D8551">
        <v>1</v>
      </c>
      <c r="E8551">
        <v>2</v>
      </c>
      <c r="F8551" t="s">
        <v>1170</v>
      </c>
      <c r="G8551" t="s">
        <v>32</v>
      </c>
      <c r="H8551" t="s">
        <v>33</v>
      </c>
      <c r="I8551" t="s">
        <v>59</v>
      </c>
      <c r="AB8551" t="s">
        <v>47</v>
      </c>
      <c r="AC8551" t="s">
        <v>87</v>
      </c>
    </row>
    <row r="8552" spans="1:29" x14ac:dyDescent="0.35">
      <c r="A8552" s="7">
        <v>43326</v>
      </c>
      <c r="B8552" t="s">
        <v>30</v>
      </c>
      <c r="C8552">
        <v>503</v>
      </c>
      <c r="D8552">
        <v>2</v>
      </c>
      <c r="E8552">
        <v>1</v>
      </c>
      <c r="F8552" t="s">
        <v>1170</v>
      </c>
      <c r="G8552" t="s">
        <v>32</v>
      </c>
      <c r="H8552" t="s">
        <v>33</v>
      </c>
      <c r="I8552" t="s">
        <v>59</v>
      </c>
      <c r="AB8552" t="s">
        <v>47</v>
      </c>
      <c r="AC8552" t="s">
        <v>87</v>
      </c>
    </row>
    <row r="8553" spans="1:29" x14ac:dyDescent="0.35">
      <c r="A8553" s="7">
        <v>43326</v>
      </c>
      <c r="B8553" t="s">
        <v>30</v>
      </c>
      <c r="C8553">
        <v>503</v>
      </c>
      <c r="D8553">
        <v>4</v>
      </c>
      <c r="E8553">
        <v>1</v>
      </c>
      <c r="F8553" t="s">
        <v>1170</v>
      </c>
      <c r="G8553" t="s">
        <v>32</v>
      </c>
      <c r="H8553" t="s">
        <v>33</v>
      </c>
      <c r="I8553" t="s">
        <v>59</v>
      </c>
      <c r="AB8553" t="s">
        <v>47</v>
      </c>
      <c r="AC8553" t="s">
        <v>87</v>
      </c>
    </row>
    <row r="8554" spans="1:29" x14ac:dyDescent="0.35">
      <c r="A8554" s="7">
        <v>43326</v>
      </c>
      <c r="B8554" t="s">
        <v>30</v>
      </c>
      <c r="C8554">
        <v>503</v>
      </c>
      <c r="D8554">
        <v>5</v>
      </c>
      <c r="E8554">
        <v>1</v>
      </c>
      <c r="F8554" t="s">
        <v>1170</v>
      </c>
      <c r="G8554" t="s">
        <v>32</v>
      </c>
      <c r="H8554" t="s">
        <v>33</v>
      </c>
      <c r="I8554" t="s">
        <v>59</v>
      </c>
      <c r="AB8554" t="s">
        <v>47</v>
      </c>
      <c r="AC8554" t="s">
        <v>87</v>
      </c>
    </row>
    <row r="8555" spans="1:29" x14ac:dyDescent="0.35">
      <c r="A8555" s="7">
        <v>43326</v>
      </c>
      <c r="B8555" t="s">
        <v>30</v>
      </c>
      <c r="C8555">
        <v>701</v>
      </c>
      <c r="D8555">
        <v>2</v>
      </c>
      <c r="E8555">
        <v>1</v>
      </c>
      <c r="F8555" t="s">
        <v>1139</v>
      </c>
      <c r="G8555" t="s">
        <v>32</v>
      </c>
      <c r="H8555" t="s">
        <v>33</v>
      </c>
      <c r="I8555" t="s">
        <v>59</v>
      </c>
      <c r="AB8555" t="s">
        <v>47</v>
      </c>
      <c r="AC8555" t="s">
        <v>41</v>
      </c>
    </row>
    <row r="8556" spans="1:29" x14ac:dyDescent="0.35">
      <c r="A8556" s="7">
        <v>43326</v>
      </c>
      <c r="B8556" t="s">
        <v>30</v>
      </c>
      <c r="C8556">
        <v>701</v>
      </c>
      <c r="D8556">
        <v>3</v>
      </c>
      <c r="E8556">
        <v>1</v>
      </c>
      <c r="F8556" t="s">
        <v>1139</v>
      </c>
      <c r="G8556" t="s">
        <v>32</v>
      </c>
      <c r="H8556" t="s">
        <v>33</v>
      </c>
      <c r="I8556" t="s">
        <v>59</v>
      </c>
      <c r="AB8556" t="s">
        <v>47</v>
      </c>
      <c r="AC8556" t="s">
        <v>41</v>
      </c>
    </row>
    <row r="8557" spans="1:29" x14ac:dyDescent="0.35">
      <c r="A8557" s="7">
        <v>43326</v>
      </c>
      <c r="B8557" t="s">
        <v>30</v>
      </c>
      <c r="C8557">
        <v>701</v>
      </c>
      <c r="D8557">
        <v>4</v>
      </c>
      <c r="E8557">
        <v>1</v>
      </c>
      <c r="F8557" t="s">
        <v>1139</v>
      </c>
      <c r="G8557" t="s">
        <v>32</v>
      </c>
      <c r="H8557" t="s">
        <v>33</v>
      </c>
      <c r="I8557" t="s">
        <v>59</v>
      </c>
      <c r="AB8557" t="s">
        <v>47</v>
      </c>
      <c r="AC8557" t="s">
        <v>41</v>
      </c>
    </row>
    <row r="8558" spans="1:29" x14ac:dyDescent="0.35">
      <c r="A8558" s="7">
        <v>43326</v>
      </c>
      <c r="B8558" t="s">
        <v>30</v>
      </c>
      <c r="C8558">
        <v>701</v>
      </c>
      <c r="D8558">
        <v>5</v>
      </c>
      <c r="E8558">
        <v>2</v>
      </c>
      <c r="F8558" t="s">
        <v>1139</v>
      </c>
      <c r="G8558" t="s">
        <v>32</v>
      </c>
      <c r="H8558" t="s">
        <v>33</v>
      </c>
      <c r="I8558" t="s">
        <v>59</v>
      </c>
      <c r="AB8558" t="s">
        <v>47</v>
      </c>
      <c r="AC8558" t="s">
        <v>41</v>
      </c>
    </row>
    <row r="8559" spans="1:29" x14ac:dyDescent="0.35">
      <c r="A8559" s="7">
        <v>43326</v>
      </c>
      <c r="B8559" t="s">
        <v>30</v>
      </c>
      <c r="C8559">
        <v>703</v>
      </c>
      <c r="D8559">
        <v>3</v>
      </c>
      <c r="E8559">
        <v>1</v>
      </c>
      <c r="F8559" t="s">
        <v>1139</v>
      </c>
      <c r="G8559" t="s">
        <v>32</v>
      </c>
      <c r="H8559" t="s">
        <v>33</v>
      </c>
      <c r="I8559" t="s">
        <v>59</v>
      </c>
      <c r="AB8559" t="s">
        <v>47</v>
      </c>
      <c r="AC8559" t="s">
        <v>41</v>
      </c>
    </row>
    <row r="8560" spans="1:29" x14ac:dyDescent="0.35">
      <c r="A8560" s="7">
        <v>43326</v>
      </c>
      <c r="B8560" t="s">
        <v>30</v>
      </c>
      <c r="C8560">
        <v>703</v>
      </c>
      <c r="D8560">
        <v>4</v>
      </c>
      <c r="E8560">
        <v>2</v>
      </c>
      <c r="F8560" t="s">
        <v>1139</v>
      </c>
      <c r="G8560" t="s">
        <v>32</v>
      </c>
      <c r="H8560" t="s">
        <v>33</v>
      </c>
      <c r="I8560" t="s">
        <v>59</v>
      </c>
      <c r="AB8560" t="s">
        <v>47</v>
      </c>
      <c r="AC8560" t="s">
        <v>41</v>
      </c>
    </row>
    <row r="8561" spans="1:29" x14ac:dyDescent="0.35">
      <c r="A8561" s="7">
        <v>43326</v>
      </c>
      <c r="B8561" t="s">
        <v>30</v>
      </c>
      <c r="C8561">
        <v>703</v>
      </c>
      <c r="D8561">
        <v>6</v>
      </c>
      <c r="E8561">
        <v>1</v>
      </c>
      <c r="F8561" t="s">
        <v>1139</v>
      </c>
      <c r="G8561" t="s">
        <v>32</v>
      </c>
      <c r="H8561" t="s">
        <v>33</v>
      </c>
      <c r="I8561" t="s">
        <v>59</v>
      </c>
      <c r="AB8561" t="s">
        <v>47</v>
      </c>
      <c r="AC8561" t="s">
        <v>41</v>
      </c>
    </row>
    <row r="8562" spans="1:29" x14ac:dyDescent="0.35">
      <c r="A8562" s="7">
        <v>43326</v>
      </c>
      <c r="B8562" t="s">
        <v>30</v>
      </c>
      <c r="C8562">
        <v>703</v>
      </c>
      <c r="D8562">
        <v>6</v>
      </c>
      <c r="E8562">
        <v>2</v>
      </c>
      <c r="F8562" t="s">
        <v>1139</v>
      </c>
      <c r="G8562" t="s">
        <v>32</v>
      </c>
      <c r="H8562" t="s">
        <v>33</v>
      </c>
      <c r="I8562" t="s">
        <v>59</v>
      </c>
      <c r="AB8562" t="s">
        <v>47</v>
      </c>
      <c r="AC8562" t="s">
        <v>41</v>
      </c>
    </row>
    <row r="8563" spans="1:29" x14ac:dyDescent="0.35">
      <c r="A8563" s="7">
        <v>43326</v>
      </c>
      <c r="B8563" t="s">
        <v>30</v>
      </c>
      <c r="C8563">
        <v>703</v>
      </c>
      <c r="D8563">
        <v>7</v>
      </c>
      <c r="E8563">
        <v>2</v>
      </c>
      <c r="F8563" t="s">
        <v>1139</v>
      </c>
      <c r="G8563" t="s">
        <v>32</v>
      </c>
      <c r="H8563" t="s">
        <v>33</v>
      </c>
      <c r="I8563" t="s">
        <v>59</v>
      </c>
      <c r="AB8563" t="s">
        <v>47</v>
      </c>
      <c r="AC8563" t="s">
        <v>41</v>
      </c>
    </row>
    <row r="8564" spans="1:29" x14ac:dyDescent="0.35">
      <c r="A8564" s="7">
        <v>43326</v>
      </c>
      <c r="B8564" t="s">
        <v>30</v>
      </c>
      <c r="C8564">
        <v>703</v>
      </c>
      <c r="D8564">
        <v>8</v>
      </c>
      <c r="E8564">
        <v>1</v>
      </c>
      <c r="F8564" t="s">
        <v>1139</v>
      </c>
      <c r="G8564" t="s">
        <v>32</v>
      </c>
      <c r="H8564" t="s">
        <v>33</v>
      </c>
      <c r="I8564" t="s">
        <v>59</v>
      </c>
      <c r="AB8564" t="s">
        <v>47</v>
      </c>
      <c r="AC8564" t="s">
        <v>41</v>
      </c>
    </row>
    <row r="8565" spans="1:29" x14ac:dyDescent="0.35">
      <c r="A8565" s="7">
        <v>43326</v>
      </c>
      <c r="B8565" t="s">
        <v>30</v>
      </c>
      <c r="C8565">
        <v>703</v>
      </c>
      <c r="D8565">
        <v>8</v>
      </c>
      <c r="E8565">
        <v>2</v>
      </c>
      <c r="F8565" t="s">
        <v>1139</v>
      </c>
      <c r="G8565" t="s">
        <v>32</v>
      </c>
      <c r="H8565" t="s">
        <v>33</v>
      </c>
      <c r="I8565" t="s">
        <v>59</v>
      </c>
      <c r="AB8565" t="s">
        <v>47</v>
      </c>
      <c r="AC8565" t="s">
        <v>41</v>
      </c>
    </row>
    <row r="8566" spans="1:29" x14ac:dyDescent="0.35">
      <c r="A8566" s="7">
        <v>43326</v>
      </c>
      <c r="B8566" t="s">
        <v>30</v>
      </c>
      <c r="C8566">
        <v>703</v>
      </c>
      <c r="D8566">
        <v>9</v>
      </c>
      <c r="E8566">
        <v>1</v>
      </c>
      <c r="F8566" t="s">
        <v>1139</v>
      </c>
      <c r="G8566" t="s">
        <v>32</v>
      </c>
      <c r="H8566" t="s">
        <v>33</v>
      </c>
      <c r="I8566" t="s">
        <v>59</v>
      </c>
      <c r="AB8566" t="s">
        <v>47</v>
      </c>
      <c r="AC8566" t="s">
        <v>41</v>
      </c>
    </row>
    <row r="8567" spans="1:29" x14ac:dyDescent="0.35">
      <c r="A8567" s="7">
        <v>43326</v>
      </c>
      <c r="B8567" t="s">
        <v>30</v>
      </c>
      <c r="C8567">
        <v>703</v>
      </c>
      <c r="D8567">
        <v>10</v>
      </c>
      <c r="E8567">
        <v>1</v>
      </c>
      <c r="F8567" t="s">
        <v>1139</v>
      </c>
      <c r="G8567" t="s">
        <v>32</v>
      </c>
      <c r="H8567" t="s">
        <v>33</v>
      </c>
      <c r="I8567" t="s">
        <v>59</v>
      </c>
      <c r="AB8567" t="s">
        <v>47</v>
      </c>
      <c r="AC8567" t="s">
        <v>41</v>
      </c>
    </row>
    <row r="8568" spans="1:29" x14ac:dyDescent="0.35">
      <c r="A8568" s="7">
        <v>43326</v>
      </c>
      <c r="B8568" t="s">
        <v>30</v>
      </c>
      <c r="C8568">
        <v>801</v>
      </c>
      <c r="D8568">
        <v>1</v>
      </c>
      <c r="E8568">
        <v>2</v>
      </c>
      <c r="F8568" t="s">
        <v>1139</v>
      </c>
      <c r="G8568" t="s">
        <v>32</v>
      </c>
      <c r="H8568" t="s">
        <v>33</v>
      </c>
      <c r="I8568" t="s">
        <v>59</v>
      </c>
      <c r="AB8568" t="s">
        <v>47</v>
      </c>
      <c r="AC8568" t="s">
        <v>41</v>
      </c>
    </row>
    <row r="8569" spans="1:29" x14ac:dyDescent="0.35">
      <c r="A8569" s="7">
        <v>43326</v>
      </c>
      <c r="B8569" t="s">
        <v>30</v>
      </c>
      <c r="C8569">
        <v>801</v>
      </c>
      <c r="D8569">
        <v>4</v>
      </c>
      <c r="E8569">
        <v>2</v>
      </c>
      <c r="F8569" t="s">
        <v>1139</v>
      </c>
      <c r="G8569" t="s">
        <v>32</v>
      </c>
      <c r="H8569" t="s">
        <v>33</v>
      </c>
      <c r="I8569" t="s">
        <v>59</v>
      </c>
      <c r="AB8569" t="s">
        <v>47</v>
      </c>
      <c r="AC8569" t="s">
        <v>41</v>
      </c>
    </row>
    <row r="8570" spans="1:29" x14ac:dyDescent="0.35">
      <c r="A8570" s="7">
        <v>43326</v>
      </c>
      <c r="B8570" t="s">
        <v>30</v>
      </c>
      <c r="C8570">
        <v>801</v>
      </c>
      <c r="D8570">
        <v>6</v>
      </c>
      <c r="E8570">
        <v>2</v>
      </c>
      <c r="F8570" t="s">
        <v>1139</v>
      </c>
      <c r="G8570" t="s">
        <v>32</v>
      </c>
      <c r="H8570" t="s">
        <v>33</v>
      </c>
      <c r="I8570" t="s">
        <v>59</v>
      </c>
      <c r="AB8570" t="s">
        <v>47</v>
      </c>
      <c r="AC8570" t="s">
        <v>41</v>
      </c>
    </row>
    <row r="8571" spans="1:29" x14ac:dyDescent="0.35">
      <c r="A8571" s="7">
        <v>43326</v>
      </c>
      <c r="B8571" t="s">
        <v>30</v>
      </c>
      <c r="C8571">
        <v>801</v>
      </c>
      <c r="D8571">
        <v>8</v>
      </c>
      <c r="E8571">
        <v>1</v>
      </c>
      <c r="F8571" t="s">
        <v>1139</v>
      </c>
      <c r="G8571" t="s">
        <v>32</v>
      </c>
      <c r="H8571" t="s">
        <v>33</v>
      </c>
      <c r="I8571" t="s">
        <v>59</v>
      </c>
      <c r="AB8571" t="s">
        <v>47</v>
      </c>
      <c r="AC8571" t="s">
        <v>41</v>
      </c>
    </row>
    <row r="8572" spans="1:29" x14ac:dyDescent="0.35">
      <c r="A8572" s="7">
        <v>43326</v>
      </c>
      <c r="B8572" t="s">
        <v>30</v>
      </c>
      <c r="C8572">
        <v>801</v>
      </c>
      <c r="D8572">
        <v>8</v>
      </c>
      <c r="E8572">
        <v>2</v>
      </c>
      <c r="F8572" t="s">
        <v>1139</v>
      </c>
      <c r="G8572" t="s">
        <v>32</v>
      </c>
      <c r="H8572" t="s">
        <v>33</v>
      </c>
      <c r="I8572" t="s">
        <v>59</v>
      </c>
      <c r="AB8572" t="s">
        <v>47</v>
      </c>
      <c r="AC8572" t="s">
        <v>41</v>
      </c>
    </row>
    <row r="8573" spans="1:29" x14ac:dyDescent="0.35">
      <c r="A8573" s="7">
        <v>43326</v>
      </c>
      <c r="B8573" t="s">
        <v>30</v>
      </c>
      <c r="C8573">
        <v>803</v>
      </c>
      <c r="D8573">
        <v>9</v>
      </c>
      <c r="E8573">
        <v>2</v>
      </c>
      <c r="F8573" t="s">
        <v>1139</v>
      </c>
      <c r="G8573" t="s">
        <v>32</v>
      </c>
      <c r="H8573" t="s">
        <v>33</v>
      </c>
      <c r="I8573" t="s">
        <v>59</v>
      </c>
      <c r="AB8573" t="s">
        <v>47</v>
      </c>
      <c r="AC8573" t="s">
        <v>41</v>
      </c>
    </row>
    <row r="8574" spans="1:29" x14ac:dyDescent="0.35">
      <c r="A8574" s="7">
        <v>43326</v>
      </c>
      <c r="B8574" t="s">
        <v>30</v>
      </c>
      <c r="C8574">
        <v>901</v>
      </c>
      <c r="D8574">
        <v>1</v>
      </c>
      <c r="E8574">
        <v>2</v>
      </c>
      <c r="F8574" t="s">
        <v>1139</v>
      </c>
      <c r="G8574" t="s">
        <v>32</v>
      </c>
      <c r="H8574" t="s">
        <v>33</v>
      </c>
      <c r="I8574" t="s">
        <v>59</v>
      </c>
      <c r="AB8574" t="s">
        <v>47</v>
      </c>
      <c r="AC8574" t="s">
        <v>41</v>
      </c>
    </row>
    <row r="8575" spans="1:29" x14ac:dyDescent="0.35">
      <c r="A8575" s="7">
        <v>43326</v>
      </c>
      <c r="B8575" t="s">
        <v>30</v>
      </c>
      <c r="C8575">
        <v>701</v>
      </c>
      <c r="D8575">
        <v>7</v>
      </c>
      <c r="E8575">
        <v>1</v>
      </c>
      <c r="F8575" t="s">
        <v>1139</v>
      </c>
      <c r="G8575" t="s">
        <v>32</v>
      </c>
      <c r="H8575" t="s">
        <v>33</v>
      </c>
      <c r="I8575" t="s">
        <v>94</v>
      </c>
      <c r="J8575" t="s">
        <v>44</v>
      </c>
      <c r="K8575" t="s">
        <v>36</v>
      </c>
      <c r="L8575" t="s">
        <v>45</v>
      </c>
      <c r="M8575">
        <v>0</v>
      </c>
      <c r="N8575">
        <v>0</v>
      </c>
      <c r="O8575">
        <v>1519</v>
      </c>
      <c r="Q8575">
        <f>37-19</f>
        <v>18</v>
      </c>
      <c r="R8575" t="s">
        <v>46</v>
      </c>
      <c r="S8575" t="s">
        <v>39</v>
      </c>
      <c r="AB8575" t="s">
        <v>47</v>
      </c>
      <c r="AC8575" t="s">
        <v>41</v>
      </c>
    </row>
    <row r="8576" spans="1:29" x14ac:dyDescent="0.35">
      <c r="A8576" s="7">
        <v>43326</v>
      </c>
      <c r="B8576" t="s">
        <v>30</v>
      </c>
      <c r="C8576">
        <v>803</v>
      </c>
      <c r="D8576">
        <v>10</v>
      </c>
      <c r="E8576">
        <v>2</v>
      </c>
      <c r="F8576" t="s">
        <v>1139</v>
      </c>
      <c r="G8576" t="s">
        <v>32</v>
      </c>
      <c r="H8576" t="s">
        <v>33</v>
      </c>
      <c r="I8576" t="s">
        <v>94</v>
      </c>
      <c r="J8576" t="s">
        <v>44</v>
      </c>
      <c r="K8576" t="s">
        <v>36</v>
      </c>
      <c r="L8576" t="s">
        <v>45</v>
      </c>
      <c r="M8576">
        <v>0</v>
      </c>
      <c r="N8576">
        <v>0</v>
      </c>
      <c r="O8576">
        <v>1371</v>
      </c>
      <c r="Q8576">
        <f>40-13</f>
        <v>27</v>
      </c>
      <c r="R8576" t="s">
        <v>1021</v>
      </c>
      <c r="S8576" t="s">
        <v>102</v>
      </c>
      <c r="AB8576" t="s">
        <v>47</v>
      </c>
      <c r="AC8576" t="s">
        <v>41</v>
      </c>
    </row>
    <row r="8577" spans="1:30" x14ac:dyDescent="0.35">
      <c r="A8577" s="7">
        <v>43326</v>
      </c>
      <c r="B8577" t="s">
        <v>30</v>
      </c>
      <c r="C8577">
        <v>501</v>
      </c>
      <c r="D8577">
        <v>1</v>
      </c>
      <c r="E8577">
        <v>2</v>
      </c>
      <c r="F8577" t="s">
        <v>1170</v>
      </c>
      <c r="G8577" t="s">
        <v>32</v>
      </c>
      <c r="H8577" t="s">
        <v>33</v>
      </c>
      <c r="J8577" t="s">
        <v>139</v>
      </c>
      <c r="AB8577" t="s">
        <v>47</v>
      </c>
      <c r="AC8577" t="s">
        <v>87</v>
      </c>
    </row>
    <row r="8578" spans="1:30" x14ac:dyDescent="0.35">
      <c r="A8578" s="7">
        <v>43327</v>
      </c>
      <c r="B8578" t="s">
        <v>30</v>
      </c>
      <c r="C8578">
        <v>303</v>
      </c>
      <c r="D8578">
        <v>2</v>
      </c>
      <c r="E8578">
        <v>1</v>
      </c>
      <c r="F8578" t="s">
        <v>1170</v>
      </c>
      <c r="G8578" t="s">
        <v>32</v>
      </c>
      <c r="H8578" t="s">
        <v>33</v>
      </c>
      <c r="I8578" t="s">
        <v>43</v>
      </c>
      <c r="J8578" t="s">
        <v>44</v>
      </c>
      <c r="K8578" t="s">
        <v>113</v>
      </c>
      <c r="L8578" t="s">
        <v>45</v>
      </c>
      <c r="M8578">
        <v>0</v>
      </c>
      <c r="N8578">
        <v>0</v>
      </c>
      <c r="O8578">
        <v>1116</v>
      </c>
      <c r="P8578">
        <v>1183</v>
      </c>
      <c r="Q8578">
        <f>32-18</f>
        <v>14</v>
      </c>
      <c r="R8578" t="s">
        <v>1021</v>
      </c>
      <c r="S8578" t="s">
        <v>39</v>
      </c>
      <c r="AB8578" t="s">
        <v>47</v>
      </c>
      <c r="AC8578" t="s">
        <v>87</v>
      </c>
    </row>
    <row r="8579" spans="1:30" x14ac:dyDescent="0.35">
      <c r="A8579" s="7">
        <v>43327</v>
      </c>
      <c r="B8579" t="s">
        <v>30</v>
      </c>
      <c r="C8579">
        <v>303</v>
      </c>
      <c r="D8579">
        <v>3</v>
      </c>
      <c r="E8579">
        <v>1</v>
      </c>
      <c r="F8579" t="s">
        <v>1170</v>
      </c>
      <c r="G8579" t="s">
        <v>32</v>
      </c>
      <c r="H8579" t="s">
        <v>33</v>
      </c>
      <c r="I8579" t="s">
        <v>43</v>
      </c>
      <c r="J8579" t="s">
        <v>44</v>
      </c>
      <c r="K8579" t="s">
        <v>36</v>
      </c>
      <c r="L8579" t="s">
        <v>45</v>
      </c>
      <c r="M8579">
        <v>0</v>
      </c>
      <c r="N8579">
        <v>0</v>
      </c>
      <c r="O8579">
        <v>2903</v>
      </c>
      <c r="P8579">
        <v>2901</v>
      </c>
      <c r="Q8579">
        <f>35-17</f>
        <v>18</v>
      </c>
      <c r="R8579" t="s">
        <v>1021</v>
      </c>
      <c r="S8579" t="s">
        <v>102</v>
      </c>
      <c r="AB8579" t="s">
        <v>47</v>
      </c>
      <c r="AC8579" t="s">
        <v>87</v>
      </c>
    </row>
    <row r="8580" spans="1:30" x14ac:dyDescent="0.35">
      <c r="A8580" s="7">
        <v>43327</v>
      </c>
      <c r="B8580" t="s">
        <v>30</v>
      </c>
      <c r="C8580">
        <v>303</v>
      </c>
      <c r="D8580">
        <v>4</v>
      </c>
      <c r="E8580">
        <v>1</v>
      </c>
      <c r="F8580" t="s">
        <v>1170</v>
      </c>
      <c r="G8580" t="s">
        <v>32</v>
      </c>
      <c r="H8580" t="s">
        <v>33</v>
      </c>
      <c r="I8580" t="s">
        <v>43</v>
      </c>
      <c r="J8580" t="s">
        <v>44</v>
      </c>
      <c r="K8580" t="s">
        <v>113</v>
      </c>
      <c r="L8580" t="s">
        <v>45</v>
      </c>
      <c r="M8580">
        <v>0</v>
      </c>
      <c r="N8580">
        <v>0</v>
      </c>
      <c r="O8580">
        <v>1460</v>
      </c>
      <c r="P8580">
        <v>1459</v>
      </c>
      <c r="Q8580">
        <f>34-20</f>
        <v>14</v>
      </c>
      <c r="R8580" t="s">
        <v>46</v>
      </c>
      <c r="S8580" t="s">
        <v>39</v>
      </c>
      <c r="AB8580" t="s">
        <v>47</v>
      </c>
      <c r="AC8580" t="s">
        <v>87</v>
      </c>
    </row>
    <row r="8581" spans="1:30" x14ac:dyDescent="0.35">
      <c r="A8581" s="7">
        <v>43327</v>
      </c>
      <c r="B8581" t="s">
        <v>30</v>
      </c>
      <c r="C8581">
        <v>303</v>
      </c>
      <c r="D8581">
        <v>5</v>
      </c>
      <c r="E8581">
        <v>1</v>
      </c>
      <c r="F8581" t="s">
        <v>1170</v>
      </c>
      <c r="G8581" t="s">
        <v>32</v>
      </c>
      <c r="H8581" t="s">
        <v>33</v>
      </c>
      <c r="I8581" t="s">
        <v>43</v>
      </c>
      <c r="J8581" t="s">
        <v>35</v>
      </c>
      <c r="K8581" t="s">
        <v>113</v>
      </c>
      <c r="L8581" t="s">
        <v>37</v>
      </c>
      <c r="M8581">
        <v>0</v>
      </c>
      <c r="N8581">
        <v>1</v>
      </c>
      <c r="O8581">
        <v>1234</v>
      </c>
      <c r="P8581">
        <v>1233</v>
      </c>
      <c r="Q8581">
        <f>33.5-17</f>
        <v>16.5</v>
      </c>
      <c r="R8581" t="s">
        <v>64</v>
      </c>
      <c r="AB8581" t="s">
        <v>47</v>
      </c>
      <c r="AC8581" t="s">
        <v>87</v>
      </c>
    </row>
    <row r="8582" spans="1:30" x14ac:dyDescent="0.35">
      <c r="A8582" s="7">
        <v>43327</v>
      </c>
      <c r="B8582" t="s">
        <v>30</v>
      </c>
      <c r="C8582">
        <v>303</v>
      </c>
      <c r="D8582">
        <v>7</v>
      </c>
      <c r="E8582">
        <v>1</v>
      </c>
      <c r="F8582" t="s">
        <v>1170</v>
      </c>
      <c r="G8582" t="s">
        <v>32</v>
      </c>
      <c r="H8582" t="s">
        <v>33</v>
      </c>
      <c r="I8582" t="s">
        <v>43</v>
      </c>
      <c r="J8582" t="s">
        <v>44</v>
      </c>
      <c r="K8582" t="s">
        <v>88</v>
      </c>
      <c r="L8582" t="s">
        <v>45</v>
      </c>
      <c r="M8582">
        <v>0</v>
      </c>
      <c r="N8582">
        <v>0</v>
      </c>
      <c r="O8582">
        <v>1221</v>
      </c>
      <c r="P8582">
        <v>1220</v>
      </c>
      <c r="Q8582">
        <f>31-17.5</f>
        <v>13.5</v>
      </c>
      <c r="R8582" t="s">
        <v>46</v>
      </c>
      <c r="S8582" t="s">
        <v>39</v>
      </c>
      <c r="AB8582" t="s">
        <v>47</v>
      </c>
      <c r="AC8582" t="s">
        <v>87</v>
      </c>
    </row>
    <row r="8583" spans="1:30" x14ac:dyDescent="0.35">
      <c r="A8583" s="7">
        <v>43327</v>
      </c>
      <c r="B8583" t="s">
        <v>30</v>
      </c>
      <c r="C8583">
        <v>303</v>
      </c>
      <c r="D8583">
        <v>7</v>
      </c>
      <c r="E8583">
        <v>2</v>
      </c>
      <c r="F8583" t="s">
        <v>1170</v>
      </c>
      <c r="G8583" t="s">
        <v>32</v>
      </c>
      <c r="H8583" t="s">
        <v>33</v>
      </c>
      <c r="I8583" t="s">
        <v>43</v>
      </c>
      <c r="J8583" t="s">
        <v>44</v>
      </c>
      <c r="K8583" t="s">
        <v>88</v>
      </c>
      <c r="L8583" t="s">
        <v>45</v>
      </c>
      <c r="M8583">
        <v>0</v>
      </c>
      <c r="N8583">
        <v>0</v>
      </c>
      <c r="O8583">
        <v>1006</v>
      </c>
      <c r="P8583">
        <v>1005</v>
      </c>
      <c r="Q8583">
        <f>34-19</f>
        <v>15</v>
      </c>
      <c r="R8583" t="s">
        <v>46</v>
      </c>
      <c r="S8583" t="s">
        <v>39</v>
      </c>
      <c r="AB8583" t="s">
        <v>47</v>
      </c>
      <c r="AC8583" t="s">
        <v>87</v>
      </c>
    </row>
    <row r="8584" spans="1:30" x14ac:dyDescent="0.35">
      <c r="A8584" s="7">
        <v>43327</v>
      </c>
      <c r="B8584" t="s">
        <v>30</v>
      </c>
      <c r="C8584">
        <v>303</v>
      </c>
      <c r="D8584">
        <v>10</v>
      </c>
      <c r="E8584">
        <v>1</v>
      </c>
      <c r="F8584" t="s">
        <v>1170</v>
      </c>
      <c r="G8584" t="s">
        <v>32</v>
      </c>
      <c r="H8584" t="s">
        <v>33</v>
      </c>
      <c r="I8584" t="s">
        <v>43</v>
      </c>
      <c r="J8584" t="s">
        <v>44</v>
      </c>
      <c r="K8584" t="s">
        <v>36</v>
      </c>
      <c r="L8584" t="s">
        <v>45</v>
      </c>
      <c r="M8584">
        <v>0</v>
      </c>
      <c r="N8584">
        <v>0</v>
      </c>
      <c r="O8584">
        <v>2913</v>
      </c>
      <c r="P8584">
        <v>2912</v>
      </c>
      <c r="Q8584">
        <f>44.5-29</f>
        <v>15.5</v>
      </c>
      <c r="R8584" t="s">
        <v>46</v>
      </c>
      <c r="S8584" t="s">
        <v>39</v>
      </c>
      <c r="AB8584" t="s">
        <v>47</v>
      </c>
      <c r="AC8584" t="s">
        <v>87</v>
      </c>
    </row>
    <row r="8585" spans="1:30" x14ac:dyDescent="0.35">
      <c r="A8585" s="7">
        <v>43327</v>
      </c>
      <c r="B8585" t="s">
        <v>30</v>
      </c>
      <c r="C8585">
        <v>401</v>
      </c>
      <c r="D8585">
        <v>1</v>
      </c>
      <c r="E8585">
        <v>1</v>
      </c>
      <c r="F8585" t="s">
        <v>1170</v>
      </c>
      <c r="G8585" t="s">
        <v>32</v>
      </c>
      <c r="H8585" t="s">
        <v>33</v>
      </c>
      <c r="I8585" t="s">
        <v>43</v>
      </c>
      <c r="J8585" t="s">
        <v>35</v>
      </c>
      <c r="K8585" t="s">
        <v>113</v>
      </c>
      <c r="L8585" t="s">
        <v>45</v>
      </c>
      <c r="M8585">
        <v>0</v>
      </c>
      <c r="N8585">
        <v>1</v>
      </c>
      <c r="O8585">
        <v>1236</v>
      </c>
      <c r="P8585">
        <v>1235</v>
      </c>
      <c r="Q8585">
        <f>24-11.5</f>
        <v>12.5</v>
      </c>
      <c r="R8585" t="s">
        <v>46</v>
      </c>
      <c r="S8585" t="s">
        <v>39</v>
      </c>
      <c r="AB8585" t="s">
        <v>47</v>
      </c>
      <c r="AC8585" t="s">
        <v>87</v>
      </c>
    </row>
    <row r="8586" spans="1:30" x14ac:dyDescent="0.35">
      <c r="A8586" s="7">
        <v>43327</v>
      </c>
      <c r="B8586" t="s">
        <v>30</v>
      </c>
      <c r="C8586">
        <v>401</v>
      </c>
      <c r="D8586">
        <v>3</v>
      </c>
      <c r="E8586">
        <v>1</v>
      </c>
      <c r="F8586" t="s">
        <v>1170</v>
      </c>
      <c r="G8586" t="s">
        <v>32</v>
      </c>
      <c r="H8586" t="s">
        <v>33</v>
      </c>
      <c r="I8586" t="s">
        <v>43</v>
      </c>
      <c r="J8586" t="s">
        <v>35</v>
      </c>
      <c r="K8586" t="s">
        <v>113</v>
      </c>
      <c r="L8586" t="s">
        <v>37</v>
      </c>
      <c r="M8586">
        <v>0</v>
      </c>
      <c r="N8586">
        <v>1</v>
      </c>
      <c r="O8586">
        <v>1238</v>
      </c>
      <c r="P8586">
        <v>1237</v>
      </c>
      <c r="Q8586">
        <f>26-14</f>
        <v>12</v>
      </c>
      <c r="R8586" t="s">
        <v>38</v>
      </c>
      <c r="AB8586" t="s">
        <v>47</v>
      </c>
      <c r="AC8586" t="s">
        <v>87</v>
      </c>
    </row>
    <row r="8587" spans="1:30" x14ac:dyDescent="0.35">
      <c r="A8587" s="7">
        <v>43327</v>
      </c>
      <c r="B8587" t="s">
        <v>30</v>
      </c>
      <c r="C8587">
        <v>401</v>
      </c>
      <c r="D8587">
        <v>9</v>
      </c>
      <c r="E8587">
        <v>1</v>
      </c>
      <c r="F8587" t="s">
        <v>1170</v>
      </c>
      <c r="G8587" t="s">
        <v>32</v>
      </c>
      <c r="H8587" t="s">
        <v>33</v>
      </c>
      <c r="I8587" t="s">
        <v>43</v>
      </c>
      <c r="J8587" t="s">
        <v>44</v>
      </c>
      <c r="K8587" t="s">
        <v>113</v>
      </c>
      <c r="L8587" t="s">
        <v>37</v>
      </c>
      <c r="M8587">
        <v>0</v>
      </c>
      <c r="N8587">
        <v>0</v>
      </c>
      <c r="O8587">
        <v>1250</v>
      </c>
      <c r="P8587">
        <v>1249</v>
      </c>
      <c r="Q8587">
        <f>26-14.5</f>
        <v>11.5</v>
      </c>
      <c r="R8587" t="s">
        <v>64</v>
      </c>
      <c r="Z8587" t="s">
        <v>102</v>
      </c>
      <c r="AB8587" t="s">
        <v>47</v>
      </c>
      <c r="AC8587" t="s">
        <v>87</v>
      </c>
    </row>
    <row r="8588" spans="1:30" x14ac:dyDescent="0.35">
      <c r="A8588" s="7">
        <v>43327</v>
      </c>
      <c r="B8588" t="s">
        <v>30</v>
      </c>
      <c r="C8588">
        <v>401</v>
      </c>
      <c r="D8588">
        <v>9</v>
      </c>
      <c r="E8588">
        <v>2</v>
      </c>
      <c r="F8588" t="s">
        <v>1170</v>
      </c>
      <c r="G8588" t="s">
        <v>32</v>
      </c>
      <c r="H8588" t="s">
        <v>33</v>
      </c>
      <c r="I8588" t="s">
        <v>43</v>
      </c>
      <c r="J8588" t="s">
        <v>44</v>
      </c>
      <c r="K8588" t="s">
        <v>113</v>
      </c>
      <c r="L8588" t="s">
        <v>37</v>
      </c>
      <c r="M8588">
        <v>0</v>
      </c>
      <c r="N8588">
        <v>0</v>
      </c>
      <c r="O8588">
        <v>1146</v>
      </c>
      <c r="P8588">
        <v>1145</v>
      </c>
      <c r="R8588" t="s">
        <v>64</v>
      </c>
      <c r="Z8588" t="s">
        <v>102</v>
      </c>
      <c r="AB8588" t="s">
        <v>47</v>
      </c>
      <c r="AC8588" t="s">
        <v>87</v>
      </c>
    </row>
    <row r="8589" spans="1:30" x14ac:dyDescent="0.35">
      <c r="A8589" s="7">
        <v>43327</v>
      </c>
      <c r="B8589" t="s">
        <v>30</v>
      </c>
      <c r="C8589">
        <v>501</v>
      </c>
      <c r="D8589">
        <v>1</v>
      </c>
      <c r="E8589">
        <v>1</v>
      </c>
      <c r="F8589" t="s">
        <v>1170</v>
      </c>
      <c r="G8589" t="s">
        <v>32</v>
      </c>
      <c r="H8589" t="s">
        <v>33</v>
      </c>
      <c r="I8589" t="s">
        <v>43</v>
      </c>
      <c r="J8589" t="s">
        <v>56</v>
      </c>
      <c r="K8589" t="s">
        <v>113</v>
      </c>
      <c r="L8589" t="s">
        <v>45</v>
      </c>
      <c r="AB8589" t="s">
        <v>47</v>
      </c>
      <c r="AC8589" t="s">
        <v>87</v>
      </c>
      <c r="AD8589" t="s">
        <v>1286</v>
      </c>
    </row>
    <row r="8590" spans="1:30" x14ac:dyDescent="0.35">
      <c r="A8590" s="7">
        <v>43327</v>
      </c>
      <c r="B8590" t="s">
        <v>30</v>
      </c>
      <c r="C8590">
        <v>501</v>
      </c>
      <c r="D8590">
        <v>8</v>
      </c>
      <c r="E8590">
        <v>2</v>
      </c>
      <c r="F8590" t="s">
        <v>1170</v>
      </c>
      <c r="G8590" t="s">
        <v>32</v>
      </c>
      <c r="H8590" t="s">
        <v>33</v>
      </c>
      <c r="I8590" t="s">
        <v>43</v>
      </c>
      <c r="J8590" t="s">
        <v>92</v>
      </c>
      <c r="K8590" t="s">
        <v>88</v>
      </c>
      <c r="M8590">
        <v>0</v>
      </c>
      <c r="N8590">
        <v>0</v>
      </c>
      <c r="O8590">
        <v>1203</v>
      </c>
      <c r="P8590">
        <v>1202</v>
      </c>
      <c r="Q8590">
        <f>28-18</f>
        <v>10</v>
      </c>
      <c r="AB8590" t="s">
        <v>47</v>
      </c>
      <c r="AC8590" t="s">
        <v>87</v>
      </c>
    </row>
    <row r="8591" spans="1:30" x14ac:dyDescent="0.35">
      <c r="A8591" s="7">
        <v>43327</v>
      </c>
      <c r="B8591" t="s">
        <v>30</v>
      </c>
      <c r="C8591">
        <v>501</v>
      </c>
      <c r="D8591">
        <v>10</v>
      </c>
      <c r="E8591">
        <v>1</v>
      </c>
      <c r="F8591" t="s">
        <v>1170</v>
      </c>
      <c r="G8591" t="s">
        <v>32</v>
      </c>
      <c r="H8591" t="s">
        <v>33</v>
      </c>
      <c r="I8591" t="s">
        <v>43</v>
      </c>
      <c r="J8591" t="s">
        <v>44</v>
      </c>
      <c r="K8591" t="s">
        <v>113</v>
      </c>
      <c r="L8591" t="s">
        <v>37</v>
      </c>
      <c r="M8591">
        <v>0</v>
      </c>
      <c r="N8591">
        <v>0</v>
      </c>
      <c r="O8591">
        <v>1266</v>
      </c>
      <c r="P8591">
        <v>1265</v>
      </c>
      <c r="Q8591">
        <f>24-12.5</f>
        <v>11.5</v>
      </c>
      <c r="R8591" t="s">
        <v>64</v>
      </c>
      <c r="AB8591" t="s">
        <v>47</v>
      </c>
      <c r="AC8591" t="s">
        <v>87</v>
      </c>
    </row>
    <row r="8592" spans="1:30" x14ac:dyDescent="0.35">
      <c r="A8592" s="7">
        <v>43327</v>
      </c>
      <c r="B8592" t="s">
        <v>30</v>
      </c>
      <c r="C8592">
        <v>503</v>
      </c>
      <c r="D8592">
        <v>3</v>
      </c>
      <c r="E8592">
        <v>1</v>
      </c>
      <c r="F8592" t="s">
        <v>1170</v>
      </c>
      <c r="G8592" t="s">
        <v>32</v>
      </c>
      <c r="H8592" t="s">
        <v>33</v>
      </c>
      <c r="I8592" t="s">
        <v>43</v>
      </c>
      <c r="J8592" t="s">
        <v>35</v>
      </c>
      <c r="K8592" t="s">
        <v>36</v>
      </c>
      <c r="L8592" t="s">
        <v>45</v>
      </c>
      <c r="M8592">
        <v>0</v>
      </c>
      <c r="N8592">
        <v>1</v>
      </c>
      <c r="O8592">
        <v>1228</v>
      </c>
      <c r="P8592">
        <v>1226</v>
      </c>
      <c r="Q8592">
        <f>25-13.5</f>
        <v>11.5</v>
      </c>
      <c r="R8592" t="s">
        <v>46</v>
      </c>
      <c r="S8592" t="s">
        <v>39</v>
      </c>
      <c r="AB8592" t="s">
        <v>47</v>
      </c>
      <c r="AC8592" t="s">
        <v>87</v>
      </c>
    </row>
    <row r="8593" spans="1:29" x14ac:dyDescent="0.35">
      <c r="A8593" s="7">
        <v>43327</v>
      </c>
      <c r="B8593" t="s">
        <v>30</v>
      </c>
      <c r="C8593">
        <v>503</v>
      </c>
      <c r="D8593">
        <v>4</v>
      </c>
      <c r="E8593">
        <v>2</v>
      </c>
      <c r="F8593" t="s">
        <v>1170</v>
      </c>
      <c r="G8593" t="s">
        <v>32</v>
      </c>
      <c r="H8593" t="s">
        <v>33</v>
      </c>
      <c r="I8593" t="s">
        <v>43</v>
      </c>
      <c r="J8593" t="s">
        <v>35</v>
      </c>
      <c r="K8593" t="s">
        <v>88</v>
      </c>
      <c r="L8593" t="s">
        <v>37</v>
      </c>
      <c r="M8593">
        <v>0</v>
      </c>
      <c r="N8593">
        <v>1</v>
      </c>
      <c r="O8593">
        <v>1230</v>
      </c>
      <c r="P8593">
        <v>1229</v>
      </c>
      <c r="Q8593">
        <f>25-13.5</f>
        <v>11.5</v>
      </c>
      <c r="R8593" t="s">
        <v>64</v>
      </c>
      <c r="AB8593" t="s">
        <v>47</v>
      </c>
      <c r="AC8593" t="s">
        <v>87</v>
      </c>
    </row>
    <row r="8594" spans="1:29" x14ac:dyDescent="0.35">
      <c r="A8594" s="7">
        <v>43327</v>
      </c>
      <c r="B8594" t="s">
        <v>30</v>
      </c>
      <c r="C8594">
        <v>503</v>
      </c>
      <c r="D8594">
        <v>5</v>
      </c>
      <c r="E8594">
        <v>1</v>
      </c>
      <c r="F8594" t="s">
        <v>1170</v>
      </c>
      <c r="G8594" t="s">
        <v>32</v>
      </c>
      <c r="H8594" t="s">
        <v>33</v>
      </c>
      <c r="I8594" t="s">
        <v>43</v>
      </c>
      <c r="J8594" t="s">
        <v>44</v>
      </c>
      <c r="K8594" t="s">
        <v>113</v>
      </c>
      <c r="L8594" t="s">
        <v>45</v>
      </c>
      <c r="M8594">
        <v>0</v>
      </c>
      <c r="N8594">
        <v>0</v>
      </c>
      <c r="O8594">
        <v>1248</v>
      </c>
      <c r="P8594">
        <v>1247</v>
      </c>
      <c r="Q8594">
        <f>34.5-21.5</f>
        <v>13</v>
      </c>
      <c r="R8594" t="s">
        <v>46</v>
      </c>
      <c r="S8594" t="s">
        <v>39</v>
      </c>
      <c r="AB8594" t="s">
        <v>47</v>
      </c>
      <c r="AC8594" t="s">
        <v>87</v>
      </c>
    </row>
    <row r="8595" spans="1:29" x14ac:dyDescent="0.35">
      <c r="A8595" s="7">
        <v>43327</v>
      </c>
      <c r="B8595" t="s">
        <v>30</v>
      </c>
      <c r="C8595">
        <v>503</v>
      </c>
      <c r="D8595">
        <v>8</v>
      </c>
      <c r="E8595">
        <v>1</v>
      </c>
      <c r="F8595" t="s">
        <v>1170</v>
      </c>
      <c r="G8595" t="s">
        <v>32</v>
      </c>
      <c r="H8595" t="s">
        <v>33</v>
      </c>
      <c r="I8595" t="s">
        <v>43</v>
      </c>
      <c r="J8595" t="s">
        <v>35</v>
      </c>
      <c r="K8595" t="s">
        <v>113</v>
      </c>
      <c r="L8595" t="s">
        <v>45</v>
      </c>
      <c r="M8595">
        <v>0</v>
      </c>
      <c r="N8595">
        <v>1</v>
      </c>
      <c r="O8595">
        <v>1242</v>
      </c>
      <c r="P8595">
        <v>1241</v>
      </c>
      <c r="Q8595">
        <f>36-21.5</f>
        <v>14.5</v>
      </c>
      <c r="R8595" t="s">
        <v>46</v>
      </c>
      <c r="S8595" t="s">
        <v>39</v>
      </c>
      <c r="AB8595" t="s">
        <v>47</v>
      </c>
      <c r="AC8595" t="s">
        <v>87</v>
      </c>
    </row>
    <row r="8596" spans="1:29" x14ac:dyDescent="0.35">
      <c r="A8596" s="7">
        <v>43327</v>
      </c>
      <c r="B8596" t="s">
        <v>30</v>
      </c>
      <c r="C8596">
        <v>503</v>
      </c>
      <c r="D8596">
        <v>9</v>
      </c>
      <c r="E8596">
        <v>2</v>
      </c>
      <c r="F8596" t="s">
        <v>1170</v>
      </c>
      <c r="G8596" t="s">
        <v>32</v>
      </c>
      <c r="H8596" t="s">
        <v>33</v>
      </c>
      <c r="I8596" t="s">
        <v>43</v>
      </c>
      <c r="J8596" t="s">
        <v>44</v>
      </c>
      <c r="K8596" t="s">
        <v>88</v>
      </c>
      <c r="L8596" t="s">
        <v>37</v>
      </c>
      <c r="M8596">
        <v>0</v>
      </c>
      <c r="N8596">
        <v>0</v>
      </c>
      <c r="O8596">
        <v>1263</v>
      </c>
      <c r="P8596">
        <v>1262</v>
      </c>
      <c r="Q8596">
        <f>31-23</f>
        <v>8</v>
      </c>
      <c r="R8596" t="s">
        <v>64</v>
      </c>
      <c r="Z8596" t="s">
        <v>102</v>
      </c>
      <c r="AB8596" t="s">
        <v>47</v>
      </c>
      <c r="AC8596" t="s">
        <v>87</v>
      </c>
    </row>
    <row r="8597" spans="1:29" x14ac:dyDescent="0.35">
      <c r="A8597" s="7">
        <v>43327</v>
      </c>
      <c r="B8597" t="s">
        <v>30</v>
      </c>
      <c r="C8597">
        <v>503</v>
      </c>
      <c r="D8597">
        <v>10</v>
      </c>
      <c r="E8597">
        <v>2</v>
      </c>
      <c r="F8597" t="s">
        <v>1170</v>
      </c>
      <c r="G8597" t="s">
        <v>32</v>
      </c>
      <c r="H8597" t="s">
        <v>33</v>
      </c>
      <c r="I8597" t="s">
        <v>43</v>
      </c>
      <c r="J8597" t="s">
        <v>44</v>
      </c>
      <c r="K8597" t="s">
        <v>88</v>
      </c>
      <c r="L8597" t="s">
        <v>37</v>
      </c>
      <c r="M8597">
        <v>0</v>
      </c>
      <c r="N8597">
        <v>0</v>
      </c>
      <c r="O8597">
        <v>1244</v>
      </c>
      <c r="P8597">
        <v>1243</v>
      </c>
      <c r="R8597" t="s">
        <v>46</v>
      </c>
      <c r="AB8597" t="s">
        <v>47</v>
      </c>
      <c r="AC8597" t="s">
        <v>87</v>
      </c>
    </row>
    <row r="8598" spans="1:29" x14ac:dyDescent="0.35">
      <c r="A8598" s="7">
        <v>43327</v>
      </c>
      <c r="B8598" t="s">
        <v>30</v>
      </c>
      <c r="C8598">
        <v>701</v>
      </c>
      <c r="D8598">
        <v>1</v>
      </c>
      <c r="E8598">
        <v>1</v>
      </c>
      <c r="F8598" t="s">
        <v>1020</v>
      </c>
      <c r="G8598" t="s">
        <v>32</v>
      </c>
      <c r="H8598" t="s">
        <v>33</v>
      </c>
      <c r="I8598" t="s">
        <v>43</v>
      </c>
      <c r="J8598" t="s">
        <v>44</v>
      </c>
      <c r="K8598" t="s">
        <v>113</v>
      </c>
      <c r="L8598" t="s">
        <v>37</v>
      </c>
      <c r="M8598">
        <v>0</v>
      </c>
      <c r="N8598">
        <v>0</v>
      </c>
      <c r="O8598">
        <v>1215</v>
      </c>
      <c r="P8598">
        <v>1214</v>
      </c>
      <c r="Q8598">
        <f>25-10.5</f>
        <v>14.5</v>
      </c>
      <c r="R8598" t="s">
        <v>64</v>
      </c>
      <c r="AB8598" t="s">
        <v>86</v>
      </c>
      <c r="AC8598" t="s">
        <v>87</v>
      </c>
    </row>
    <row r="8599" spans="1:29" x14ac:dyDescent="0.35">
      <c r="A8599" s="7">
        <v>43327</v>
      </c>
      <c r="B8599" t="s">
        <v>30</v>
      </c>
      <c r="C8599">
        <v>701</v>
      </c>
      <c r="D8599">
        <v>1</v>
      </c>
      <c r="E8599">
        <v>2</v>
      </c>
      <c r="F8599" t="s">
        <v>1020</v>
      </c>
      <c r="G8599" t="s">
        <v>32</v>
      </c>
      <c r="H8599" t="s">
        <v>33</v>
      </c>
      <c r="I8599" t="s">
        <v>43</v>
      </c>
      <c r="J8599" t="s">
        <v>44</v>
      </c>
      <c r="K8599" t="s">
        <v>113</v>
      </c>
      <c r="L8599" t="s">
        <v>45</v>
      </c>
      <c r="M8599">
        <v>0</v>
      </c>
      <c r="N8599">
        <v>0</v>
      </c>
      <c r="O8599">
        <v>1043</v>
      </c>
      <c r="P8599">
        <v>1042</v>
      </c>
      <c r="Q8599">
        <f>26-10</f>
        <v>16</v>
      </c>
      <c r="R8599" t="s">
        <v>46</v>
      </c>
      <c r="S8599" t="s">
        <v>39</v>
      </c>
      <c r="Z8599" t="s">
        <v>102</v>
      </c>
      <c r="AB8599" t="s">
        <v>86</v>
      </c>
      <c r="AC8599" t="s">
        <v>87</v>
      </c>
    </row>
    <row r="8600" spans="1:29" x14ac:dyDescent="0.35">
      <c r="A8600" s="7">
        <v>43327</v>
      </c>
      <c r="B8600" t="s">
        <v>30</v>
      </c>
      <c r="C8600">
        <v>701</v>
      </c>
      <c r="D8600">
        <v>3</v>
      </c>
      <c r="E8600">
        <v>2</v>
      </c>
      <c r="F8600" t="s">
        <v>1020</v>
      </c>
      <c r="G8600" t="s">
        <v>32</v>
      </c>
      <c r="H8600" t="s">
        <v>33</v>
      </c>
      <c r="I8600" t="s">
        <v>43</v>
      </c>
      <c r="J8600" t="s">
        <v>44</v>
      </c>
      <c r="K8600" t="s">
        <v>36</v>
      </c>
      <c r="L8600" t="s">
        <v>45</v>
      </c>
      <c r="M8600">
        <v>0</v>
      </c>
      <c r="N8600">
        <v>0</v>
      </c>
      <c r="O8600">
        <v>2471</v>
      </c>
      <c r="P8600">
        <v>2470</v>
      </c>
      <c r="Q8600">
        <f>32.5-10</f>
        <v>22.5</v>
      </c>
      <c r="R8600" t="s">
        <v>46</v>
      </c>
      <c r="S8600" t="s">
        <v>39</v>
      </c>
      <c r="Z8600" t="s">
        <v>102</v>
      </c>
      <c r="AB8600" t="s">
        <v>86</v>
      </c>
      <c r="AC8600" t="s">
        <v>87</v>
      </c>
    </row>
    <row r="8601" spans="1:29" x14ac:dyDescent="0.35">
      <c r="A8601" s="7">
        <v>43327</v>
      </c>
      <c r="B8601" t="s">
        <v>30</v>
      </c>
      <c r="C8601">
        <v>701</v>
      </c>
      <c r="D8601">
        <v>5</v>
      </c>
      <c r="E8601">
        <v>1</v>
      </c>
      <c r="F8601" t="s">
        <v>1020</v>
      </c>
      <c r="G8601" t="s">
        <v>32</v>
      </c>
      <c r="H8601" t="s">
        <v>33</v>
      </c>
      <c r="I8601" t="s">
        <v>43</v>
      </c>
      <c r="J8601" t="s">
        <v>35</v>
      </c>
      <c r="K8601" t="s">
        <v>88</v>
      </c>
      <c r="L8601" t="s">
        <v>37</v>
      </c>
      <c r="M8601">
        <v>0</v>
      </c>
      <c r="N8601">
        <v>1</v>
      </c>
      <c r="O8601">
        <v>1443</v>
      </c>
      <c r="P8601">
        <v>1442</v>
      </c>
      <c r="Q8601">
        <f>20.5-9.75</f>
        <v>10.75</v>
      </c>
      <c r="R8601" t="s">
        <v>64</v>
      </c>
      <c r="AB8601" t="s">
        <v>86</v>
      </c>
      <c r="AC8601" t="s">
        <v>87</v>
      </c>
    </row>
    <row r="8602" spans="1:29" x14ac:dyDescent="0.35">
      <c r="A8602" s="7">
        <v>43327</v>
      </c>
      <c r="B8602" t="s">
        <v>30</v>
      </c>
      <c r="C8602">
        <v>701</v>
      </c>
      <c r="D8602">
        <v>7</v>
      </c>
      <c r="E8602">
        <v>1</v>
      </c>
      <c r="F8602" t="s">
        <v>1020</v>
      </c>
      <c r="G8602" t="s">
        <v>32</v>
      </c>
      <c r="H8602" t="s">
        <v>33</v>
      </c>
      <c r="I8602" t="s">
        <v>43</v>
      </c>
      <c r="J8602" t="s">
        <v>44</v>
      </c>
      <c r="K8602" t="s">
        <v>113</v>
      </c>
      <c r="L8602" t="s">
        <v>37</v>
      </c>
      <c r="M8602">
        <v>0</v>
      </c>
      <c r="N8602">
        <v>0</v>
      </c>
      <c r="O8602">
        <v>1522</v>
      </c>
      <c r="P8602">
        <v>1521</v>
      </c>
      <c r="Q8602">
        <f>27-11.5</f>
        <v>15.5</v>
      </c>
      <c r="R8602" t="s">
        <v>64</v>
      </c>
      <c r="AB8602" t="s">
        <v>86</v>
      </c>
      <c r="AC8602" t="s">
        <v>87</v>
      </c>
    </row>
    <row r="8603" spans="1:29" x14ac:dyDescent="0.35">
      <c r="A8603" s="7">
        <v>43327</v>
      </c>
      <c r="B8603" t="s">
        <v>30</v>
      </c>
      <c r="C8603">
        <v>703</v>
      </c>
      <c r="D8603">
        <v>3</v>
      </c>
      <c r="E8603">
        <v>1</v>
      </c>
      <c r="F8603" t="s">
        <v>1020</v>
      </c>
      <c r="G8603" t="s">
        <v>32</v>
      </c>
      <c r="H8603" t="s">
        <v>33</v>
      </c>
      <c r="I8603" t="s">
        <v>43</v>
      </c>
      <c r="J8603" t="s">
        <v>44</v>
      </c>
      <c r="K8603" t="s">
        <v>113</v>
      </c>
      <c r="L8603" t="s">
        <v>45</v>
      </c>
      <c r="M8603">
        <v>0</v>
      </c>
      <c r="N8603">
        <v>0</v>
      </c>
      <c r="O8603">
        <v>1464</v>
      </c>
      <c r="P8603">
        <v>1463</v>
      </c>
      <c r="Q8603">
        <f>24.5-10.5</f>
        <v>14</v>
      </c>
      <c r="R8603" t="s">
        <v>46</v>
      </c>
      <c r="S8603" t="s">
        <v>39</v>
      </c>
      <c r="AB8603" t="s">
        <v>86</v>
      </c>
      <c r="AC8603" t="s">
        <v>87</v>
      </c>
    </row>
    <row r="8604" spans="1:29" x14ac:dyDescent="0.35">
      <c r="A8604" s="7">
        <v>43327</v>
      </c>
      <c r="B8604" t="s">
        <v>30</v>
      </c>
      <c r="C8604">
        <v>703</v>
      </c>
      <c r="D8604">
        <v>5</v>
      </c>
      <c r="E8604">
        <v>1</v>
      </c>
      <c r="F8604" t="s">
        <v>1020</v>
      </c>
      <c r="G8604" t="s">
        <v>32</v>
      </c>
      <c r="H8604" t="s">
        <v>33</v>
      </c>
      <c r="I8604" t="s">
        <v>43</v>
      </c>
      <c r="J8604" t="s">
        <v>44</v>
      </c>
      <c r="K8604" t="s">
        <v>88</v>
      </c>
      <c r="L8604" t="s">
        <v>45</v>
      </c>
      <c r="M8604">
        <v>0</v>
      </c>
      <c r="N8604">
        <v>0</v>
      </c>
      <c r="O8604">
        <v>1557</v>
      </c>
      <c r="P8604">
        <v>1556</v>
      </c>
      <c r="Q8604">
        <f>24.5-11</f>
        <v>13.5</v>
      </c>
      <c r="R8604" t="s">
        <v>46</v>
      </c>
      <c r="S8604" t="s">
        <v>39</v>
      </c>
      <c r="AB8604" t="s">
        <v>86</v>
      </c>
      <c r="AC8604" t="s">
        <v>87</v>
      </c>
    </row>
    <row r="8605" spans="1:29" x14ac:dyDescent="0.35">
      <c r="A8605" s="7">
        <v>43327</v>
      </c>
      <c r="B8605" t="s">
        <v>30</v>
      </c>
      <c r="C8605">
        <v>703</v>
      </c>
      <c r="D8605">
        <v>5</v>
      </c>
      <c r="E8605">
        <v>2</v>
      </c>
      <c r="F8605" t="s">
        <v>1020</v>
      </c>
      <c r="G8605" t="s">
        <v>32</v>
      </c>
      <c r="H8605" t="s">
        <v>33</v>
      </c>
      <c r="I8605" t="s">
        <v>43</v>
      </c>
      <c r="J8605" t="s">
        <v>44</v>
      </c>
      <c r="K8605" t="s">
        <v>36</v>
      </c>
      <c r="L8605" t="s">
        <v>45</v>
      </c>
      <c r="M8605">
        <v>0</v>
      </c>
      <c r="N8605">
        <v>0</v>
      </c>
      <c r="O8605">
        <v>39771</v>
      </c>
      <c r="P8605">
        <v>39770</v>
      </c>
      <c r="Q8605">
        <f>28.5-9.75</f>
        <v>18.75</v>
      </c>
      <c r="R8605" t="s">
        <v>46</v>
      </c>
      <c r="S8605" t="s">
        <v>39</v>
      </c>
      <c r="AB8605" t="s">
        <v>86</v>
      </c>
      <c r="AC8605" t="s">
        <v>87</v>
      </c>
    </row>
    <row r="8606" spans="1:29" x14ac:dyDescent="0.35">
      <c r="A8606" s="7">
        <v>43327</v>
      </c>
      <c r="B8606" t="s">
        <v>30</v>
      </c>
      <c r="C8606">
        <v>703</v>
      </c>
      <c r="D8606">
        <v>6</v>
      </c>
      <c r="E8606">
        <v>2</v>
      </c>
      <c r="F8606" t="s">
        <v>1020</v>
      </c>
      <c r="G8606" t="s">
        <v>32</v>
      </c>
      <c r="H8606" t="s">
        <v>33</v>
      </c>
      <c r="I8606" t="s">
        <v>43</v>
      </c>
      <c r="J8606" t="s">
        <v>44</v>
      </c>
      <c r="K8606" t="s">
        <v>36</v>
      </c>
      <c r="L8606" t="s">
        <v>37</v>
      </c>
      <c r="M8606">
        <v>0</v>
      </c>
      <c r="N8606">
        <v>0</v>
      </c>
      <c r="O8606">
        <v>1029</v>
      </c>
      <c r="P8606">
        <v>1028</v>
      </c>
      <c r="Q8606">
        <f>25.5-10.75</f>
        <v>14.75</v>
      </c>
      <c r="R8606" t="s">
        <v>64</v>
      </c>
      <c r="AB8606" t="s">
        <v>86</v>
      </c>
      <c r="AC8606" t="s">
        <v>87</v>
      </c>
    </row>
    <row r="8607" spans="1:29" x14ac:dyDescent="0.35">
      <c r="A8607" s="7">
        <v>43327</v>
      </c>
      <c r="B8607" t="s">
        <v>30</v>
      </c>
      <c r="C8607">
        <v>703</v>
      </c>
      <c r="D8607">
        <v>7</v>
      </c>
      <c r="E8607">
        <v>2</v>
      </c>
      <c r="F8607" t="s">
        <v>1020</v>
      </c>
      <c r="G8607" t="s">
        <v>32</v>
      </c>
      <c r="H8607" t="s">
        <v>33</v>
      </c>
      <c r="I8607" t="s">
        <v>43</v>
      </c>
      <c r="J8607" t="s">
        <v>44</v>
      </c>
      <c r="K8607" t="s">
        <v>36</v>
      </c>
      <c r="L8607" t="s">
        <v>45</v>
      </c>
      <c r="M8607">
        <v>0</v>
      </c>
      <c r="N8607">
        <v>0</v>
      </c>
      <c r="O8607">
        <v>1165</v>
      </c>
      <c r="P8607">
        <v>1164</v>
      </c>
      <c r="Q8607">
        <f>29.5-11</f>
        <v>18.5</v>
      </c>
      <c r="R8607" t="s">
        <v>46</v>
      </c>
      <c r="S8607" t="s">
        <v>39</v>
      </c>
      <c r="Z8607" t="s">
        <v>102</v>
      </c>
      <c r="AB8607" t="s">
        <v>86</v>
      </c>
      <c r="AC8607" t="s">
        <v>87</v>
      </c>
    </row>
    <row r="8608" spans="1:29" x14ac:dyDescent="0.35">
      <c r="A8608" s="7">
        <v>43327</v>
      </c>
      <c r="B8608" t="s">
        <v>30</v>
      </c>
      <c r="C8608">
        <v>703</v>
      </c>
      <c r="D8608">
        <v>9</v>
      </c>
      <c r="E8608">
        <v>1</v>
      </c>
      <c r="F8608" t="s">
        <v>1020</v>
      </c>
      <c r="G8608" t="s">
        <v>32</v>
      </c>
      <c r="H8608" t="s">
        <v>33</v>
      </c>
      <c r="I8608" t="s">
        <v>43</v>
      </c>
      <c r="J8608" t="s">
        <v>44</v>
      </c>
      <c r="K8608" t="s">
        <v>36</v>
      </c>
      <c r="L8608" t="s">
        <v>37</v>
      </c>
      <c r="M8608">
        <v>0</v>
      </c>
      <c r="N8608">
        <v>0</v>
      </c>
      <c r="O8608">
        <v>2456</v>
      </c>
      <c r="P8608">
        <v>2455</v>
      </c>
      <c r="R8608" t="s">
        <v>38</v>
      </c>
      <c r="AB8608" t="s">
        <v>86</v>
      </c>
      <c r="AC8608" t="s">
        <v>87</v>
      </c>
    </row>
    <row r="8609" spans="1:30" x14ac:dyDescent="0.35">
      <c r="A8609" s="7">
        <v>43327</v>
      </c>
      <c r="B8609" t="s">
        <v>30</v>
      </c>
      <c r="C8609">
        <v>703</v>
      </c>
      <c r="D8609">
        <v>9</v>
      </c>
      <c r="E8609">
        <v>2</v>
      </c>
      <c r="F8609" t="s">
        <v>1020</v>
      </c>
      <c r="G8609" t="s">
        <v>32</v>
      </c>
      <c r="H8609" t="s">
        <v>33</v>
      </c>
      <c r="I8609" t="s">
        <v>43</v>
      </c>
      <c r="J8609" t="s">
        <v>44</v>
      </c>
      <c r="K8609" t="s">
        <v>36</v>
      </c>
      <c r="L8609" t="s">
        <v>45</v>
      </c>
      <c r="M8609">
        <v>0</v>
      </c>
      <c r="N8609">
        <v>0</v>
      </c>
      <c r="O8609">
        <v>2469</v>
      </c>
      <c r="P8609">
        <v>2468</v>
      </c>
      <c r="Q8609">
        <f>27.5-11</f>
        <v>16.5</v>
      </c>
      <c r="R8609" t="s">
        <v>46</v>
      </c>
      <c r="S8609" t="s">
        <v>39</v>
      </c>
      <c r="AB8609" t="s">
        <v>86</v>
      </c>
      <c r="AC8609" t="s">
        <v>87</v>
      </c>
    </row>
    <row r="8610" spans="1:30" x14ac:dyDescent="0.35">
      <c r="A8610" s="7">
        <v>43327</v>
      </c>
      <c r="B8610" t="s">
        <v>30</v>
      </c>
      <c r="C8610">
        <v>801</v>
      </c>
      <c r="D8610">
        <v>4</v>
      </c>
      <c r="E8610">
        <v>1</v>
      </c>
      <c r="F8610" t="s">
        <v>1020</v>
      </c>
      <c r="G8610" t="s">
        <v>32</v>
      </c>
      <c r="H8610" t="s">
        <v>33</v>
      </c>
      <c r="I8610" t="s">
        <v>43</v>
      </c>
      <c r="J8610" t="s">
        <v>35</v>
      </c>
      <c r="K8610" t="s">
        <v>88</v>
      </c>
      <c r="L8610" t="s">
        <v>37</v>
      </c>
      <c r="M8610">
        <v>0</v>
      </c>
      <c r="N8610">
        <v>1</v>
      </c>
      <c r="O8610">
        <v>1450</v>
      </c>
      <c r="P8610">
        <v>1449</v>
      </c>
      <c r="Q8610">
        <f>25.5-11</f>
        <v>14.5</v>
      </c>
      <c r="R8610" t="s">
        <v>64</v>
      </c>
      <c r="AB8610" t="s">
        <v>86</v>
      </c>
      <c r="AC8610" t="s">
        <v>87</v>
      </c>
    </row>
    <row r="8611" spans="1:30" x14ac:dyDescent="0.35">
      <c r="A8611" s="7">
        <v>43327</v>
      </c>
      <c r="B8611" t="s">
        <v>30</v>
      </c>
      <c r="C8611">
        <v>801</v>
      </c>
      <c r="D8611">
        <v>4</v>
      </c>
      <c r="E8611">
        <v>2</v>
      </c>
      <c r="F8611" t="s">
        <v>1020</v>
      </c>
      <c r="G8611" t="s">
        <v>32</v>
      </c>
      <c r="H8611" t="s">
        <v>33</v>
      </c>
      <c r="I8611" t="s">
        <v>43</v>
      </c>
      <c r="J8611" t="s">
        <v>44</v>
      </c>
      <c r="K8611" t="s">
        <v>113</v>
      </c>
      <c r="L8611" t="s">
        <v>45</v>
      </c>
      <c r="M8611">
        <v>0</v>
      </c>
      <c r="N8611">
        <v>0</v>
      </c>
      <c r="O8611">
        <v>1364</v>
      </c>
      <c r="P8611">
        <v>1363</v>
      </c>
      <c r="Q8611">
        <f>26.5-10.25</f>
        <v>16.25</v>
      </c>
      <c r="R8611" t="s">
        <v>46</v>
      </c>
      <c r="S8611" t="s">
        <v>39</v>
      </c>
      <c r="AB8611" t="s">
        <v>86</v>
      </c>
      <c r="AC8611" t="s">
        <v>87</v>
      </c>
    </row>
    <row r="8612" spans="1:30" x14ac:dyDescent="0.35">
      <c r="A8612" s="7">
        <v>43327</v>
      </c>
      <c r="B8612" t="s">
        <v>30</v>
      </c>
      <c r="C8612">
        <v>801</v>
      </c>
      <c r="D8612">
        <v>5</v>
      </c>
      <c r="E8612">
        <v>2</v>
      </c>
      <c r="F8612" t="s">
        <v>1020</v>
      </c>
      <c r="G8612" t="s">
        <v>32</v>
      </c>
      <c r="H8612" t="s">
        <v>33</v>
      </c>
      <c r="I8612" t="s">
        <v>43</v>
      </c>
      <c r="J8612" t="s">
        <v>44</v>
      </c>
      <c r="K8612" t="s">
        <v>88</v>
      </c>
      <c r="L8612" t="s">
        <v>45</v>
      </c>
      <c r="M8612">
        <v>0</v>
      </c>
      <c r="N8612">
        <v>0</v>
      </c>
      <c r="O8612">
        <v>1562</v>
      </c>
      <c r="P8612">
        <v>1561</v>
      </c>
      <c r="Q8612">
        <f>27-12</f>
        <v>15</v>
      </c>
      <c r="R8612" t="s">
        <v>46</v>
      </c>
      <c r="S8612" t="s">
        <v>39</v>
      </c>
      <c r="AB8612" t="s">
        <v>86</v>
      </c>
      <c r="AC8612" t="s">
        <v>87</v>
      </c>
    </row>
    <row r="8613" spans="1:30" x14ac:dyDescent="0.35">
      <c r="A8613" s="7">
        <v>43327</v>
      </c>
      <c r="B8613" t="s">
        <v>30</v>
      </c>
      <c r="C8613">
        <v>801</v>
      </c>
      <c r="D8613">
        <v>6</v>
      </c>
      <c r="E8613">
        <v>2</v>
      </c>
      <c r="F8613" t="s">
        <v>1020</v>
      </c>
      <c r="G8613" t="s">
        <v>32</v>
      </c>
      <c r="H8613" t="s">
        <v>33</v>
      </c>
      <c r="I8613" t="s">
        <v>43</v>
      </c>
      <c r="J8613" t="s">
        <v>44</v>
      </c>
      <c r="K8613" t="s">
        <v>88</v>
      </c>
      <c r="L8613" t="s">
        <v>37</v>
      </c>
      <c r="M8613">
        <v>0</v>
      </c>
      <c r="N8613">
        <v>0</v>
      </c>
      <c r="O8613">
        <v>1356</v>
      </c>
      <c r="P8613">
        <v>1355</v>
      </c>
      <c r="Q8613">
        <f>23.5-10.25</f>
        <v>13.25</v>
      </c>
      <c r="R8613" t="s">
        <v>64</v>
      </c>
      <c r="AB8613" t="s">
        <v>86</v>
      </c>
      <c r="AC8613" t="s">
        <v>87</v>
      </c>
    </row>
    <row r="8614" spans="1:30" x14ac:dyDescent="0.35">
      <c r="A8614" s="7">
        <v>43327</v>
      </c>
      <c r="B8614" t="s">
        <v>30</v>
      </c>
      <c r="C8614">
        <v>801</v>
      </c>
      <c r="D8614">
        <v>8</v>
      </c>
      <c r="E8614">
        <v>2</v>
      </c>
      <c r="F8614" t="s">
        <v>1020</v>
      </c>
      <c r="G8614" t="s">
        <v>32</v>
      </c>
      <c r="H8614" t="s">
        <v>33</v>
      </c>
      <c r="I8614" t="s">
        <v>43</v>
      </c>
      <c r="J8614" t="s">
        <v>44</v>
      </c>
      <c r="K8614" t="s">
        <v>36</v>
      </c>
      <c r="L8614" t="s">
        <v>45</v>
      </c>
      <c r="M8614">
        <v>0</v>
      </c>
      <c r="N8614">
        <v>0</v>
      </c>
      <c r="O8614">
        <v>2425</v>
      </c>
      <c r="P8614">
        <v>2424</v>
      </c>
      <c r="Q8614">
        <f>30-11</f>
        <v>19</v>
      </c>
      <c r="R8614" t="s">
        <v>46</v>
      </c>
      <c r="S8614" t="s">
        <v>39</v>
      </c>
      <c r="AB8614" t="s">
        <v>86</v>
      </c>
      <c r="AC8614" t="s">
        <v>87</v>
      </c>
      <c r="AD8614" t="s">
        <v>1287</v>
      </c>
    </row>
    <row r="8615" spans="1:30" x14ac:dyDescent="0.35">
      <c r="A8615" s="7">
        <v>43327</v>
      </c>
      <c r="B8615" t="s">
        <v>30</v>
      </c>
      <c r="C8615">
        <v>801</v>
      </c>
      <c r="D8615">
        <v>9</v>
      </c>
      <c r="E8615">
        <v>1</v>
      </c>
      <c r="F8615" t="s">
        <v>1020</v>
      </c>
      <c r="G8615" t="s">
        <v>32</v>
      </c>
      <c r="H8615" t="s">
        <v>33</v>
      </c>
      <c r="I8615" t="s">
        <v>43</v>
      </c>
      <c r="J8615" t="s">
        <v>44</v>
      </c>
      <c r="K8615" t="s">
        <v>88</v>
      </c>
      <c r="L8615" t="s">
        <v>37</v>
      </c>
      <c r="M8615">
        <v>0</v>
      </c>
      <c r="N8615">
        <v>0</v>
      </c>
      <c r="O8615">
        <v>1568</v>
      </c>
      <c r="P8615">
        <v>1567</v>
      </c>
      <c r="Q8615">
        <f>25.75-10.25</f>
        <v>15.5</v>
      </c>
      <c r="R8615" t="s">
        <v>64</v>
      </c>
      <c r="AB8615" t="s">
        <v>86</v>
      </c>
      <c r="AC8615" t="s">
        <v>87</v>
      </c>
      <c r="AD8615" t="s">
        <v>1288</v>
      </c>
    </row>
    <row r="8616" spans="1:30" x14ac:dyDescent="0.35">
      <c r="A8616" s="7">
        <v>43327</v>
      </c>
      <c r="B8616" t="s">
        <v>30</v>
      </c>
      <c r="C8616">
        <v>801</v>
      </c>
      <c r="D8616">
        <v>10</v>
      </c>
      <c r="E8616">
        <v>1</v>
      </c>
      <c r="F8616" t="s">
        <v>1020</v>
      </c>
      <c r="G8616" t="s">
        <v>32</v>
      </c>
      <c r="H8616" t="s">
        <v>33</v>
      </c>
      <c r="I8616" t="s">
        <v>43</v>
      </c>
      <c r="J8616" t="s">
        <v>44</v>
      </c>
      <c r="K8616" t="s">
        <v>36</v>
      </c>
      <c r="L8616" t="s">
        <v>37</v>
      </c>
      <c r="M8616">
        <v>0</v>
      </c>
      <c r="N8616">
        <v>0</v>
      </c>
      <c r="O8616">
        <v>1168</v>
      </c>
      <c r="P8616">
        <v>1167</v>
      </c>
      <c r="Q8616">
        <f>30.5-11</f>
        <v>19.5</v>
      </c>
      <c r="R8616" t="s">
        <v>64</v>
      </c>
      <c r="AB8616" t="s">
        <v>86</v>
      </c>
      <c r="AC8616" t="s">
        <v>87</v>
      </c>
    </row>
    <row r="8617" spans="1:30" x14ac:dyDescent="0.35">
      <c r="A8617" s="7">
        <v>43327</v>
      </c>
      <c r="B8617" t="s">
        <v>30</v>
      </c>
      <c r="C8617">
        <v>803</v>
      </c>
      <c r="D8617">
        <v>1</v>
      </c>
      <c r="E8617">
        <v>1</v>
      </c>
      <c r="F8617" t="s">
        <v>1020</v>
      </c>
      <c r="G8617" t="s">
        <v>32</v>
      </c>
      <c r="H8617" t="s">
        <v>33</v>
      </c>
      <c r="I8617" t="s">
        <v>43</v>
      </c>
      <c r="J8617" t="s">
        <v>44</v>
      </c>
      <c r="K8617" t="s">
        <v>113</v>
      </c>
      <c r="L8617" t="s">
        <v>45</v>
      </c>
      <c r="M8617">
        <v>0</v>
      </c>
      <c r="N8617">
        <v>0</v>
      </c>
      <c r="O8617">
        <v>1554</v>
      </c>
      <c r="P8617">
        <v>1553</v>
      </c>
      <c r="R8617" t="s">
        <v>46</v>
      </c>
      <c r="S8617" t="s">
        <v>39</v>
      </c>
      <c r="AB8617" t="s">
        <v>86</v>
      </c>
      <c r="AC8617" t="s">
        <v>87</v>
      </c>
    </row>
    <row r="8618" spans="1:30" x14ac:dyDescent="0.35">
      <c r="A8618" s="7">
        <v>43327</v>
      </c>
      <c r="B8618" t="s">
        <v>30</v>
      </c>
      <c r="C8618">
        <v>803</v>
      </c>
      <c r="D8618">
        <v>5</v>
      </c>
      <c r="E8618">
        <v>2</v>
      </c>
      <c r="F8618" t="s">
        <v>1020</v>
      </c>
      <c r="G8618" t="s">
        <v>32</v>
      </c>
      <c r="H8618" t="s">
        <v>33</v>
      </c>
      <c r="I8618" t="s">
        <v>43</v>
      </c>
      <c r="J8618" t="s">
        <v>44</v>
      </c>
      <c r="K8618" t="s">
        <v>36</v>
      </c>
      <c r="L8618" t="s">
        <v>37</v>
      </c>
      <c r="M8618">
        <v>0</v>
      </c>
      <c r="N8618">
        <v>0</v>
      </c>
      <c r="O8618">
        <v>1552</v>
      </c>
      <c r="P8618">
        <v>1551</v>
      </c>
      <c r="Q8618">
        <f>27.5-11.5</f>
        <v>16</v>
      </c>
      <c r="R8618" t="s">
        <v>64</v>
      </c>
      <c r="AB8618" t="s">
        <v>86</v>
      </c>
      <c r="AC8618" t="s">
        <v>87</v>
      </c>
    </row>
    <row r="8619" spans="1:30" x14ac:dyDescent="0.35">
      <c r="A8619" s="7">
        <v>43327</v>
      </c>
      <c r="B8619" t="s">
        <v>30</v>
      </c>
      <c r="C8619">
        <v>901</v>
      </c>
      <c r="D8619">
        <v>2</v>
      </c>
      <c r="E8619">
        <v>1</v>
      </c>
      <c r="F8619" t="s">
        <v>1020</v>
      </c>
      <c r="G8619" t="s">
        <v>32</v>
      </c>
      <c r="H8619" t="s">
        <v>33</v>
      </c>
      <c r="I8619" t="s">
        <v>43</v>
      </c>
      <c r="J8619" t="s">
        <v>44</v>
      </c>
      <c r="K8619" t="s">
        <v>113</v>
      </c>
      <c r="L8619" t="s">
        <v>45</v>
      </c>
      <c r="M8619">
        <v>0</v>
      </c>
      <c r="N8619">
        <v>0</v>
      </c>
      <c r="O8619">
        <v>1402</v>
      </c>
      <c r="P8619">
        <v>1401</v>
      </c>
      <c r="Q8619">
        <f>23-10.25</f>
        <v>12.75</v>
      </c>
      <c r="R8619" t="s">
        <v>46</v>
      </c>
      <c r="S8619" t="s">
        <v>39</v>
      </c>
      <c r="AB8619" t="s">
        <v>86</v>
      </c>
      <c r="AC8619" t="s">
        <v>87</v>
      </c>
    </row>
    <row r="8620" spans="1:30" x14ac:dyDescent="0.35">
      <c r="A8620" s="7">
        <v>43327</v>
      </c>
      <c r="B8620" t="s">
        <v>30</v>
      </c>
      <c r="C8620">
        <v>901</v>
      </c>
      <c r="D8620">
        <v>2</v>
      </c>
      <c r="E8620">
        <v>2</v>
      </c>
      <c r="F8620" t="s">
        <v>1020</v>
      </c>
      <c r="G8620" t="s">
        <v>32</v>
      </c>
      <c r="H8620" t="s">
        <v>33</v>
      </c>
      <c r="I8620" t="s">
        <v>43</v>
      </c>
      <c r="J8620" t="s">
        <v>44</v>
      </c>
      <c r="K8620" t="s">
        <v>36</v>
      </c>
      <c r="L8620" t="s">
        <v>37</v>
      </c>
      <c r="M8620">
        <v>0</v>
      </c>
      <c r="N8620">
        <v>0</v>
      </c>
      <c r="O8620">
        <v>1394</v>
      </c>
      <c r="P8620">
        <v>1393</v>
      </c>
      <c r="Q8620">
        <f>30-10.5</f>
        <v>19.5</v>
      </c>
      <c r="R8620" t="s">
        <v>64</v>
      </c>
      <c r="AB8620" t="s">
        <v>86</v>
      </c>
      <c r="AC8620" t="s">
        <v>87</v>
      </c>
      <c r="AD8620" t="s">
        <v>1289</v>
      </c>
    </row>
    <row r="8621" spans="1:30" x14ac:dyDescent="0.35">
      <c r="A8621" s="7">
        <v>43327</v>
      </c>
      <c r="B8621" t="s">
        <v>30</v>
      </c>
      <c r="C8621">
        <v>901</v>
      </c>
      <c r="D8621">
        <v>3</v>
      </c>
      <c r="E8621">
        <v>1</v>
      </c>
      <c r="F8621" t="s">
        <v>1020</v>
      </c>
      <c r="G8621" t="s">
        <v>32</v>
      </c>
      <c r="H8621" t="s">
        <v>33</v>
      </c>
      <c r="I8621" t="s">
        <v>43</v>
      </c>
      <c r="J8621" t="s">
        <v>44</v>
      </c>
      <c r="K8621" t="s">
        <v>113</v>
      </c>
      <c r="L8621" t="s">
        <v>45</v>
      </c>
      <c r="M8621">
        <v>0</v>
      </c>
      <c r="N8621">
        <v>0</v>
      </c>
      <c r="O8621">
        <v>1373</v>
      </c>
      <c r="P8621">
        <v>1372</v>
      </c>
      <c r="Q8621">
        <f>28-10.5</f>
        <v>17.5</v>
      </c>
      <c r="R8621" t="s">
        <v>46</v>
      </c>
      <c r="S8621" t="s">
        <v>39</v>
      </c>
      <c r="AB8621" t="s">
        <v>86</v>
      </c>
      <c r="AC8621" t="s">
        <v>87</v>
      </c>
      <c r="AD8621" t="s">
        <v>1263</v>
      </c>
    </row>
    <row r="8622" spans="1:30" x14ac:dyDescent="0.35">
      <c r="A8622" s="7">
        <v>43327</v>
      </c>
      <c r="B8622" t="s">
        <v>30</v>
      </c>
      <c r="C8622">
        <v>901</v>
      </c>
      <c r="D8622">
        <v>5</v>
      </c>
      <c r="E8622">
        <v>1</v>
      </c>
      <c r="F8622" t="s">
        <v>1020</v>
      </c>
      <c r="G8622" t="s">
        <v>32</v>
      </c>
      <c r="H8622" t="s">
        <v>33</v>
      </c>
      <c r="I8622" t="s">
        <v>43</v>
      </c>
      <c r="J8622" t="s">
        <v>44</v>
      </c>
      <c r="K8622" t="s">
        <v>36</v>
      </c>
      <c r="L8622" t="s">
        <v>37</v>
      </c>
      <c r="M8622">
        <v>0</v>
      </c>
      <c r="N8622">
        <v>0</v>
      </c>
      <c r="O8622">
        <v>1075</v>
      </c>
      <c r="P8622">
        <v>1074</v>
      </c>
      <c r="Q8622">
        <f>28.5-9.75</f>
        <v>18.75</v>
      </c>
      <c r="R8622" t="s">
        <v>38</v>
      </c>
      <c r="AB8622" t="s">
        <v>86</v>
      </c>
      <c r="AC8622" t="s">
        <v>87</v>
      </c>
      <c r="AD8622" t="s">
        <v>1290</v>
      </c>
    </row>
    <row r="8623" spans="1:30" x14ac:dyDescent="0.35">
      <c r="A8623" s="7">
        <v>43327</v>
      </c>
      <c r="B8623" t="s">
        <v>30</v>
      </c>
      <c r="C8623">
        <v>303</v>
      </c>
      <c r="D8623">
        <v>2</v>
      </c>
      <c r="E8623">
        <v>1</v>
      </c>
      <c r="F8623" t="s">
        <v>1170</v>
      </c>
      <c r="G8623" t="s">
        <v>32</v>
      </c>
      <c r="H8623" t="s">
        <v>33</v>
      </c>
      <c r="I8623" t="s">
        <v>34</v>
      </c>
      <c r="J8623" t="s">
        <v>92</v>
      </c>
      <c r="AB8623" t="s">
        <v>47</v>
      </c>
      <c r="AC8623" t="s">
        <v>87</v>
      </c>
    </row>
    <row r="8624" spans="1:30" x14ac:dyDescent="0.35">
      <c r="A8624" s="7">
        <v>43327</v>
      </c>
      <c r="B8624" t="s">
        <v>30</v>
      </c>
      <c r="C8624">
        <v>401</v>
      </c>
      <c r="D8624">
        <v>2</v>
      </c>
      <c r="E8624">
        <v>1</v>
      </c>
      <c r="F8624" t="s">
        <v>1170</v>
      </c>
      <c r="G8624" t="s">
        <v>32</v>
      </c>
      <c r="H8624" t="s">
        <v>33</v>
      </c>
      <c r="I8624" t="s">
        <v>34</v>
      </c>
      <c r="J8624" t="s">
        <v>44</v>
      </c>
      <c r="K8624" t="s">
        <v>36</v>
      </c>
      <c r="L8624" t="s">
        <v>45</v>
      </c>
      <c r="M8624">
        <v>0</v>
      </c>
      <c r="N8624">
        <v>0</v>
      </c>
      <c r="O8624">
        <v>1961</v>
      </c>
      <c r="R8624" t="s">
        <v>46</v>
      </c>
      <c r="S8624" t="s">
        <v>39</v>
      </c>
      <c r="AB8624" t="s">
        <v>47</v>
      </c>
      <c r="AC8624" t="s">
        <v>87</v>
      </c>
    </row>
    <row r="8625" spans="1:30" x14ac:dyDescent="0.35">
      <c r="A8625" s="7">
        <v>43327</v>
      </c>
      <c r="B8625" t="s">
        <v>30</v>
      </c>
      <c r="C8625">
        <v>501</v>
      </c>
      <c r="D8625">
        <v>6</v>
      </c>
      <c r="E8625">
        <v>1</v>
      </c>
      <c r="F8625" t="s">
        <v>1170</v>
      </c>
      <c r="G8625" t="s">
        <v>32</v>
      </c>
      <c r="H8625" t="s">
        <v>33</v>
      </c>
      <c r="I8625" t="s">
        <v>34</v>
      </c>
      <c r="J8625" t="s">
        <v>44</v>
      </c>
      <c r="K8625" t="s">
        <v>36</v>
      </c>
      <c r="L8625" t="s">
        <v>45</v>
      </c>
      <c r="M8625">
        <v>0</v>
      </c>
      <c r="N8625">
        <v>0</v>
      </c>
      <c r="O8625">
        <v>2189</v>
      </c>
      <c r="Q8625">
        <f>142-59</f>
        <v>83</v>
      </c>
      <c r="R8625" t="s">
        <v>1021</v>
      </c>
      <c r="AB8625" t="s">
        <v>47</v>
      </c>
      <c r="AC8625" t="s">
        <v>87</v>
      </c>
    </row>
    <row r="8626" spans="1:30" x14ac:dyDescent="0.35">
      <c r="A8626" s="7">
        <v>43327</v>
      </c>
      <c r="B8626" t="s">
        <v>30</v>
      </c>
      <c r="C8626">
        <v>503</v>
      </c>
      <c r="D8626">
        <v>2</v>
      </c>
      <c r="E8626">
        <v>2</v>
      </c>
      <c r="F8626" t="s">
        <v>1170</v>
      </c>
      <c r="G8626" t="s">
        <v>32</v>
      </c>
      <c r="H8626" t="s">
        <v>33</v>
      </c>
      <c r="I8626" t="s">
        <v>34</v>
      </c>
      <c r="J8626" t="s">
        <v>92</v>
      </c>
      <c r="M8626">
        <v>0</v>
      </c>
      <c r="N8626">
        <v>0</v>
      </c>
      <c r="O8626">
        <v>1208</v>
      </c>
      <c r="AB8626" t="s">
        <v>47</v>
      </c>
      <c r="AC8626" t="s">
        <v>87</v>
      </c>
    </row>
    <row r="8627" spans="1:30" x14ac:dyDescent="0.35">
      <c r="A8627" s="7">
        <v>43327</v>
      </c>
      <c r="B8627" t="s">
        <v>30</v>
      </c>
      <c r="C8627">
        <v>801</v>
      </c>
      <c r="D8627">
        <v>1</v>
      </c>
      <c r="E8627">
        <v>1</v>
      </c>
      <c r="F8627" t="s">
        <v>1020</v>
      </c>
      <c r="G8627" t="s">
        <v>32</v>
      </c>
      <c r="H8627" t="s">
        <v>33</v>
      </c>
      <c r="I8627" t="s">
        <v>34</v>
      </c>
      <c r="J8627" t="s">
        <v>44</v>
      </c>
      <c r="K8627" t="s">
        <v>36</v>
      </c>
      <c r="L8627" t="s">
        <v>45</v>
      </c>
      <c r="M8627">
        <v>0</v>
      </c>
      <c r="N8627">
        <v>0</v>
      </c>
      <c r="O8627">
        <v>1523</v>
      </c>
      <c r="Q8627">
        <f>212-124</f>
        <v>88</v>
      </c>
      <c r="R8627" t="s">
        <v>46</v>
      </c>
      <c r="S8627" t="s">
        <v>39</v>
      </c>
      <c r="AB8627" t="s">
        <v>86</v>
      </c>
      <c r="AC8627" t="s">
        <v>87</v>
      </c>
      <c r="AD8627" t="s">
        <v>1024</v>
      </c>
    </row>
    <row r="8628" spans="1:30" x14ac:dyDescent="0.35">
      <c r="A8628" s="7">
        <v>43327</v>
      </c>
      <c r="B8628" t="s">
        <v>30</v>
      </c>
      <c r="C8628">
        <v>801</v>
      </c>
      <c r="D8628">
        <v>9</v>
      </c>
      <c r="E8628">
        <v>2</v>
      </c>
      <c r="F8628" t="s">
        <v>1020</v>
      </c>
      <c r="G8628" t="s">
        <v>32</v>
      </c>
      <c r="H8628" t="s">
        <v>33</v>
      </c>
      <c r="I8628" t="s">
        <v>34</v>
      </c>
      <c r="J8628" t="s">
        <v>44</v>
      </c>
      <c r="K8628" t="s">
        <v>36</v>
      </c>
      <c r="L8628" t="s">
        <v>45</v>
      </c>
      <c r="M8628">
        <v>0</v>
      </c>
      <c r="N8628">
        <v>0</v>
      </c>
      <c r="O8628">
        <v>1097</v>
      </c>
      <c r="Q8628">
        <f>218-125</f>
        <v>93</v>
      </c>
      <c r="R8628" t="s">
        <v>46</v>
      </c>
      <c r="S8628" t="s">
        <v>39</v>
      </c>
      <c r="AB8628" t="s">
        <v>86</v>
      </c>
      <c r="AC8628" t="s">
        <v>87</v>
      </c>
      <c r="AD8628" t="s">
        <v>1291</v>
      </c>
    </row>
    <row r="8629" spans="1:30" x14ac:dyDescent="0.35">
      <c r="A8629" s="7">
        <v>43327</v>
      </c>
      <c r="B8629" t="s">
        <v>30</v>
      </c>
      <c r="C8629">
        <v>801</v>
      </c>
      <c r="D8629">
        <v>10</v>
      </c>
      <c r="E8629">
        <v>2</v>
      </c>
      <c r="F8629" t="s">
        <v>1020</v>
      </c>
      <c r="G8629" t="s">
        <v>32</v>
      </c>
      <c r="H8629" t="s">
        <v>33</v>
      </c>
      <c r="I8629" t="s">
        <v>34</v>
      </c>
      <c r="J8629" t="s">
        <v>44</v>
      </c>
      <c r="K8629" t="s">
        <v>36</v>
      </c>
      <c r="L8629" t="s">
        <v>45</v>
      </c>
      <c r="M8629">
        <v>0</v>
      </c>
      <c r="N8629">
        <v>0</v>
      </c>
      <c r="O8629">
        <v>1353</v>
      </c>
      <c r="Q8629">
        <f>212-125</f>
        <v>87</v>
      </c>
      <c r="R8629" t="s">
        <v>46</v>
      </c>
      <c r="S8629" t="s">
        <v>39</v>
      </c>
      <c r="AB8629" t="s">
        <v>86</v>
      </c>
      <c r="AC8629" t="s">
        <v>87</v>
      </c>
      <c r="AD8629" t="s">
        <v>1292</v>
      </c>
    </row>
    <row r="8630" spans="1:30" x14ac:dyDescent="0.35">
      <c r="A8630" s="7">
        <v>43327</v>
      </c>
      <c r="B8630" t="s">
        <v>30</v>
      </c>
      <c r="C8630">
        <v>803</v>
      </c>
      <c r="D8630">
        <v>4</v>
      </c>
      <c r="E8630">
        <v>1</v>
      </c>
      <c r="F8630" t="s">
        <v>1020</v>
      </c>
      <c r="G8630" t="s">
        <v>32</v>
      </c>
      <c r="H8630" t="s">
        <v>33</v>
      </c>
      <c r="I8630" t="s">
        <v>34</v>
      </c>
      <c r="J8630" t="s">
        <v>44</v>
      </c>
      <c r="K8630" t="s">
        <v>36</v>
      </c>
      <c r="L8630" t="s">
        <v>37</v>
      </c>
      <c r="M8630">
        <v>0</v>
      </c>
      <c r="N8630">
        <v>0</v>
      </c>
      <c r="O8630">
        <v>1324</v>
      </c>
      <c r="Q8630">
        <f>208-130</f>
        <v>78</v>
      </c>
      <c r="R8630" t="s">
        <v>64</v>
      </c>
      <c r="AB8630" t="s">
        <v>86</v>
      </c>
      <c r="AC8630" t="s">
        <v>87</v>
      </c>
      <c r="AD8630" t="s">
        <v>1293</v>
      </c>
    </row>
    <row r="8631" spans="1:30" x14ac:dyDescent="0.35">
      <c r="A8631" s="7">
        <v>43327</v>
      </c>
      <c r="B8631" t="s">
        <v>30</v>
      </c>
      <c r="C8631">
        <v>803</v>
      </c>
      <c r="D8631">
        <v>8</v>
      </c>
      <c r="E8631">
        <v>1</v>
      </c>
      <c r="F8631" t="s">
        <v>1020</v>
      </c>
      <c r="G8631" t="s">
        <v>32</v>
      </c>
      <c r="H8631" t="s">
        <v>33</v>
      </c>
      <c r="I8631" t="s">
        <v>34</v>
      </c>
      <c r="J8631" t="s">
        <v>44</v>
      </c>
      <c r="K8631" t="s">
        <v>36</v>
      </c>
      <c r="L8631" t="s">
        <v>45</v>
      </c>
      <c r="M8631">
        <v>0</v>
      </c>
      <c r="N8631">
        <v>0</v>
      </c>
      <c r="O8631">
        <v>1091</v>
      </c>
      <c r="Q8631">
        <f>226-127</f>
        <v>99</v>
      </c>
      <c r="R8631" t="s">
        <v>46</v>
      </c>
      <c r="S8631" t="s">
        <v>39</v>
      </c>
      <c r="AB8631" t="s">
        <v>86</v>
      </c>
      <c r="AC8631" t="s">
        <v>87</v>
      </c>
      <c r="AD8631" t="s">
        <v>1294</v>
      </c>
    </row>
    <row r="8632" spans="1:30" x14ac:dyDescent="0.35">
      <c r="A8632" s="7">
        <v>43327</v>
      </c>
      <c r="B8632" t="s">
        <v>30</v>
      </c>
      <c r="C8632">
        <v>803</v>
      </c>
      <c r="D8632">
        <v>9</v>
      </c>
      <c r="E8632">
        <v>2</v>
      </c>
      <c r="F8632" t="s">
        <v>1020</v>
      </c>
      <c r="G8632" t="s">
        <v>32</v>
      </c>
      <c r="H8632" t="s">
        <v>33</v>
      </c>
      <c r="I8632" t="s">
        <v>34</v>
      </c>
      <c r="J8632" t="s">
        <v>35</v>
      </c>
      <c r="K8632" t="s">
        <v>36</v>
      </c>
      <c r="L8632" t="s">
        <v>45</v>
      </c>
      <c r="M8632">
        <v>0</v>
      </c>
      <c r="N8632">
        <v>1</v>
      </c>
      <c r="O8632">
        <v>1444</v>
      </c>
      <c r="Q8632">
        <f>209-129</f>
        <v>80</v>
      </c>
      <c r="R8632" t="s">
        <v>46</v>
      </c>
      <c r="S8632" t="s">
        <v>39</v>
      </c>
      <c r="Z8632" t="s">
        <v>102</v>
      </c>
      <c r="AB8632" t="s">
        <v>86</v>
      </c>
      <c r="AC8632" t="s">
        <v>87</v>
      </c>
      <c r="AD8632" t="s">
        <v>1295</v>
      </c>
    </row>
    <row r="8633" spans="1:30" x14ac:dyDescent="0.35">
      <c r="A8633" s="7">
        <v>43327</v>
      </c>
      <c r="B8633" t="s">
        <v>30</v>
      </c>
      <c r="C8633">
        <v>803</v>
      </c>
      <c r="D8633">
        <v>10</v>
      </c>
      <c r="E8633">
        <v>1</v>
      </c>
      <c r="F8633" t="s">
        <v>1020</v>
      </c>
      <c r="G8633" t="s">
        <v>32</v>
      </c>
      <c r="H8633" t="s">
        <v>33</v>
      </c>
      <c r="I8633" t="s">
        <v>34</v>
      </c>
      <c r="J8633" t="s">
        <v>44</v>
      </c>
      <c r="K8633" t="s">
        <v>36</v>
      </c>
      <c r="L8633" t="s">
        <v>45</v>
      </c>
      <c r="M8633">
        <v>0</v>
      </c>
      <c r="N8633">
        <v>0</v>
      </c>
      <c r="P8633">
        <v>1035</v>
      </c>
      <c r="Q8633">
        <f>212-125</f>
        <v>87</v>
      </c>
      <c r="R8633" t="s">
        <v>46</v>
      </c>
      <c r="S8633" t="s">
        <v>39</v>
      </c>
      <c r="AB8633" t="s">
        <v>86</v>
      </c>
      <c r="AC8633" t="s">
        <v>87</v>
      </c>
      <c r="AD8633" t="s">
        <v>1024</v>
      </c>
    </row>
    <row r="8634" spans="1:30" x14ac:dyDescent="0.35">
      <c r="A8634" s="7">
        <v>43327</v>
      </c>
      <c r="B8634" t="s">
        <v>30</v>
      </c>
      <c r="C8634">
        <v>303</v>
      </c>
      <c r="D8634">
        <v>9</v>
      </c>
      <c r="E8634">
        <v>1</v>
      </c>
      <c r="F8634" t="s">
        <v>1170</v>
      </c>
      <c r="G8634" t="s">
        <v>32</v>
      </c>
      <c r="H8634" t="s">
        <v>33</v>
      </c>
      <c r="I8634" t="s">
        <v>58</v>
      </c>
      <c r="J8634" t="s">
        <v>44</v>
      </c>
      <c r="K8634" t="s">
        <v>36</v>
      </c>
      <c r="L8634" t="s">
        <v>45</v>
      </c>
      <c r="M8634">
        <v>0</v>
      </c>
      <c r="N8634">
        <v>0</v>
      </c>
      <c r="O8634">
        <v>2973</v>
      </c>
      <c r="Q8634">
        <f>51-28</f>
        <v>23</v>
      </c>
      <c r="R8634" t="s">
        <v>79</v>
      </c>
      <c r="Z8634" t="s">
        <v>102</v>
      </c>
      <c r="AB8634" t="s">
        <v>47</v>
      </c>
      <c r="AC8634" t="s">
        <v>87</v>
      </c>
    </row>
    <row r="8635" spans="1:30" x14ac:dyDescent="0.35">
      <c r="A8635" s="7">
        <v>43327</v>
      </c>
      <c r="B8635" t="s">
        <v>30</v>
      </c>
      <c r="C8635">
        <v>701</v>
      </c>
      <c r="D8635">
        <v>5</v>
      </c>
      <c r="E8635">
        <v>2</v>
      </c>
      <c r="F8635" t="s">
        <v>1020</v>
      </c>
      <c r="G8635" t="s">
        <v>32</v>
      </c>
      <c r="H8635" t="s">
        <v>33</v>
      </c>
      <c r="I8635" t="s">
        <v>58</v>
      </c>
      <c r="J8635" t="s">
        <v>44</v>
      </c>
      <c r="K8635" t="s">
        <v>36</v>
      </c>
      <c r="L8635" t="s">
        <v>45</v>
      </c>
      <c r="M8635">
        <v>0</v>
      </c>
      <c r="N8635">
        <v>0</v>
      </c>
      <c r="O8635">
        <v>1271</v>
      </c>
      <c r="Q8635">
        <f>41-10</f>
        <v>31</v>
      </c>
      <c r="R8635" t="s">
        <v>77</v>
      </c>
      <c r="S8635" t="s">
        <v>39</v>
      </c>
      <c r="Z8635" t="s">
        <v>102</v>
      </c>
      <c r="AB8635" t="s">
        <v>86</v>
      </c>
      <c r="AC8635" t="s">
        <v>87</v>
      </c>
    </row>
    <row r="8636" spans="1:30" x14ac:dyDescent="0.35">
      <c r="A8636" s="7">
        <v>43327</v>
      </c>
      <c r="B8636" t="s">
        <v>30</v>
      </c>
      <c r="C8636">
        <v>701</v>
      </c>
      <c r="D8636">
        <v>6</v>
      </c>
      <c r="E8636">
        <v>2</v>
      </c>
      <c r="F8636" t="s">
        <v>1020</v>
      </c>
      <c r="G8636" t="s">
        <v>32</v>
      </c>
      <c r="H8636" t="s">
        <v>33</v>
      </c>
      <c r="I8636" t="s">
        <v>58</v>
      </c>
      <c r="J8636" t="s">
        <v>44</v>
      </c>
      <c r="K8636" t="s">
        <v>36</v>
      </c>
      <c r="L8636" t="s">
        <v>37</v>
      </c>
      <c r="M8636">
        <v>0</v>
      </c>
      <c r="N8636">
        <v>0</v>
      </c>
      <c r="O8636">
        <v>1558</v>
      </c>
      <c r="Q8636">
        <f>36.25-12.5</f>
        <v>23.75</v>
      </c>
      <c r="R8636" t="s">
        <v>64</v>
      </c>
      <c r="Z8636" t="s">
        <v>102</v>
      </c>
      <c r="AB8636" t="s">
        <v>86</v>
      </c>
      <c r="AC8636" t="s">
        <v>87</v>
      </c>
    </row>
    <row r="8637" spans="1:30" x14ac:dyDescent="0.35">
      <c r="A8637" s="7">
        <v>43327</v>
      </c>
      <c r="B8637" t="s">
        <v>30</v>
      </c>
      <c r="C8637">
        <v>701</v>
      </c>
      <c r="D8637">
        <v>10</v>
      </c>
      <c r="E8637">
        <v>1</v>
      </c>
      <c r="F8637" t="s">
        <v>1020</v>
      </c>
      <c r="G8637" t="s">
        <v>32</v>
      </c>
      <c r="H8637" t="s">
        <v>33</v>
      </c>
      <c r="I8637" t="s">
        <v>58</v>
      </c>
      <c r="J8637" t="s">
        <v>44</v>
      </c>
      <c r="K8637" t="s">
        <v>36</v>
      </c>
      <c r="L8637" t="s">
        <v>37</v>
      </c>
      <c r="M8637">
        <v>0</v>
      </c>
      <c r="N8637">
        <v>0</v>
      </c>
      <c r="O8637">
        <v>1520</v>
      </c>
      <c r="Q8637">
        <f>32.75-11.5</f>
        <v>21.25</v>
      </c>
      <c r="R8637" t="s">
        <v>38</v>
      </c>
      <c r="Z8637" t="s">
        <v>102</v>
      </c>
      <c r="AB8637" t="s">
        <v>86</v>
      </c>
      <c r="AC8637" t="s">
        <v>87</v>
      </c>
      <c r="AD8637" t="s">
        <v>1296</v>
      </c>
    </row>
    <row r="8638" spans="1:30" x14ac:dyDescent="0.35">
      <c r="A8638" s="7">
        <v>43327</v>
      </c>
      <c r="B8638" t="s">
        <v>30</v>
      </c>
      <c r="C8638">
        <v>701</v>
      </c>
      <c r="D8638">
        <v>2</v>
      </c>
      <c r="E8638">
        <v>1</v>
      </c>
      <c r="F8638" t="s">
        <v>1020</v>
      </c>
      <c r="G8638" t="s">
        <v>32</v>
      </c>
      <c r="H8638" t="s">
        <v>33</v>
      </c>
      <c r="I8638" t="s">
        <v>65</v>
      </c>
      <c r="J8638" t="s">
        <v>44</v>
      </c>
      <c r="K8638" t="s">
        <v>36</v>
      </c>
      <c r="L8638" t="s">
        <v>45</v>
      </c>
      <c r="M8638">
        <v>0</v>
      </c>
      <c r="N8638">
        <v>0</v>
      </c>
      <c r="O8638">
        <v>2567</v>
      </c>
      <c r="Q8638">
        <f>265-123</f>
        <v>142</v>
      </c>
      <c r="R8638" t="s">
        <v>46</v>
      </c>
      <c r="S8638" t="s">
        <v>39</v>
      </c>
      <c r="Z8638" t="s">
        <v>102</v>
      </c>
      <c r="AB8638" t="s">
        <v>86</v>
      </c>
      <c r="AC8638" t="s">
        <v>87</v>
      </c>
      <c r="AD8638" t="s">
        <v>1297</v>
      </c>
    </row>
    <row r="8639" spans="1:30" x14ac:dyDescent="0.35">
      <c r="A8639" s="7">
        <v>43327</v>
      </c>
      <c r="B8639" t="s">
        <v>30</v>
      </c>
      <c r="C8639">
        <v>901</v>
      </c>
      <c r="D8639">
        <v>10</v>
      </c>
      <c r="E8639">
        <v>1</v>
      </c>
      <c r="F8639" t="s">
        <v>1020</v>
      </c>
      <c r="G8639" t="s">
        <v>32</v>
      </c>
      <c r="H8639" t="s">
        <v>33</v>
      </c>
      <c r="I8639" t="s">
        <v>65</v>
      </c>
      <c r="J8639" t="s">
        <v>35</v>
      </c>
      <c r="K8639" t="s">
        <v>36</v>
      </c>
      <c r="L8639" t="s">
        <v>45</v>
      </c>
      <c r="M8639">
        <v>0</v>
      </c>
      <c r="N8639">
        <v>1</v>
      </c>
      <c r="O8639">
        <v>1448</v>
      </c>
      <c r="Q8639">
        <f>290-140</f>
        <v>150</v>
      </c>
      <c r="R8639" t="s">
        <v>46</v>
      </c>
      <c r="S8639" t="s">
        <v>39</v>
      </c>
      <c r="AB8639" t="s">
        <v>86</v>
      </c>
      <c r="AC8639" t="s">
        <v>87</v>
      </c>
    </row>
    <row r="8640" spans="1:30" x14ac:dyDescent="0.35">
      <c r="A8640" s="7">
        <v>43327</v>
      </c>
      <c r="B8640" t="s">
        <v>30</v>
      </c>
      <c r="C8640">
        <v>303</v>
      </c>
      <c r="D8640">
        <v>1</v>
      </c>
      <c r="E8640">
        <v>1</v>
      </c>
      <c r="F8640" t="s">
        <v>1170</v>
      </c>
      <c r="G8640" t="s">
        <v>32</v>
      </c>
      <c r="H8640" t="s">
        <v>33</v>
      </c>
      <c r="I8640" t="s">
        <v>72</v>
      </c>
      <c r="J8640" t="s">
        <v>56</v>
      </c>
      <c r="AB8640" t="s">
        <v>47</v>
      </c>
      <c r="AC8640" t="s">
        <v>87</v>
      </c>
    </row>
    <row r="8641" spans="1:29" x14ac:dyDescent="0.35">
      <c r="A8641" s="7">
        <v>43327</v>
      </c>
      <c r="B8641" t="s">
        <v>30</v>
      </c>
      <c r="C8641">
        <v>303</v>
      </c>
      <c r="D8641">
        <v>6</v>
      </c>
      <c r="E8641">
        <v>1</v>
      </c>
      <c r="F8641" t="s">
        <v>1170</v>
      </c>
      <c r="G8641" t="s">
        <v>32</v>
      </c>
      <c r="H8641" t="s">
        <v>33</v>
      </c>
      <c r="I8641" t="s">
        <v>72</v>
      </c>
      <c r="J8641" t="s">
        <v>56</v>
      </c>
      <c r="AB8641" t="s">
        <v>47</v>
      </c>
      <c r="AC8641" t="s">
        <v>87</v>
      </c>
    </row>
    <row r="8642" spans="1:29" x14ac:dyDescent="0.35">
      <c r="A8642" s="7">
        <v>43327</v>
      </c>
      <c r="B8642" t="s">
        <v>30</v>
      </c>
      <c r="C8642">
        <v>501</v>
      </c>
      <c r="D8642">
        <v>2</v>
      </c>
      <c r="E8642">
        <v>2</v>
      </c>
      <c r="F8642" t="s">
        <v>1170</v>
      </c>
      <c r="G8642" t="s">
        <v>32</v>
      </c>
      <c r="H8642" t="s">
        <v>33</v>
      </c>
      <c r="I8642" t="s">
        <v>72</v>
      </c>
      <c r="J8642" t="s">
        <v>56</v>
      </c>
      <c r="AB8642" t="s">
        <v>47</v>
      </c>
      <c r="AC8642" t="s">
        <v>87</v>
      </c>
    </row>
    <row r="8643" spans="1:29" x14ac:dyDescent="0.35">
      <c r="A8643" s="7">
        <v>43327</v>
      </c>
      <c r="B8643" t="s">
        <v>30</v>
      </c>
      <c r="C8643">
        <v>501</v>
      </c>
      <c r="D8643">
        <v>7</v>
      </c>
      <c r="E8643">
        <v>1</v>
      </c>
      <c r="F8643" t="s">
        <v>1170</v>
      </c>
      <c r="G8643" t="s">
        <v>32</v>
      </c>
      <c r="H8643" t="s">
        <v>33</v>
      </c>
      <c r="I8643" t="s">
        <v>72</v>
      </c>
      <c r="AB8643" t="s">
        <v>47</v>
      </c>
      <c r="AC8643" t="s">
        <v>87</v>
      </c>
    </row>
    <row r="8644" spans="1:29" x14ac:dyDescent="0.35">
      <c r="A8644" s="7">
        <v>43327</v>
      </c>
      <c r="B8644" t="s">
        <v>30</v>
      </c>
      <c r="C8644">
        <v>501</v>
      </c>
      <c r="D8644">
        <v>10</v>
      </c>
      <c r="E8644">
        <v>2</v>
      </c>
      <c r="F8644" t="s">
        <v>1170</v>
      </c>
      <c r="G8644" t="s">
        <v>32</v>
      </c>
      <c r="H8644" t="s">
        <v>33</v>
      </c>
      <c r="I8644" t="s">
        <v>72</v>
      </c>
      <c r="J8644" t="s">
        <v>56</v>
      </c>
      <c r="AB8644" t="s">
        <v>47</v>
      </c>
      <c r="AC8644" t="s">
        <v>87</v>
      </c>
    </row>
    <row r="8645" spans="1:29" x14ac:dyDescent="0.35">
      <c r="A8645" s="7">
        <v>43327</v>
      </c>
      <c r="B8645" t="s">
        <v>30</v>
      </c>
      <c r="C8645">
        <v>503</v>
      </c>
      <c r="D8645">
        <v>7</v>
      </c>
      <c r="E8645">
        <v>2</v>
      </c>
      <c r="F8645" t="s">
        <v>1170</v>
      </c>
      <c r="G8645" t="s">
        <v>32</v>
      </c>
      <c r="H8645" t="s">
        <v>33</v>
      </c>
      <c r="I8645" t="s">
        <v>72</v>
      </c>
      <c r="J8645" t="s">
        <v>56</v>
      </c>
      <c r="AB8645" t="s">
        <v>47</v>
      </c>
      <c r="AC8645" t="s">
        <v>87</v>
      </c>
    </row>
    <row r="8646" spans="1:29" x14ac:dyDescent="0.35">
      <c r="A8646" s="7">
        <v>43327</v>
      </c>
      <c r="B8646" t="s">
        <v>30</v>
      </c>
      <c r="C8646">
        <v>503</v>
      </c>
      <c r="D8646">
        <v>10</v>
      </c>
      <c r="E8646">
        <v>1</v>
      </c>
      <c r="F8646" t="s">
        <v>1170</v>
      </c>
      <c r="G8646" t="s">
        <v>32</v>
      </c>
      <c r="H8646" t="s">
        <v>33</v>
      </c>
      <c r="I8646" t="s">
        <v>72</v>
      </c>
      <c r="J8646" t="s">
        <v>56</v>
      </c>
      <c r="AB8646" t="s">
        <v>47</v>
      </c>
      <c r="AC8646" t="s">
        <v>87</v>
      </c>
    </row>
    <row r="8647" spans="1:29" x14ac:dyDescent="0.35">
      <c r="A8647" s="7">
        <v>43327</v>
      </c>
      <c r="B8647" t="s">
        <v>30</v>
      </c>
      <c r="C8647">
        <v>701</v>
      </c>
      <c r="D8647">
        <v>9</v>
      </c>
      <c r="E8647">
        <v>1</v>
      </c>
      <c r="F8647" t="s">
        <v>1020</v>
      </c>
      <c r="G8647" t="s">
        <v>32</v>
      </c>
      <c r="H8647" t="s">
        <v>33</v>
      </c>
      <c r="I8647" t="s">
        <v>72</v>
      </c>
      <c r="J8647" t="s">
        <v>56</v>
      </c>
      <c r="AB8647" t="s">
        <v>86</v>
      </c>
      <c r="AC8647" t="s">
        <v>87</v>
      </c>
    </row>
    <row r="8648" spans="1:29" x14ac:dyDescent="0.35">
      <c r="A8648" s="7">
        <v>43327</v>
      </c>
      <c r="B8648" t="s">
        <v>30</v>
      </c>
      <c r="C8648">
        <v>703</v>
      </c>
      <c r="D8648">
        <v>4</v>
      </c>
      <c r="E8648">
        <v>1</v>
      </c>
      <c r="F8648" t="s">
        <v>1020</v>
      </c>
      <c r="G8648" t="s">
        <v>32</v>
      </c>
      <c r="H8648" t="s">
        <v>33</v>
      </c>
      <c r="I8648" t="s">
        <v>72</v>
      </c>
      <c r="J8648" t="s">
        <v>56</v>
      </c>
      <c r="AB8648" t="s">
        <v>86</v>
      </c>
      <c r="AC8648" t="s">
        <v>87</v>
      </c>
    </row>
    <row r="8649" spans="1:29" x14ac:dyDescent="0.35">
      <c r="A8649" s="7">
        <v>43327</v>
      </c>
      <c r="B8649" t="s">
        <v>30</v>
      </c>
      <c r="C8649">
        <v>703</v>
      </c>
      <c r="D8649">
        <v>6</v>
      </c>
      <c r="E8649">
        <v>1</v>
      </c>
      <c r="F8649" t="s">
        <v>1020</v>
      </c>
      <c r="G8649" t="s">
        <v>32</v>
      </c>
      <c r="H8649" t="s">
        <v>33</v>
      </c>
      <c r="I8649" t="s">
        <v>72</v>
      </c>
      <c r="J8649" t="s">
        <v>56</v>
      </c>
      <c r="AB8649" t="s">
        <v>86</v>
      </c>
      <c r="AC8649" t="s">
        <v>87</v>
      </c>
    </row>
    <row r="8650" spans="1:29" x14ac:dyDescent="0.35">
      <c r="A8650" s="7">
        <v>43327</v>
      </c>
      <c r="B8650" t="s">
        <v>30</v>
      </c>
      <c r="C8650">
        <v>801</v>
      </c>
      <c r="D8650">
        <v>6</v>
      </c>
      <c r="E8650">
        <v>1</v>
      </c>
      <c r="F8650" t="s">
        <v>1020</v>
      </c>
      <c r="G8650" t="s">
        <v>32</v>
      </c>
      <c r="H8650" t="s">
        <v>33</v>
      </c>
      <c r="I8650" t="s">
        <v>72</v>
      </c>
      <c r="J8650" t="s">
        <v>56</v>
      </c>
      <c r="AB8650" t="s">
        <v>86</v>
      </c>
      <c r="AC8650" t="s">
        <v>87</v>
      </c>
    </row>
    <row r="8651" spans="1:29" x14ac:dyDescent="0.35">
      <c r="A8651" s="7">
        <v>43327</v>
      </c>
      <c r="B8651" t="s">
        <v>30</v>
      </c>
      <c r="C8651">
        <v>801</v>
      </c>
      <c r="D8651">
        <v>7</v>
      </c>
      <c r="E8651">
        <v>1</v>
      </c>
      <c r="F8651" t="s">
        <v>1020</v>
      </c>
      <c r="G8651" t="s">
        <v>32</v>
      </c>
      <c r="H8651" t="s">
        <v>33</v>
      </c>
      <c r="I8651" t="s">
        <v>72</v>
      </c>
      <c r="J8651" t="s">
        <v>56</v>
      </c>
      <c r="AB8651" t="s">
        <v>86</v>
      </c>
      <c r="AC8651" t="s">
        <v>87</v>
      </c>
    </row>
    <row r="8652" spans="1:29" x14ac:dyDescent="0.35">
      <c r="A8652" s="7">
        <v>43327</v>
      </c>
      <c r="B8652" t="s">
        <v>30</v>
      </c>
      <c r="C8652">
        <v>801</v>
      </c>
      <c r="D8652">
        <v>7</v>
      </c>
      <c r="E8652">
        <v>2</v>
      </c>
      <c r="F8652" t="s">
        <v>1020</v>
      </c>
      <c r="G8652" t="s">
        <v>32</v>
      </c>
      <c r="H8652" t="s">
        <v>33</v>
      </c>
      <c r="I8652" t="s">
        <v>72</v>
      </c>
      <c r="J8652" t="s">
        <v>56</v>
      </c>
      <c r="AB8652" t="s">
        <v>86</v>
      </c>
      <c r="AC8652" t="s">
        <v>87</v>
      </c>
    </row>
    <row r="8653" spans="1:29" x14ac:dyDescent="0.35">
      <c r="A8653" s="7">
        <v>43327</v>
      </c>
      <c r="B8653" t="s">
        <v>30</v>
      </c>
      <c r="C8653">
        <v>803</v>
      </c>
      <c r="D8653">
        <v>3</v>
      </c>
      <c r="E8653">
        <v>1</v>
      </c>
      <c r="F8653" t="s">
        <v>1020</v>
      </c>
      <c r="G8653" t="s">
        <v>32</v>
      </c>
      <c r="H8653" t="s">
        <v>33</v>
      </c>
      <c r="I8653" t="s">
        <v>72</v>
      </c>
      <c r="J8653" t="s">
        <v>56</v>
      </c>
      <c r="AB8653" t="s">
        <v>86</v>
      </c>
      <c r="AC8653" t="s">
        <v>87</v>
      </c>
    </row>
    <row r="8654" spans="1:29" x14ac:dyDescent="0.35">
      <c r="A8654" s="7">
        <v>43327</v>
      </c>
      <c r="B8654" t="s">
        <v>30</v>
      </c>
      <c r="C8654">
        <v>803</v>
      </c>
      <c r="D8654">
        <v>3</v>
      </c>
      <c r="E8654">
        <v>2</v>
      </c>
      <c r="F8654" t="s">
        <v>1020</v>
      </c>
      <c r="G8654" t="s">
        <v>32</v>
      </c>
      <c r="H8654" t="s">
        <v>33</v>
      </c>
      <c r="I8654" t="s">
        <v>72</v>
      </c>
      <c r="J8654" t="s">
        <v>56</v>
      </c>
      <c r="AB8654" t="s">
        <v>86</v>
      </c>
      <c r="AC8654" t="s">
        <v>87</v>
      </c>
    </row>
    <row r="8655" spans="1:29" x14ac:dyDescent="0.35">
      <c r="A8655" s="7">
        <v>43327</v>
      </c>
      <c r="B8655" t="s">
        <v>30</v>
      </c>
      <c r="C8655">
        <v>803</v>
      </c>
      <c r="D8655">
        <v>6</v>
      </c>
      <c r="E8655">
        <v>1</v>
      </c>
      <c r="F8655" t="s">
        <v>1020</v>
      </c>
      <c r="G8655" t="s">
        <v>32</v>
      </c>
      <c r="H8655" t="s">
        <v>33</v>
      </c>
      <c r="I8655" t="s">
        <v>72</v>
      </c>
      <c r="J8655" t="s">
        <v>56</v>
      </c>
      <c r="AB8655" t="s">
        <v>86</v>
      </c>
      <c r="AC8655" t="s">
        <v>87</v>
      </c>
    </row>
    <row r="8656" spans="1:29" x14ac:dyDescent="0.35">
      <c r="A8656" s="7">
        <v>43327</v>
      </c>
      <c r="B8656" t="s">
        <v>30</v>
      </c>
      <c r="C8656">
        <v>803</v>
      </c>
      <c r="D8656">
        <v>7</v>
      </c>
      <c r="E8656">
        <v>1</v>
      </c>
      <c r="F8656" t="s">
        <v>1020</v>
      </c>
      <c r="G8656" t="s">
        <v>32</v>
      </c>
      <c r="H8656" t="s">
        <v>33</v>
      </c>
      <c r="I8656" t="s">
        <v>72</v>
      </c>
      <c r="J8656" t="s">
        <v>56</v>
      </c>
      <c r="AB8656" t="s">
        <v>86</v>
      </c>
      <c r="AC8656" t="s">
        <v>87</v>
      </c>
    </row>
    <row r="8657" spans="1:29" x14ac:dyDescent="0.35">
      <c r="A8657" s="7">
        <v>43327</v>
      </c>
      <c r="B8657" t="s">
        <v>30</v>
      </c>
      <c r="C8657">
        <v>401</v>
      </c>
      <c r="D8657">
        <v>7</v>
      </c>
      <c r="E8657">
        <v>1</v>
      </c>
      <c r="F8657" t="s">
        <v>1170</v>
      </c>
      <c r="G8657" t="s">
        <v>32</v>
      </c>
      <c r="H8657" t="s">
        <v>33</v>
      </c>
      <c r="I8657" t="s">
        <v>59</v>
      </c>
      <c r="AB8657" t="s">
        <v>47</v>
      </c>
      <c r="AC8657" t="s">
        <v>87</v>
      </c>
    </row>
    <row r="8658" spans="1:29" x14ac:dyDescent="0.35">
      <c r="A8658" s="7">
        <v>43327</v>
      </c>
      <c r="B8658" t="s">
        <v>30</v>
      </c>
      <c r="C8658">
        <v>401</v>
      </c>
      <c r="D8658">
        <v>7</v>
      </c>
      <c r="E8658">
        <v>2</v>
      </c>
      <c r="F8658" t="s">
        <v>1170</v>
      </c>
      <c r="G8658" t="s">
        <v>32</v>
      </c>
      <c r="H8658" t="s">
        <v>33</v>
      </c>
      <c r="I8658" t="s">
        <v>59</v>
      </c>
      <c r="AB8658" t="s">
        <v>47</v>
      </c>
      <c r="AC8658" t="s">
        <v>87</v>
      </c>
    </row>
    <row r="8659" spans="1:29" x14ac:dyDescent="0.35">
      <c r="A8659" s="7">
        <v>43327</v>
      </c>
      <c r="B8659" t="s">
        <v>30</v>
      </c>
      <c r="C8659">
        <v>401</v>
      </c>
      <c r="D8659">
        <v>8</v>
      </c>
      <c r="E8659">
        <v>1</v>
      </c>
      <c r="F8659" t="s">
        <v>1170</v>
      </c>
      <c r="G8659" t="s">
        <v>32</v>
      </c>
      <c r="H8659" t="s">
        <v>33</v>
      </c>
      <c r="I8659" t="s">
        <v>59</v>
      </c>
      <c r="AB8659" t="s">
        <v>47</v>
      </c>
      <c r="AC8659" t="s">
        <v>87</v>
      </c>
    </row>
    <row r="8660" spans="1:29" x14ac:dyDescent="0.35">
      <c r="A8660" s="7">
        <v>43327</v>
      </c>
      <c r="B8660" t="s">
        <v>30</v>
      </c>
      <c r="C8660">
        <v>501</v>
      </c>
      <c r="D8660">
        <v>1</v>
      </c>
      <c r="E8660">
        <v>2</v>
      </c>
      <c r="F8660" t="s">
        <v>1170</v>
      </c>
      <c r="G8660" t="s">
        <v>32</v>
      </c>
      <c r="H8660" t="s">
        <v>33</v>
      </c>
      <c r="I8660" t="s">
        <v>59</v>
      </c>
      <c r="AB8660" t="s">
        <v>47</v>
      </c>
      <c r="AC8660" t="s">
        <v>87</v>
      </c>
    </row>
    <row r="8661" spans="1:29" x14ac:dyDescent="0.35">
      <c r="A8661" s="7">
        <v>43327</v>
      </c>
      <c r="B8661" t="s">
        <v>30</v>
      </c>
      <c r="C8661">
        <v>501</v>
      </c>
      <c r="D8661">
        <v>2</v>
      </c>
      <c r="E8661">
        <v>1</v>
      </c>
      <c r="F8661" t="s">
        <v>1170</v>
      </c>
      <c r="G8661" t="s">
        <v>32</v>
      </c>
      <c r="H8661" t="s">
        <v>33</v>
      </c>
      <c r="I8661" t="s">
        <v>59</v>
      </c>
      <c r="AB8661" t="s">
        <v>47</v>
      </c>
      <c r="AC8661" t="s">
        <v>87</v>
      </c>
    </row>
    <row r="8662" spans="1:29" x14ac:dyDescent="0.35">
      <c r="A8662" s="7">
        <v>43327</v>
      </c>
      <c r="B8662" t="s">
        <v>30</v>
      </c>
      <c r="C8662">
        <v>501</v>
      </c>
      <c r="D8662">
        <v>3</v>
      </c>
      <c r="E8662">
        <v>1</v>
      </c>
      <c r="F8662" t="s">
        <v>1170</v>
      </c>
      <c r="G8662" t="s">
        <v>32</v>
      </c>
      <c r="H8662" t="s">
        <v>33</v>
      </c>
      <c r="I8662" t="s">
        <v>59</v>
      </c>
      <c r="AB8662" t="s">
        <v>47</v>
      </c>
      <c r="AC8662" t="s">
        <v>87</v>
      </c>
    </row>
    <row r="8663" spans="1:29" x14ac:dyDescent="0.35">
      <c r="A8663" s="7">
        <v>43327</v>
      </c>
      <c r="B8663" t="s">
        <v>30</v>
      </c>
      <c r="C8663">
        <v>501</v>
      </c>
      <c r="D8663">
        <v>3</v>
      </c>
      <c r="E8663">
        <v>2</v>
      </c>
      <c r="F8663" t="s">
        <v>1170</v>
      </c>
      <c r="G8663" t="s">
        <v>32</v>
      </c>
      <c r="H8663" t="s">
        <v>33</v>
      </c>
      <c r="I8663" t="s">
        <v>59</v>
      </c>
      <c r="AB8663" t="s">
        <v>47</v>
      </c>
      <c r="AC8663" t="s">
        <v>87</v>
      </c>
    </row>
    <row r="8664" spans="1:29" x14ac:dyDescent="0.35">
      <c r="A8664" s="7">
        <v>43327</v>
      </c>
      <c r="B8664" t="s">
        <v>30</v>
      </c>
      <c r="C8664">
        <v>501</v>
      </c>
      <c r="D8664">
        <v>4</v>
      </c>
      <c r="E8664">
        <v>1</v>
      </c>
      <c r="F8664" t="s">
        <v>1170</v>
      </c>
      <c r="G8664" t="s">
        <v>32</v>
      </c>
      <c r="H8664" t="s">
        <v>33</v>
      </c>
      <c r="I8664" t="s">
        <v>59</v>
      </c>
      <c r="AB8664" t="s">
        <v>47</v>
      </c>
      <c r="AC8664" t="s">
        <v>87</v>
      </c>
    </row>
    <row r="8665" spans="1:29" x14ac:dyDescent="0.35">
      <c r="A8665" s="7">
        <v>43327</v>
      </c>
      <c r="B8665" t="s">
        <v>30</v>
      </c>
      <c r="C8665">
        <v>501</v>
      </c>
      <c r="D8665">
        <v>4</v>
      </c>
      <c r="E8665">
        <v>2</v>
      </c>
      <c r="F8665" t="s">
        <v>1170</v>
      </c>
      <c r="G8665" t="s">
        <v>32</v>
      </c>
      <c r="H8665" t="s">
        <v>33</v>
      </c>
      <c r="I8665" t="s">
        <v>59</v>
      </c>
      <c r="AB8665" t="s">
        <v>47</v>
      </c>
      <c r="AC8665" t="s">
        <v>87</v>
      </c>
    </row>
    <row r="8666" spans="1:29" x14ac:dyDescent="0.35">
      <c r="A8666" s="7">
        <v>43327</v>
      </c>
      <c r="B8666" t="s">
        <v>30</v>
      </c>
      <c r="C8666">
        <v>501</v>
      </c>
      <c r="D8666">
        <v>6</v>
      </c>
      <c r="E8666">
        <v>2</v>
      </c>
      <c r="F8666" t="s">
        <v>1170</v>
      </c>
      <c r="G8666" t="s">
        <v>32</v>
      </c>
      <c r="H8666" t="s">
        <v>33</v>
      </c>
      <c r="I8666" t="s">
        <v>59</v>
      </c>
      <c r="AB8666" t="s">
        <v>47</v>
      </c>
      <c r="AC8666" t="s">
        <v>87</v>
      </c>
    </row>
    <row r="8667" spans="1:29" x14ac:dyDescent="0.35">
      <c r="A8667" s="7">
        <v>43327</v>
      </c>
      <c r="B8667" t="s">
        <v>30</v>
      </c>
      <c r="C8667">
        <v>501</v>
      </c>
      <c r="D8667">
        <v>7</v>
      </c>
      <c r="E8667">
        <v>2</v>
      </c>
      <c r="F8667" t="s">
        <v>1170</v>
      </c>
      <c r="G8667" t="s">
        <v>32</v>
      </c>
      <c r="H8667" t="s">
        <v>33</v>
      </c>
      <c r="I8667" t="s">
        <v>59</v>
      </c>
      <c r="AB8667" t="s">
        <v>47</v>
      </c>
      <c r="AC8667" t="s">
        <v>87</v>
      </c>
    </row>
    <row r="8668" spans="1:29" x14ac:dyDescent="0.35">
      <c r="A8668" s="7">
        <v>43327</v>
      </c>
      <c r="B8668" t="s">
        <v>30</v>
      </c>
      <c r="C8668">
        <v>501</v>
      </c>
      <c r="D8668">
        <v>8</v>
      </c>
      <c r="E8668">
        <v>1</v>
      </c>
      <c r="F8668" t="s">
        <v>1170</v>
      </c>
      <c r="G8668" t="s">
        <v>32</v>
      </c>
      <c r="H8668" t="s">
        <v>33</v>
      </c>
      <c r="I8668" t="s">
        <v>59</v>
      </c>
      <c r="AB8668" t="s">
        <v>47</v>
      </c>
      <c r="AC8668" t="s">
        <v>87</v>
      </c>
    </row>
    <row r="8669" spans="1:29" x14ac:dyDescent="0.35">
      <c r="A8669" s="7">
        <v>43327</v>
      </c>
      <c r="B8669" t="s">
        <v>30</v>
      </c>
      <c r="C8669">
        <v>501</v>
      </c>
      <c r="D8669">
        <v>9</v>
      </c>
      <c r="E8669">
        <v>1</v>
      </c>
      <c r="F8669" t="s">
        <v>1170</v>
      </c>
      <c r="G8669" t="s">
        <v>32</v>
      </c>
      <c r="H8669" t="s">
        <v>33</v>
      </c>
      <c r="I8669" t="s">
        <v>59</v>
      </c>
      <c r="AB8669" t="s">
        <v>47</v>
      </c>
      <c r="AC8669" t="s">
        <v>87</v>
      </c>
    </row>
    <row r="8670" spans="1:29" x14ac:dyDescent="0.35">
      <c r="A8670" s="7">
        <v>43327</v>
      </c>
      <c r="B8670" t="s">
        <v>30</v>
      </c>
      <c r="C8670">
        <v>503</v>
      </c>
      <c r="D8670">
        <v>1</v>
      </c>
      <c r="E8670">
        <v>1</v>
      </c>
      <c r="F8670" t="s">
        <v>1170</v>
      </c>
      <c r="G8670" t="s">
        <v>32</v>
      </c>
      <c r="H8670" t="s">
        <v>33</v>
      </c>
      <c r="I8670" t="s">
        <v>59</v>
      </c>
      <c r="AB8670" t="s">
        <v>47</v>
      </c>
      <c r="AC8670" t="s">
        <v>87</v>
      </c>
    </row>
    <row r="8671" spans="1:29" x14ac:dyDescent="0.35">
      <c r="A8671" s="7">
        <v>43327</v>
      </c>
      <c r="B8671" t="s">
        <v>30</v>
      </c>
      <c r="C8671">
        <v>503</v>
      </c>
      <c r="D8671">
        <v>1</v>
      </c>
      <c r="E8671">
        <v>2</v>
      </c>
      <c r="F8671" t="s">
        <v>1170</v>
      </c>
      <c r="G8671" t="s">
        <v>32</v>
      </c>
      <c r="H8671" t="s">
        <v>33</v>
      </c>
      <c r="I8671" t="s">
        <v>59</v>
      </c>
      <c r="AB8671" t="s">
        <v>47</v>
      </c>
      <c r="AC8671" t="s">
        <v>87</v>
      </c>
    </row>
    <row r="8672" spans="1:29" x14ac:dyDescent="0.35">
      <c r="A8672" s="7">
        <v>43327</v>
      </c>
      <c r="B8672" t="s">
        <v>30</v>
      </c>
      <c r="C8672">
        <v>503</v>
      </c>
      <c r="D8672">
        <v>2</v>
      </c>
      <c r="E8672">
        <v>1</v>
      </c>
      <c r="F8672" t="s">
        <v>1170</v>
      </c>
      <c r="G8672" t="s">
        <v>32</v>
      </c>
      <c r="H8672" t="s">
        <v>33</v>
      </c>
      <c r="I8672" t="s">
        <v>59</v>
      </c>
      <c r="AB8672" t="s">
        <v>47</v>
      </c>
      <c r="AC8672" t="s">
        <v>87</v>
      </c>
    </row>
    <row r="8673" spans="1:29" x14ac:dyDescent="0.35">
      <c r="A8673" s="7">
        <v>43327</v>
      </c>
      <c r="B8673" t="s">
        <v>30</v>
      </c>
      <c r="C8673">
        <v>503</v>
      </c>
      <c r="D8673">
        <v>4</v>
      </c>
      <c r="E8673">
        <v>1</v>
      </c>
      <c r="F8673" t="s">
        <v>1170</v>
      </c>
      <c r="G8673" t="s">
        <v>32</v>
      </c>
      <c r="H8673" t="s">
        <v>33</v>
      </c>
      <c r="I8673" t="s">
        <v>59</v>
      </c>
      <c r="AB8673" t="s">
        <v>47</v>
      </c>
      <c r="AC8673" t="s">
        <v>87</v>
      </c>
    </row>
    <row r="8674" spans="1:29" x14ac:dyDescent="0.35">
      <c r="A8674" s="7">
        <v>43327</v>
      </c>
      <c r="B8674" t="s">
        <v>30</v>
      </c>
      <c r="C8674">
        <v>503</v>
      </c>
      <c r="D8674">
        <v>5</v>
      </c>
      <c r="E8674">
        <v>2</v>
      </c>
      <c r="F8674" t="s">
        <v>1170</v>
      </c>
      <c r="G8674" t="s">
        <v>32</v>
      </c>
      <c r="H8674" t="s">
        <v>33</v>
      </c>
      <c r="I8674" t="s">
        <v>59</v>
      </c>
      <c r="AB8674" t="s">
        <v>47</v>
      </c>
      <c r="AC8674" t="s">
        <v>87</v>
      </c>
    </row>
    <row r="8675" spans="1:29" x14ac:dyDescent="0.35">
      <c r="A8675" s="7">
        <v>43327</v>
      </c>
      <c r="B8675" t="s">
        <v>30</v>
      </c>
      <c r="C8675">
        <v>503</v>
      </c>
      <c r="D8675">
        <v>6</v>
      </c>
      <c r="E8675">
        <v>1</v>
      </c>
      <c r="F8675" t="s">
        <v>1170</v>
      </c>
      <c r="G8675" t="s">
        <v>32</v>
      </c>
      <c r="H8675" t="s">
        <v>33</v>
      </c>
      <c r="I8675" t="s">
        <v>59</v>
      </c>
      <c r="AB8675" t="s">
        <v>47</v>
      </c>
      <c r="AC8675" t="s">
        <v>87</v>
      </c>
    </row>
    <row r="8676" spans="1:29" x14ac:dyDescent="0.35">
      <c r="A8676" s="7">
        <v>43327</v>
      </c>
      <c r="B8676" t="s">
        <v>30</v>
      </c>
      <c r="C8676">
        <v>503</v>
      </c>
      <c r="D8676">
        <v>7</v>
      </c>
      <c r="E8676">
        <v>1</v>
      </c>
      <c r="F8676" t="s">
        <v>1170</v>
      </c>
      <c r="G8676" t="s">
        <v>32</v>
      </c>
      <c r="H8676" t="s">
        <v>33</v>
      </c>
      <c r="I8676" t="s">
        <v>59</v>
      </c>
      <c r="AB8676" t="s">
        <v>47</v>
      </c>
      <c r="AC8676" t="s">
        <v>87</v>
      </c>
    </row>
    <row r="8677" spans="1:29" x14ac:dyDescent="0.35">
      <c r="A8677" s="7">
        <v>43327</v>
      </c>
      <c r="B8677" t="s">
        <v>30</v>
      </c>
      <c r="C8677">
        <v>701</v>
      </c>
      <c r="D8677">
        <v>3</v>
      </c>
      <c r="E8677">
        <v>1</v>
      </c>
      <c r="F8677" t="s">
        <v>1020</v>
      </c>
      <c r="G8677" t="s">
        <v>32</v>
      </c>
      <c r="H8677" t="s">
        <v>33</v>
      </c>
      <c r="I8677" t="s">
        <v>59</v>
      </c>
      <c r="AB8677" t="s">
        <v>86</v>
      </c>
      <c r="AC8677" t="s">
        <v>87</v>
      </c>
    </row>
    <row r="8678" spans="1:29" x14ac:dyDescent="0.35">
      <c r="A8678" s="7">
        <v>43327</v>
      </c>
      <c r="B8678" t="s">
        <v>30</v>
      </c>
      <c r="C8678">
        <v>701</v>
      </c>
      <c r="D8678">
        <v>6</v>
      </c>
      <c r="E8678">
        <v>1</v>
      </c>
      <c r="F8678" t="s">
        <v>1020</v>
      </c>
      <c r="G8678" t="s">
        <v>32</v>
      </c>
      <c r="H8678" t="s">
        <v>33</v>
      </c>
      <c r="I8678" t="s">
        <v>59</v>
      </c>
      <c r="AB8678" t="s">
        <v>86</v>
      </c>
      <c r="AC8678" t="s">
        <v>87</v>
      </c>
    </row>
    <row r="8679" spans="1:29" x14ac:dyDescent="0.35">
      <c r="A8679" s="7">
        <v>43327</v>
      </c>
      <c r="B8679" t="s">
        <v>30</v>
      </c>
      <c r="C8679">
        <v>703</v>
      </c>
      <c r="D8679">
        <v>1</v>
      </c>
      <c r="E8679">
        <v>1</v>
      </c>
      <c r="F8679" t="s">
        <v>1020</v>
      </c>
      <c r="G8679" t="s">
        <v>32</v>
      </c>
      <c r="H8679" t="s">
        <v>33</v>
      </c>
      <c r="I8679" t="s">
        <v>59</v>
      </c>
      <c r="AB8679" t="s">
        <v>86</v>
      </c>
      <c r="AC8679" t="s">
        <v>87</v>
      </c>
    </row>
    <row r="8680" spans="1:29" x14ac:dyDescent="0.35">
      <c r="A8680" s="7">
        <v>43327</v>
      </c>
      <c r="B8680" t="s">
        <v>30</v>
      </c>
      <c r="C8680">
        <v>703</v>
      </c>
      <c r="D8680">
        <v>1</v>
      </c>
      <c r="E8680">
        <v>2</v>
      </c>
      <c r="F8680" t="s">
        <v>1020</v>
      </c>
      <c r="G8680" t="s">
        <v>32</v>
      </c>
      <c r="H8680" t="s">
        <v>33</v>
      </c>
      <c r="I8680" t="s">
        <v>59</v>
      </c>
      <c r="AB8680" t="s">
        <v>86</v>
      </c>
      <c r="AC8680" t="s">
        <v>87</v>
      </c>
    </row>
    <row r="8681" spans="1:29" x14ac:dyDescent="0.35">
      <c r="A8681" s="7">
        <v>43327</v>
      </c>
      <c r="B8681" t="s">
        <v>30</v>
      </c>
      <c r="C8681">
        <v>703</v>
      </c>
      <c r="D8681">
        <v>2</v>
      </c>
      <c r="E8681">
        <v>1</v>
      </c>
      <c r="F8681" t="s">
        <v>1020</v>
      </c>
      <c r="G8681" t="s">
        <v>32</v>
      </c>
      <c r="H8681" t="s">
        <v>33</v>
      </c>
      <c r="I8681" t="s">
        <v>59</v>
      </c>
      <c r="AB8681" t="s">
        <v>86</v>
      </c>
      <c r="AC8681" t="s">
        <v>87</v>
      </c>
    </row>
    <row r="8682" spans="1:29" x14ac:dyDescent="0.35">
      <c r="A8682" s="7">
        <v>43327</v>
      </c>
      <c r="B8682" t="s">
        <v>30</v>
      </c>
      <c r="C8682">
        <v>703</v>
      </c>
      <c r="D8682">
        <v>3</v>
      </c>
      <c r="E8682">
        <v>2</v>
      </c>
      <c r="F8682" t="s">
        <v>1020</v>
      </c>
      <c r="G8682" t="s">
        <v>32</v>
      </c>
      <c r="H8682" t="s">
        <v>33</v>
      </c>
      <c r="I8682" t="s">
        <v>59</v>
      </c>
      <c r="AB8682" t="s">
        <v>86</v>
      </c>
      <c r="AC8682" t="s">
        <v>87</v>
      </c>
    </row>
    <row r="8683" spans="1:29" x14ac:dyDescent="0.35">
      <c r="A8683" s="7">
        <v>43327</v>
      </c>
      <c r="B8683" t="s">
        <v>30</v>
      </c>
      <c r="C8683">
        <v>703</v>
      </c>
      <c r="D8683">
        <v>7</v>
      </c>
      <c r="E8683">
        <v>1</v>
      </c>
      <c r="F8683" t="s">
        <v>1020</v>
      </c>
      <c r="G8683" t="s">
        <v>32</v>
      </c>
      <c r="H8683" t="s">
        <v>33</v>
      </c>
      <c r="I8683" t="s">
        <v>59</v>
      </c>
      <c r="AB8683" t="s">
        <v>86</v>
      </c>
      <c r="AC8683" t="s">
        <v>87</v>
      </c>
    </row>
    <row r="8684" spans="1:29" x14ac:dyDescent="0.35">
      <c r="A8684" s="7">
        <v>43327</v>
      </c>
      <c r="B8684" t="s">
        <v>30</v>
      </c>
      <c r="C8684">
        <v>703</v>
      </c>
      <c r="D8684">
        <v>8</v>
      </c>
      <c r="E8684">
        <v>1</v>
      </c>
      <c r="F8684" t="s">
        <v>1020</v>
      </c>
      <c r="G8684" t="s">
        <v>32</v>
      </c>
      <c r="H8684" t="s">
        <v>33</v>
      </c>
      <c r="I8684" t="s">
        <v>59</v>
      </c>
      <c r="AB8684" t="s">
        <v>86</v>
      </c>
      <c r="AC8684" t="s">
        <v>87</v>
      </c>
    </row>
    <row r="8685" spans="1:29" x14ac:dyDescent="0.35">
      <c r="A8685" s="7">
        <v>43327</v>
      </c>
      <c r="B8685" t="s">
        <v>30</v>
      </c>
      <c r="C8685">
        <v>703</v>
      </c>
      <c r="D8685">
        <v>8</v>
      </c>
      <c r="E8685">
        <v>2</v>
      </c>
      <c r="F8685" t="s">
        <v>1020</v>
      </c>
      <c r="G8685" t="s">
        <v>32</v>
      </c>
      <c r="H8685" t="s">
        <v>33</v>
      </c>
      <c r="I8685" t="s">
        <v>59</v>
      </c>
      <c r="AB8685" t="s">
        <v>86</v>
      </c>
      <c r="AC8685" t="s">
        <v>87</v>
      </c>
    </row>
    <row r="8686" spans="1:29" x14ac:dyDescent="0.35">
      <c r="A8686" s="7">
        <v>43327</v>
      </c>
      <c r="B8686" t="s">
        <v>30</v>
      </c>
      <c r="C8686">
        <v>703</v>
      </c>
      <c r="D8686">
        <v>10</v>
      </c>
      <c r="E8686">
        <v>1</v>
      </c>
      <c r="F8686" t="s">
        <v>1020</v>
      </c>
      <c r="G8686" t="s">
        <v>32</v>
      </c>
      <c r="H8686" t="s">
        <v>33</v>
      </c>
      <c r="I8686" t="s">
        <v>59</v>
      </c>
      <c r="AB8686" t="s">
        <v>86</v>
      </c>
      <c r="AC8686" t="s">
        <v>87</v>
      </c>
    </row>
    <row r="8687" spans="1:29" x14ac:dyDescent="0.35">
      <c r="A8687" s="7">
        <v>43327</v>
      </c>
      <c r="B8687" t="s">
        <v>30</v>
      </c>
      <c r="C8687">
        <v>801</v>
      </c>
      <c r="D8687">
        <v>2</v>
      </c>
      <c r="E8687">
        <v>1</v>
      </c>
      <c r="F8687" t="s">
        <v>1020</v>
      </c>
      <c r="G8687" t="s">
        <v>32</v>
      </c>
      <c r="H8687" t="s">
        <v>33</v>
      </c>
      <c r="I8687" t="s">
        <v>59</v>
      </c>
      <c r="AB8687" t="s">
        <v>86</v>
      </c>
      <c r="AC8687" t="s">
        <v>87</v>
      </c>
    </row>
    <row r="8688" spans="1:29" x14ac:dyDescent="0.35">
      <c r="A8688" s="7">
        <v>43327</v>
      </c>
      <c r="B8688" t="s">
        <v>30</v>
      </c>
      <c r="C8688">
        <v>801</v>
      </c>
      <c r="D8688">
        <v>3</v>
      </c>
      <c r="E8688">
        <v>1</v>
      </c>
      <c r="F8688" t="s">
        <v>1020</v>
      </c>
      <c r="G8688" t="s">
        <v>32</v>
      </c>
      <c r="H8688" t="s">
        <v>33</v>
      </c>
      <c r="I8688" t="s">
        <v>59</v>
      </c>
      <c r="AB8688" t="s">
        <v>86</v>
      </c>
      <c r="AC8688" t="s">
        <v>87</v>
      </c>
    </row>
    <row r="8689" spans="1:30" x14ac:dyDescent="0.35">
      <c r="A8689" s="7">
        <v>43327</v>
      </c>
      <c r="B8689" t="s">
        <v>30</v>
      </c>
      <c r="C8689">
        <v>801</v>
      </c>
      <c r="D8689">
        <v>3</v>
      </c>
      <c r="E8689">
        <v>2</v>
      </c>
      <c r="F8689" t="s">
        <v>1020</v>
      </c>
      <c r="G8689" t="s">
        <v>32</v>
      </c>
      <c r="H8689" t="s">
        <v>33</v>
      </c>
      <c r="I8689" t="s">
        <v>59</v>
      </c>
      <c r="AB8689" t="s">
        <v>86</v>
      </c>
      <c r="AC8689" t="s">
        <v>87</v>
      </c>
    </row>
    <row r="8690" spans="1:30" x14ac:dyDescent="0.35">
      <c r="A8690" s="7">
        <v>43327</v>
      </c>
      <c r="B8690" t="s">
        <v>30</v>
      </c>
      <c r="C8690">
        <v>801</v>
      </c>
      <c r="D8690">
        <v>5</v>
      </c>
      <c r="E8690">
        <v>1</v>
      </c>
      <c r="F8690" t="s">
        <v>1020</v>
      </c>
      <c r="G8690" t="s">
        <v>32</v>
      </c>
      <c r="H8690" t="s">
        <v>33</v>
      </c>
      <c r="I8690" t="s">
        <v>59</v>
      </c>
      <c r="AB8690" t="s">
        <v>86</v>
      </c>
      <c r="AC8690" t="s">
        <v>87</v>
      </c>
    </row>
    <row r="8691" spans="1:30" x14ac:dyDescent="0.35">
      <c r="A8691" s="7">
        <v>43327</v>
      </c>
      <c r="B8691" t="s">
        <v>30</v>
      </c>
      <c r="C8691">
        <v>801</v>
      </c>
      <c r="D8691">
        <v>8</v>
      </c>
      <c r="E8691">
        <v>1</v>
      </c>
      <c r="F8691" t="s">
        <v>1020</v>
      </c>
      <c r="G8691" t="s">
        <v>32</v>
      </c>
      <c r="H8691" t="s">
        <v>33</v>
      </c>
      <c r="I8691" t="s">
        <v>59</v>
      </c>
      <c r="AB8691" t="s">
        <v>86</v>
      </c>
      <c r="AC8691" t="s">
        <v>87</v>
      </c>
    </row>
    <row r="8692" spans="1:30" x14ac:dyDescent="0.35">
      <c r="A8692" s="7">
        <v>43327</v>
      </c>
      <c r="B8692" t="s">
        <v>30</v>
      </c>
      <c r="C8692">
        <v>803</v>
      </c>
      <c r="D8692">
        <v>4</v>
      </c>
      <c r="E8692">
        <v>2</v>
      </c>
      <c r="F8692" t="s">
        <v>1020</v>
      </c>
      <c r="G8692" t="s">
        <v>32</v>
      </c>
      <c r="H8692" t="s">
        <v>33</v>
      </c>
      <c r="I8692" t="s">
        <v>59</v>
      </c>
      <c r="AB8692" t="s">
        <v>86</v>
      </c>
      <c r="AC8692" t="s">
        <v>87</v>
      </c>
    </row>
    <row r="8693" spans="1:30" x14ac:dyDescent="0.35">
      <c r="A8693" s="7">
        <v>43327</v>
      </c>
      <c r="B8693" t="s">
        <v>30</v>
      </c>
      <c r="C8693">
        <v>803</v>
      </c>
      <c r="D8693">
        <v>5</v>
      </c>
      <c r="E8693">
        <v>1</v>
      </c>
      <c r="F8693" t="s">
        <v>1020</v>
      </c>
      <c r="G8693" t="s">
        <v>32</v>
      </c>
      <c r="H8693" t="s">
        <v>33</v>
      </c>
      <c r="I8693" t="s">
        <v>59</v>
      </c>
      <c r="AB8693" t="s">
        <v>86</v>
      </c>
      <c r="AC8693" t="s">
        <v>87</v>
      </c>
    </row>
    <row r="8694" spans="1:30" x14ac:dyDescent="0.35">
      <c r="A8694" s="7">
        <v>43327</v>
      </c>
      <c r="B8694" t="s">
        <v>30</v>
      </c>
      <c r="C8694">
        <v>803</v>
      </c>
      <c r="D8694">
        <v>9</v>
      </c>
      <c r="E8694">
        <v>1</v>
      </c>
      <c r="F8694" t="s">
        <v>1020</v>
      </c>
      <c r="G8694" t="s">
        <v>32</v>
      </c>
      <c r="H8694" t="s">
        <v>33</v>
      </c>
      <c r="I8694" t="s">
        <v>59</v>
      </c>
      <c r="AB8694" t="s">
        <v>86</v>
      </c>
      <c r="AC8694" t="s">
        <v>87</v>
      </c>
    </row>
    <row r="8695" spans="1:30" x14ac:dyDescent="0.35">
      <c r="A8695" s="7">
        <v>43327</v>
      </c>
      <c r="B8695" t="s">
        <v>30</v>
      </c>
      <c r="C8695">
        <v>503</v>
      </c>
      <c r="D8695">
        <v>9</v>
      </c>
      <c r="E8695">
        <v>1</v>
      </c>
      <c r="F8695" t="s">
        <v>1170</v>
      </c>
      <c r="G8695" t="s">
        <v>32</v>
      </c>
      <c r="H8695" t="s">
        <v>33</v>
      </c>
      <c r="I8695" t="s">
        <v>94</v>
      </c>
      <c r="J8695" t="s">
        <v>56</v>
      </c>
      <c r="AB8695" t="s">
        <v>47</v>
      </c>
      <c r="AC8695" t="s">
        <v>87</v>
      </c>
      <c r="AD8695" t="s">
        <v>1298</v>
      </c>
    </row>
    <row r="8696" spans="1:30" x14ac:dyDescent="0.35">
      <c r="A8696" s="7">
        <v>43327</v>
      </c>
      <c r="B8696" t="s">
        <v>30</v>
      </c>
      <c r="C8696">
        <v>701</v>
      </c>
      <c r="D8696">
        <v>4</v>
      </c>
      <c r="E8696">
        <v>1</v>
      </c>
      <c r="F8696" t="s">
        <v>1020</v>
      </c>
      <c r="G8696" t="s">
        <v>32</v>
      </c>
      <c r="H8696" t="s">
        <v>33</v>
      </c>
      <c r="I8696" t="s">
        <v>94</v>
      </c>
      <c r="J8696" t="s">
        <v>44</v>
      </c>
      <c r="K8696" t="s">
        <v>36</v>
      </c>
      <c r="L8696" t="s">
        <v>45</v>
      </c>
      <c r="M8696">
        <v>0</v>
      </c>
      <c r="N8696">
        <v>0</v>
      </c>
      <c r="O8696">
        <v>1519</v>
      </c>
      <c r="Q8696">
        <f>27-10</f>
        <v>17</v>
      </c>
      <c r="R8696" t="s">
        <v>46</v>
      </c>
      <c r="S8696" t="s">
        <v>39</v>
      </c>
      <c r="AB8696" t="s">
        <v>86</v>
      </c>
      <c r="AC8696" t="s">
        <v>87</v>
      </c>
    </row>
    <row r="8697" spans="1:30" x14ac:dyDescent="0.35">
      <c r="A8697" s="7">
        <v>43327</v>
      </c>
      <c r="B8697" t="s">
        <v>30</v>
      </c>
      <c r="C8697">
        <v>803</v>
      </c>
      <c r="D8697">
        <v>2</v>
      </c>
      <c r="E8697">
        <v>1</v>
      </c>
      <c r="F8697" t="s">
        <v>1020</v>
      </c>
      <c r="G8697" t="s">
        <v>32</v>
      </c>
      <c r="H8697" t="s">
        <v>33</v>
      </c>
      <c r="I8697" t="s">
        <v>94</v>
      </c>
      <c r="J8697" t="s">
        <v>44</v>
      </c>
      <c r="K8697" t="s">
        <v>36</v>
      </c>
      <c r="L8697" t="s">
        <v>45</v>
      </c>
      <c r="M8697">
        <v>0</v>
      </c>
      <c r="N8697">
        <v>0</v>
      </c>
      <c r="O8697">
        <v>1371</v>
      </c>
      <c r="Q8697">
        <f>42-9.75</f>
        <v>32.25</v>
      </c>
      <c r="R8697" t="s">
        <v>1028</v>
      </c>
      <c r="S8697" t="s">
        <v>102</v>
      </c>
      <c r="AB8697" t="s">
        <v>86</v>
      </c>
      <c r="AC8697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Schmidt</dc:creator>
  <cp:lastModifiedBy>Elliott Schmidt</cp:lastModifiedBy>
  <dcterms:created xsi:type="dcterms:W3CDTF">2020-12-17T19:28:43Z</dcterms:created>
  <dcterms:modified xsi:type="dcterms:W3CDTF">2020-12-17T20:55:51Z</dcterms:modified>
</cp:coreProperties>
</file>